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aft\2022-07-23 update ds xa phuong wpdatatable\new update\"/>
    </mc:Choice>
  </mc:AlternateContent>
  <bookViews>
    <workbookView xWindow="240" yWindow="15" windowWidth="16095" windowHeight="9660"/>
  </bookViews>
  <sheets>
    <sheet name="Xã phường" sheetId="1" r:id="rId1"/>
  </sheets>
  <definedNames>
    <definedName name="_xlnm._FilterDatabase" localSheetId="0" hidden="1">'Xã phường'!$A$1:$G$10605</definedName>
  </definedNames>
  <calcPr calcId="162913"/>
</workbook>
</file>

<file path=xl/calcChain.xml><?xml version="1.0" encoding="utf-8"?>
<calcChain xmlns="http://schemas.openxmlformats.org/spreadsheetml/2006/main">
  <c r="G10605" i="1" l="1"/>
  <c r="E10605" i="1"/>
  <c r="C10605" i="1"/>
  <c r="G10604" i="1"/>
  <c r="E10604" i="1"/>
  <c r="C10604" i="1"/>
  <c r="G10603" i="1"/>
  <c r="E10603" i="1"/>
  <c r="C10603" i="1"/>
  <c r="G10602" i="1"/>
  <c r="E10602" i="1"/>
  <c r="C10602" i="1"/>
  <c r="G10601" i="1"/>
  <c r="E10601" i="1"/>
  <c r="C10601" i="1"/>
  <c r="G10600" i="1"/>
  <c r="E10600" i="1"/>
  <c r="C10600" i="1"/>
  <c r="G10599" i="1"/>
  <c r="E10599" i="1"/>
  <c r="C10599" i="1"/>
  <c r="G10598" i="1"/>
  <c r="E10598" i="1"/>
  <c r="C10598" i="1"/>
  <c r="G10597" i="1"/>
  <c r="E10597" i="1"/>
  <c r="C10597" i="1"/>
  <c r="G10596" i="1"/>
  <c r="E10596" i="1"/>
  <c r="C10596" i="1"/>
  <c r="G10595" i="1"/>
  <c r="E10595" i="1"/>
  <c r="C10595" i="1"/>
  <c r="G10594" i="1"/>
  <c r="E10594" i="1"/>
  <c r="C10594" i="1"/>
  <c r="G10593" i="1"/>
  <c r="E10593" i="1"/>
  <c r="C10593" i="1"/>
  <c r="G10592" i="1"/>
  <c r="E10592" i="1"/>
  <c r="C10592" i="1"/>
  <c r="G10591" i="1"/>
  <c r="E10591" i="1"/>
  <c r="C10591" i="1"/>
  <c r="G10590" i="1"/>
  <c r="E10590" i="1"/>
  <c r="C10590" i="1"/>
  <c r="G10589" i="1"/>
  <c r="E10589" i="1"/>
  <c r="C10589" i="1"/>
  <c r="G10588" i="1"/>
  <c r="E10588" i="1"/>
  <c r="C10588" i="1"/>
  <c r="G10587" i="1"/>
  <c r="E10587" i="1"/>
  <c r="C10587" i="1"/>
  <c r="G10586" i="1"/>
  <c r="E10586" i="1"/>
  <c r="C10586" i="1"/>
  <c r="G10585" i="1"/>
  <c r="E10585" i="1"/>
  <c r="C10585" i="1"/>
  <c r="G10584" i="1"/>
  <c r="E10584" i="1"/>
  <c r="C10584" i="1"/>
  <c r="G10583" i="1"/>
  <c r="E10583" i="1"/>
  <c r="C10583" i="1"/>
  <c r="G10582" i="1"/>
  <c r="E10582" i="1"/>
  <c r="C10582" i="1"/>
  <c r="G10581" i="1"/>
  <c r="E10581" i="1"/>
  <c r="C10581" i="1"/>
  <c r="G10580" i="1"/>
  <c r="E10580" i="1"/>
  <c r="C10580" i="1"/>
  <c r="G10579" i="1"/>
  <c r="E10579" i="1"/>
  <c r="C10579" i="1"/>
  <c r="G10578" i="1"/>
  <c r="E10578" i="1"/>
  <c r="C10578" i="1"/>
  <c r="G10577" i="1"/>
  <c r="E10577" i="1"/>
  <c r="C10577" i="1"/>
  <c r="G10576" i="1"/>
  <c r="E10576" i="1"/>
  <c r="C10576" i="1"/>
  <c r="G10575" i="1"/>
  <c r="E10575" i="1"/>
  <c r="C10575" i="1"/>
  <c r="G10574" i="1"/>
  <c r="E10574" i="1"/>
  <c r="C10574" i="1"/>
  <c r="G10573" i="1"/>
  <c r="E10573" i="1"/>
  <c r="C10573" i="1"/>
  <c r="G10572" i="1"/>
  <c r="E10572" i="1"/>
  <c r="C10572" i="1"/>
  <c r="G10571" i="1"/>
  <c r="E10571" i="1"/>
  <c r="C10571" i="1"/>
  <c r="G10570" i="1"/>
  <c r="E10570" i="1"/>
  <c r="C10570" i="1"/>
  <c r="G10569" i="1"/>
  <c r="E10569" i="1"/>
  <c r="C10569" i="1"/>
  <c r="G10568" i="1"/>
  <c r="E10568" i="1"/>
  <c r="C10568" i="1"/>
  <c r="G10567" i="1"/>
  <c r="E10567" i="1"/>
  <c r="C10567" i="1"/>
  <c r="G10566" i="1"/>
  <c r="E10566" i="1"/>
  <c r="C10566" i="1"/>
  <c r="G10565" i="1"/>
  <c r="E10565" i="1"/>
  <c r="C10565" i="1"/>
  <c r="G10564" i="1"/>
  <c r="E10564" i="1"/>
  <c r="C10564" i="1"/>
  <c r="G10563" i="1"/>
  <c r="E10563" i="1"/>
  <c r="C10563" i="1"/>
  <c r="G10562" i="1"/>
  <c r="E10562" i="1"/>
  <c r="C10562" i="1"/>
  <c r="G10561" i="1"/>
  <c r="E10561" i="1"/>
  <c r="C10561" i="1"/>
  <c r="G10560" i="1"/>
  <c r="E10560" i="1"/>
  <c r="C10560" i="1"/>
  <c r="G10559" i="1"/>
  <c r="E10559" i="1"/>
  <c r="C10559" i="1"/>
  <c r="G10558" i="1"/>
  <c r="E10558" i="1"/>
  <c r="C10558" i="1"/>
  <c r="G10557" i="1"/>
  <c r="E10557" i="1"/>
  <c r="C10557" i="1"/>
  <c r="G10556" i="1"/>
  <c r="E10556" i="1"/>
  <c r="C10556" i="1"/>
  <c r="G10555" i="1"/>
  <c r="E10555" i="1"/>
  <c r="C10555" i="1"/>
  <c r="G10554" i="1"/>
  <c r="E10554" i="1"/>
  <c r="C10554" i="1"/>
  <c r="G10553" i="1"/>
  <c r="E10553" i="1"/>
  <c r="C10553" i="1"/>
  <c r="G10552" i="1"/>
  <c r="E10552" i="1"/>
  <c r="C10552" i="1"/>
  <c r="G10551" i="1"/>
  <c r="E10551" i="1"/>
  <c r="C10551" i="1"/>
  <c r="G10550" i="1"/>
  <c r="E10550" i="1"/>
  <c r="C10550" i="1"/>
  <c r="G10549" i="1"/>
  <c r="E10549" i="1"/>
  <c r="C10549" i="1"/>
  <c r="G10548" i="1"/>
  <c r="E10548" i="1"/>
  <c r="C10548" i="1"/>
  <c r="G10547" i="1"/>
  <c r="E10547" i="1"/>
  <c r="C10547" i="1"/>
  <c r="G10546" i="1"/>
  <c r="E10546" i="1"/>
  <c r="C10546" i="1"/>
  <c r="G10545" i="1"/>
  <c r="E10545" i="1"/>
  <c r="C10545" i="1"/>
  <c r="G10544" i="1"/>
  <c r="E10544" i="1"/>
  <c r="C10544" i="1"/>
  <c r="G10543" i="1"/>
  <c r="E10543" i="1"/>
  <c r="C10543" i="1"/>
  <c r="G10542" i="1"/>
  <c r="E10542" i="1"/>
  <c r="C10542" i="1"/>
  <c r="G10541" i="1"/>
  <c r="E10541" i="1"/>
  <c r="C10541" i="1"/>
  <c r="G10540" i="1"/>
  <c r="E10540" i="1"/>
  <c r="C10540" i="1"/>
  <c r="G10539" i="1"/>
  <c r="E10539" i="1"/>
  <c r="C10539" i="1"/>
  <c r="G10538" i="1"/>
  <c r="E10538" i="1"/>
  <c r="C10538" i="1"/>
  <c r="G10537" i="1"/>
  <c r="E10537" i="1"/>
  <c r="C10537" i="1"/>
  <c r="G10536" i="1"/>
  <c r="E10536" i="1"/>
  <c r="C10536" i="1"/>
  <c r="G10535" i="1"/>
  <c r="E10535" i="1"/>
  <c r="C10535" i="1"/>
  <c r="G10534" i="1"/>
  <c r="E10534" i="1"/>
  <c r="C10534" i="1"/>
  <c r="G10533" i="1"/>
  <c r="E10533" i="1"/>
  <c r="C10533" i="1"/>
  <c r="G10532" i="1"/>
  <c r="E10532" i="1"/>
  <c r="C10532" i="1"/>
  <c r="G10531" i="1"/>
  <c r="E10531" i="1"/>
  <c r="C10531" i="1"/>
  <c r="G10530" i="1"/>
  <c r="E10530" i="1"/>
  <c r="C10530" i="1"/>
  <c r="G10529" i="1"/>
  <c r="E10529" i="1"/>
  <c r="C10529" i="1"/>
  <c r="G10528" i="1"/>
  <c r="E10528" i="1"/>
  <c r="C10528" i="1"/>
  <c r="G10527" i="1"/>
  <c r="E10527" i="1"/>
  <c r="C10527" i="1"/>
  <c r="G10526" i="1"/>
  <c r="E10526" i="1"/>
  <c r="C10526" i="1"/>
  <c r="G10525" i="1"/>
  <c r="E10525" i="1"/>
  <c r="C10525" i="1"/>
  <c r="G10524" i="1"/>
  <c r="E10524" i="1"/>
  <c r="C10524" i="1"/>
  <c r="G10523" i="1"/>
  <c r="E10523" i="1"/>
  <c r="C10523" i="1"/>
  <c r="G10522" i="1"/>
  <c r="E10522" i="1"/>
  <c r="C10522" i="1"/>
  <c r="G10521" i="1"/>
  <c r="E10521" i="1"/>
  <c r="C10521" i="1"/>
  <c r="G10520" i="1"/>
  <c r="E10520" i="1"/>
  <c r="C10520" i="1"/>
  <c r="G10519" i="1"/>
  <c r="E10519" i="1"/>
  <c r="C10519" i="1"/>
  <c r="G10518" i="1"/>
  <c r="E10518" i="1"/>
  <c r="C10518" i="1"/>
  <c r="G10517" i="1"/>
  <c r="E10517" i="1"/>
  <c r="C10517" i="1"/>
  <c r="G10516" i="1"/>
  <c r="E10516" i="1"/>
  <c r="C10516" i="1"/>
  <c r="G10515" i="1"/>
  <c r="E10515" i="1"/>
  <c r="C10515" i="1"/>
  <c r="G10514" i="1"/>
  <c r="E10514" i="1"/>
  <c r="C10514" i="1"/>
  <c r="G10513" i="1"/>
  <c r="E10513" i="1"/>
  <c r="C10513" i="1"/>
  <c r="G10512" i="1"/>
  <c r="E10512" i="1"/>
  <c r="C10512" i="1"/>
  <c r="G10511" i="1"/>
  <c r="E10511" i="1"/>
  <c r="C10511" i="1"/>
  <c r="G10510" i="1"/>
  <c r="E10510" i="1"/>
  <c r="C10510" i="1"/>
  <c r="G10509" i="1"/>
  <c r="E10509" i="1"/>
  <c r="C10509" i="1"/>
  <c r="G10508" i="1"/>
  <c r="E10508" i="1"/>
  <c r="C10508" i="1"/>
  <c r="G10507" i="1"/>
  <c r="E10507" i="1"/>
  <c r="C10507" i="1"/>
  <c r="G10506" i="1"/>
  <c r="E10506" i="1"/>
  <c r="C10506" i="1"/>
  <c r="G10505" i="1"/>
  <c r="E10505" i="1"/>
  <c r="C10505" i="1"/>
  <c r="G10504" i="1"/>
  <c r="E10504" i="1"/>
  <c r="C10504" i="1"/>
  <c r="G10503" i="1"/>
  <c r="E10503" i="1"/>
  <c r="C10503" i="1"/>
  <c r="G10502" i="1"/>
  <c r="E10502" i="1"/>
  <c r="C10502" i="1"/>
  <c r="G10501" i="1"/>
  <c r="E10501" i="1"/>
  <c r="C10501" i="1"/>
  <c r="G10500" i="1"/>
  <c r="E10500" i="1"/>
  <c r="C10500" i="1"/>
  <c r="G10499" i="1"/>
  <c r="E10499" i="1"/>
  <c r="C10499" i="1"/>
  <c r="G10498" i="1"/>
  <c r="E10498" i="1"/>
  <c r="C10498" i="1"/>
  <c r="G10497" i="1"/>
  <c r="E10497" i="1"/>
  <c r="C10497" i="1"/>
  <c r="G10496" i="1"/>
  <c r="E10496" i="1"/>
  <c r="C10496" i="1"/>
  <c r="G10495" i="1"/>
  <c r="E10495" i="1"/>
  <c r="C10495" i="1"/>
  <c r="G10494" i="1"/>
  <c r="E10494" i="1"/>
  <c r="C10494" i="1"/>
  <c r="G10493" i="1"/>
  <c r="E10493" i="1"/>
  <c r="C10493" i="1"/>
  <c r="G10492" i="1"/>
  <c r="E10492" i="1"/>
  <c r="C10492" i="1"/>
  <c r="G10491" i="1"/>
  <c r="E10491" i="1"/>
  <c r="C10491" i="1"/>
  <c r="G10490" i="1"/>
  <c r="E10490" i="1"/>
  <c r="C10490" i="1"/>
  <c r="G10489" i="1"/>
  <c r="E10489" i="1"/>
  <c r="C10489" i="1"/>
  <c r="G10488" i="1"/>
  <c r="E10488" i="1"/>
  <c r="C10488" i="1"/>
  <c r="G10487" i="1"/>
  <c r="E10487" i="1"/>
  <c r="C10487" i="1"/>
  <c r="G10486" i="1"/>
  <c r="E10486" i="1"/>
  <c r="C10486" i="1"/>
  <c r="G10485" i="1"/>
  <c r="E10485" i="1"/>
  <c r="C10485" i="1"/>
  <c r="G10484" i="1"/>
  <c r="E10484" i="1"/>
  <c r="C10484" i="1"/>
  <c r="G10483" i="1"/>
  <c r="E10483" i="1"/>
  <c r="C10483" i="1"/>
  <c r="G10482" i="1"/>
  <c r="E10482" i="1"/>
  <c r="C10482" i="1"/>
  <c r="G10481" i="1"/>
  <c r="E10481" i="1"/>
  <c r="C10481" i="1"/>
  <c r="G10480" i="1"/>
  <c r="E10480" i="1"/>
  <c r="C10480" i="1"/>
  <c r="G10479" i="1"/>
  <c r="E10479" i="1"/>
  <c r="C10479" i="1"/>
  <c r="G10478" i="1"/>
  <c r="E10478" i="1"/>
  <c r="C10478" i="1"/>
  <c r="G10477" i="1"/>
  <c r="E10477" i="1"/>
  <c r="C10477" i="1"/>
  <c r="G10476" i="1"/>
  <c r="E10476" i="1"/>
  <c r="C10476" i="1"/>
  <c r="G10475" i="1"/>
  <c r="E10475" i="1"/>
  <c r="C10475" i="1"/>
  <c r="G10474" i="1"/>
  <c r="E10474" i="1"/>
  <c r="C10474" i="1"/>
  <c r="G10473" i="1"/>
  <c r="E10473" i="1"/>
  <c r="C10473" i="1"/>
  <c r="G10472" i="1"/>
  <c r="E10472" i="1"/>
  <c r="C10472" i="1"/>
  <c r="G10471" i="1"/>
  <c r="E10471" i="1"/>
  <c r="C10471" i="1"/>
  <c r="G10470" i="1"/>
  <c r="E10470" i="1"/>
  <c r="C10470" i="1"/>
  <c r="G10469" i="1"/>
  <c r="E10469" i="1"/>
  <c r="C10469" i="1"/>
  <c r="G10468" i="1"/>
  <c r="E10468" i="1"/>
  <c r="C10468" i="1"/>
  <c r="G10467" i="1"/>
  <c r="E10467" i="1"/>
  <c r="C10467" i="1"/>
  <c r="G10466" i="1"/>
  <c r="E10466" i="1"/>
  <c r="C10466" i="1"/>
  <c r="G10465" i="1"/>
  <c r="E10465" i="1"/>
  <c r="C10465" i="1"/>
  <c r="G10464" i="1"/>
  <c r="E10464" i="1"/>
  <c r="C10464" i="1"/>
  <c r="G10463" i="1"/>
  <c r="E10463" i="1"/>
  <c r="C10463" i="1"/>
  <c r="G10462" i="1"/>
  <c r="E10462" i="1"/>
  <c r="C10462" i="1"/>
  <c r="G10461" i="1"/>
  <c r="E10461" i="1"/>
  <c r="C10461" i="1"/>
  <c r="G10460" i="1"/>
  <c r="E10460" i="1"/>
  <c r="C10460" i="1"/>
  <c r="G10459" i="1"/>
  <c r="E10459" i="1"/>
  <c r="C10459" i="1"/>
  <c r="G10458" i="1"/>
  <c r="E10458" i="1"/>
  <c r="C10458" i="1"/>
  <c r="G10457" i="1"/>
  <c r="E10457" i="1"/>
  <c r="C10457" i="1"/>
  <c r="G10456" i="1"/>
  <c r="E10456" i="1"/>
  <c r="C10456" i="1"/>
  <c r="G10455" i="1"/>
  <c r="E10455" i="1"/>
  <c r="C10455" i="1"/>
  <c r="G10454" i="1"/>
  <c r="E10454" i="1"/>
  <c r="C10454" i="1"/>
  <c r="G10453" i="1"/>
  <c r="E10453" i="1"/>
  <c r="C10453" i="1"/>
  <c r="G10452" i="1"/>
  <c r="E10452" i="1"/>
  <c r="C10452" i="1"/>
  <c r="G10451" i="1"/>
  <c r="E10451" i="1"/>
  <c r="C10451" i="1"/>
  <c r="G10450" i="1"/>
  <c r="E10450" i="1"/>
  <c r="C10450" i="1"/>
  <c r="G10449" i="1"/>
  <c r="E10449" i="1"/>
  <c r="C10449" i="1"/>
  <c r="G10448" i="1"/>
  <c r="E10448" i="1"/>
  <c r="C10448" i="1"/>
  <c r="G10447" i="1"/>
  <c r="E10447" i="1"/>
  <c r="C10447" i="1"/>
  <c r="G10446" i="1"/>
  <c r="E10446" i="1"/>
  <c r="C10446" i="1"/>
  <c r="G10445" i="1"/>
  <c r="E10445" i="1"/>
  <c r="C10445" i="1"/>
  <c r="G10444" i="1"/>
  <c r="E10444" i="1"/>
  <c r="C10444" i="1"/>
  <c r="G10443" i="1"/>
  <c r="E10443" i="1"/>
  <c r="C10443" i="1"/>
  <c r="G10442" i="1"/>
  <c r="E10442" i="1"/>
  <c r="C10442" i="1"/>
  <c r="G10441" i="1"/>
  <c r="E10441" i="1"/>
  <c r="C10441" i="1"/>
  <c r="G10440" i="1"/>
  <c r="E10440" i="1"/>
  <c r="C10440" i="1"/>
  <c r="G10439" i="1"/>
  <c r="E10439" i="1"/>
  <c r="C10439" i="1"/>
  <c r="G10438" i="1"/>
  <c r="E10438" i="1"/>
  <c r="C10438" i="1"/>
  <c r="G10437" i="1"/>
  <c r="E10437" i="1"/>
  <c r="C10437" i="1"/>
  <c r="G10436" i="1"/>
  <c r="E10436" i="1"/>
  <c r="C10436" i="1"/>
  <c r="G10435" i="1"/>
  <c r="E10435" i="1"/>
  <c r="C10435" i="1"/>
  <c r="G10434" i="1"/>
  <c r="E10434" i="1"/>
  <c r="C10434" i="1"/>
  <c r="G10433" i="1"/>
  <c r="E10433" i="1"/>
  <c r="C10433" i="1"/>
  <c r="G10432" i="1"/>
  <c r="E10432" i="1"/>
  <c r="C10432" i="1"/>
  <c r="G10431" i="1"/>
  <c r="E10431" i="1"/>
  <c r="C10431" i="1"/>
  <c r="G10430" i="1"/>
  <c r="E10430" i="1"/>
  <c r="C10430" i="1"/>
  <c r="G10429" i="1"/>
  <c r="E10429" i="1"/>
  <c r="C10429" i="1"/>
  <c r="G10428" i="1"/>
  <c r="E10428" i="1"/>
  <c r="C10428" i="1"/>
  <c r="G10427" i="1"/>
  <c r="E10427" i="1"/>
  <c r="C10427" i="1"/>
  <c r="G10426" i="1"/>
  <c r="E10426" i="1"/>
  <c r="C10426" i="1"/>
  <c r="G10425" i="1"/>
  <c r="E10425" i="1"/>
  <c r="C10425" i="1"/>
  <c r="G10424" i="1"/>
  <c r="E10424" i="1"/>
  <c r="C10424" i="1"/>
  <c r="G10423" i="1"/>
  <c r="E10423" i="1"/>
  <c r="C10423" i="1"/>
  <c r="G10422" i="1"/>
  <c r="E10422" i="1"/>
  <c r="C10422" i="1"/>
  <c r="G10421" i="1"/>
  <c r="E10421" i="1"/>
  <c r="C10421" i="1"/>
  <c r="G10420" i="1"/>
  <c r="E10420" i="1"/>
  <c r="C10420" i="1"/>
  <c r="G10419" i="1"/>
  <c r="E10419" i="1"/>
  <c r="C10419" i="1"/>
  <c r="G10418" i="1"/>
  <c r="E10418" i="1"/>
  <c r="C10418" i="1"/>
  <c r="G10417" i="1"/>
  <c r="E10417" i="1"/>
  <c r="C10417" i="1"/>
  <c r="G10416" i="1"/>
  <c r="E10416" i="1"/>
  <c r="C10416" i="1"/>
  <c r="G10415" i="1"/>
  <c r="E10415" i="1"/>
  <c r="C10415" i="1"/>
  <c r="G10414" i="1"/>
  <c r="E10414" i="1"/>
  <c r="C10414" i="1"/>
  <c r="G10413" i="1"/>
  <c r="E10413" i="1"/>
  <c r="C10413" i="1"/>
  <c r="G10412" i="1"/>
  <c r="E10412" i="1"/>
  <c r="C10412" i="1"/>
  <c r="G10411" i="1"/>
  <c r="E10411" i="1"/>
  <c r="C10411" i="1"/>
  <c r="G10410" i="1"/>
  <c r="E10410" i="1"/>
  <c r="C10410" i="1"/>
  <c r="G10409" i="1"/>
  <c r="E10409" i="1"/>
  <c r="C10409" i="1"/>
  <c r="G10408" i="1"/>
  <c r="E10408" i="1"/>
  <c r="C10408" i="1"/>
  <c r="G10407" i="1"/>
  <c r="E10407" i="1"/>
  <c r="C10407" i="1"/>
  <c r="G10406" i="1"/>
  <c r="E10406" i="1"/>
  <c r="C10406" i="1"/>
  <c r="G10405" i="1"/>
  <c r="E10405" i="1"/>
  <c r="C10405" i="1"/>
  <c r="G10404" i="1"/>
  <c r="E10404" i="1"/>
  <c r="C10404" i="1"/>
  <c r="G10403" i="1"/>
  <c r="E10403" i="1"/>
  <c r="C10403" i="1"/>
  <c r="G10402" i="1"/>
  <c r="E10402" i="1"/>
  <c r="C10402" i="1"/>
  <c r="G10401" i="1"/>
  <c r="E10401" i="1"/>
  <c r="C10401" i="1"/>
  <c r="G10400" i="1"/>
  <c r="E10400" i="1"/>
  <c r="C10400" i="1"/>
  <c r="G10399" i="1"/>
  <c r="E10399" i="1"/>
  <c r="C10399" i="1"/>
  <c r="G10398" i="1"/>
  <c r="E10398" i="1"/>
  <c r="C10398" i="1"/>
  <c r="G10397" i="1"/>
  <c r="E10397" i="1"/>
  <c r="C10397" i="1"/>
  <c r="G10396" i="1"/>
  <c r="E10396" i="1"/>
  <c r="C10396" i="1"/>
  <c r="G10395" i="1"/>
  <c r="E10395" i="1"/>
  <c r="C10395" i="1"/>
  <c r="G10394" i="1"/>
  <c r="E10394" i="1"/>
  <c r="C10394" i="1"/>
  <c r="G10393" i="1"/>
  <c r="E10393" i="1"/>
  <c r="C10393" i="1"/>
  <c r="G10392" i="1"/>
  <c r="E10392" i="1"/>
  <c r="C10392" i="1"/>
  <c r="G10391" i="1"/>
  <c r="E10391" i="1"/>
  <c r="C10391" i="1"/>
  <c r="G10390" i="1"/>
  <c r="E10390" i="1"/>
  <c r="C10390" i="1"/>
  <c r="G10389" i="1"/>
  <c r="E10389" i="1"/>
  <c r="C10389" i="1"/>
  <c r="G10388" i="1"/>
  <c r="E10388" i="1"/>
  <c r="C10388" i="1"/>
  <c r="G10387" i="1"/>
  <c r="E10387" i="1"/>
  <c r="C10387" i="1"/>
  <c r="G10386" i="1"/>
  <c r="E10386" i="1"/>
  <c r="C10386" i="1"/>
  <c r="G10385" i="1"/>
  <c r="E10385" i="1"/>
  <c r="C10385" i="1"/>
  <c r="G10384" i="1"/>
  <c r="E10384" i="1"/>
  <c r="C10384" i="1"/>
  <c r="G10383" i="1"/>
  <c r="E10383" i="1"/>
  <c r="C10383" i="1"/>
  <c r="G10382" i="1"/>
  <c r="E10382" i="1"/>
  <c r="C10382" i="1"/>
  <c r="G10381" i="1"/>
  <c r="E10381" i="1"/>
  <c r="C10381" i="1"/>
  <c r="G10380" i="1"/>
  <c r="E10380" i="1"/>
  <c r="C10380" i="1"/>
  <c r="G10379" i="1"/>
  <c r="E10379" i="1"/>
  <c r="C10379" i="1"/>
  <c r="G10378" i="1"/>
  <c r="E10378" i="1"/>
  <c r="C10378" i="1"/>
  <c r="G10377" i="1"/>
  <c r="E10377" i="1"/>
  <c r="C10377" i="1"/>
  <c r="G10376" i="1"/>
  <c r="E10376" i="1"/>
  <c r="C10376" i="1"/>
  <c r="G10375" i="1"/>
  <c r="E10375" i="1"/>
  <c r="C10375" i="1"/>
  <c r="G10374" i="1"/>
  <c r="E10374" i="1"/>
  <c r="C10374" i="1"/>
  <c r="G10373" i="1"/>
  <c r="E10373" i="1"/>
  <c r="C10373" i="1"/>
  <c r="G10372" i="1"/>
  <c r="E10372" i="1"/>
  <c r="C10372" i="1"/>
  <c r="G10371" i="1"/>
  <c r="E10371" i="1"/>
  <c r="C10371" i="1"/>
  <c r="G10370" i="1"/>
  <c r="E10370" i="1"/>
  <c r="C10370" i="1"/>
  <c r="G10369" i="1"/>
  <c r="E10369" i="1"/>
  <c r="C10369" i="1"/>
  <c r="G10368" i="1"/>
  <c r="E10368" i="1"/>
  <c r="C10368" i="1"/>
  <c r="G10367" i="1"/>
  <c r="E10367" i="1"/>
  <c r="C10367" i="1"/>
  <c r="G10366" i="1"/>
  <c r="E10366" i="1"/>
  <c r="C10366" i="1"/>
  <c r="G10365" i="1"/>
  <c r="E10365" i="1"/>
  <c r="C10365" i="1"/>
  <c r="G10364" i="1"/>
  <c r="E10364" i="1"/>
  <c r="C10364" i="1"/>
  <c r="G10363" i="1"/>
  <c r="E10363" i="1"/>
  <c r="C10363" i="1"/>
  <c r="G10362" i="1"/>
  <c r="E10362" i="1"/>
  <c r="C10362" i="1"/>
  <c r="G10361" i="1"/>
  <c r="E10361" i="1"/>
  <c r="C10361" i="1"/>
  <c r="G10360" i="1"/>
  <c r="E10360" i="1"/>
  <c r="C10360" i="1"/>
  <c r="G10359" i="1"/>
  <c r="E10359" i="1"/>
  <c r="C10359" i="1"/>
  <c r="G10358" i="1"/>
  <c r="E10358" i="1"/>
  <c r="C10358" i="1"/>
  <c r="G10357" i="1"/>
  <c r="E10357" i="1"/>
  <c r="C10357" i="1"/>
  <c r="G10356" i="1"/>
  <c r="E10356" i="1"/>
  <c r="C10356" i="1"/>
  <c r="G10355" i="1"/>
  <c r="E10355" i="1"/>
  <c r="C10355" i="1"/>
  <c r="G10354" i="1"/>
  <c r="E10354" i="1"/>
  <c r="C10354" i="1"/>
  <c r="G10353" i="1"/>
  <c r="E10353" i="1"/>
  <c r="C10353" i="1"/>
  <c r="G10352" i="1"/>
  <c r="E10352" i="1"/>
  <c r="C10352" i="1"/>
  <c r="G10351" i="1"/>
  <c r="E10351" i="1"/>
  <c r="C10351" i="1"/>
  <c r="G10350" i="1"/>
  <c r="E10350" i="1"/>
  <c r="C10350" i="1"/>
  <c r="G10349" i="1"/>
  <c r="E10349" i="1"/>
  <c r="C10349" i="1"/>
  <c r="G10348" i="1"/>
  <c r="E10348" i="1"/>
  <c r="C10348" i="1"/>
  <c r="G10347" i="1"/>
  <c r="E10347" i="1"/>
  <c r="C10347" i="1"/>
  <c r="G10346" i="1"/>
  <c r="E10346" i="1"/>
  <c r="C10346" i="1"/>
  <c r="G10345" i="1"/>
  <c r="E10345" i="1"/>
  <c r="C10345" i="1"/>
  <c r="G10344" i="1"/>
  <c r="E10344" i="1"/>
  <c r="C10344" i="1"/>
  <c r="G10343" i="1"/>
  <c r="E10343" i="1"/>
  <c r="C10343" i="1"/>
  <c r="G10342" i="1"/>
  <c r="E10342" i="1"/>
  <c r="C10342" i="1"/>
  <c r="G10341" i="1"/>
  <c r="E10341" i="1"/>
  <c r="C10341" i="1"/>
  <c r="G10340" i="1"/>
  <c r="E10340" i="1"/>
  <c r="C10340" i="1"/>
  <c r="G10339" i="1"/>
  <c r="E10339" i="1"/>
  <c r="C10339" i="1"/>
  <c r="G10338" i="1"/>
  <c r="E10338" i="1"/>
  <c r="C10338" i="1"/>
  <c r="G10337" i="1"/>
  <c r="E10337" i="1"/>
  <c r="C10337" i="1"/>
  <c r="G10336" i="1"/>
  <c r="E10336" i="1"/>
  <c r="C10336" i="1"/>
  <c r="G10335" i="1"/>
  <c r="E10335" i="1"/>
  <c r="C10335" i="1"/>
  <c r="G10334" i="1"/>
  <c r="E10334" i="1"/>
  <c r="C10334" i="1"/>
  <c r="G10333" i="1"/>
  <c r="E10333" i="1"/>
  <c r="C10333" i="1"/>
  <c r="G10332" i="1"/>
  <c r="E10332" i="1"/>
  <c r="C10332" i="1"/>
  <c r="G10331" i="1"/>
  <c r="E10331" i="1"/>
  <c r="C10331" i="1"/>
  <c r="G10330" i="1"/>
  <c r="E10330" i="1"/>
  <c r="C10330" i="1"/>
  <c r="G10329" i="1"/>
  <c r="E10329" i="1"/>
  <c r="C10329" i="1"/>
  <c r="G10328" i="1"/>
  <c r="E10328" i="1"/>
  <c r="C10328" i="1"/>
  <c r="G10327" i="1"/>
  <c r="E10327" i="1"/>
  <c r="C10327" i="1"/>
  <c r="G10326" i="1"/>
  <c r="E10326" i="1"/>
  <c r="C10326" i="1"/>
  <c r="G10325" i="1"/>
  <c r="E10325" i="1"/>
  <c r="C10325" i="1"/>
  <c r="G10324" i="1"/>
  <c r="E10324" i="1"/>
  <c r="C10324" i="1"/>
  <c r="G10323" i="1"/>
  <c r="E10323" i="1"/>
  <c r="C10323" i="1"/>
  <c r="G10322" i="1"/>
  <c r="E10322" i="1"/>
  <c r="C10322" i="1"/>
  <c r="G10321" i="1"/>
  <c r="E10321" i="1"/>
  <c r="C10321" i="1"/>
  <c r="G10320" i="1"/>
  <c r="E10320" i="1"/>
  <c r="C10320" i="1"/>
  <c r="G10319" i="1"/>
  <c r="E10319" i="1"/>
  <c r="C10319" i="1"/>
  <c r="G10318" i="1"/>
  <c r="E10318" i="1"/>
  <c r="C10318" i="1"/>
  <c r="G10317" i="1"/>
  <c r="E10317" i="1"/>
  <c r="C10317" i="1"/>
  <c r="G10316" i="1"/>
  <c r="E10316" i="1"/>
  <c r="C10316" i="1"/>
  <c r="G10315" i="1"/>
  <c r="E10315" i="1"/>
  <c r="C10315" i="1"/>
  <c r="G10314" i="1"/>
  <c r="E10314" i="1"/>
  <c r="C10314" i="1"/>
  <c r="G10313" i="1"/>
  <c r="E10313" i="1"/>
  <c r="C10313" i="1"/>
  <c r="G10312" i="1"/>
  <c r="E10312" i="1"/>
  <c r="C10312" i="1"/>
  <c r="G10311" i="1"/>
  <c r="E10311" i="1"/>
  <c r="C10311" i="1"/>
  <c r="G10310" i="1"/>
  <c r="E10310" i="1"/>
  <c r="C10310" i="1"/>
  <c r="G10309" i="1"/>
  <c r="E10309" i="1"/>
  <c r="C10309" i="1"/>
  <c r="G10308" i="1"/>
  <c r="E10308" i="1"/>
  <c r="C10308" i="1"/>
  <c r="G10307" i="1"/>
  <c r="E10307" i="1"/>
  <c r="C10307" i="1"/>
  <c r="G10306" i="1"/>
  <c r="E10306" i="1"/>
  <c r="C10306" i="1"/>
  <c r="G10305" i="1"/>
  <c r="E10305" i="1"/>
  <c r="C10305" i="1"/>
  <c r="G10304" i="1"/>
  <c r="E10304" i="1"/>
  <c r="C10304" i="1"/>
  <c r="G10303" i="1"/>
  <c r="E10303" i="1"/>
  <c r="C10303" i="1"/>
  <c r="G10302" i="1"/>
  <c r="E10302" i="1"/>
  <c r="C10302" i="1"/>
  <c r="G10301" i="1"/>
  <c r="E10301" i="1"/>
  <c r="C10301" i="1"/>
  <c r="G10300" i="1"/>
  <c r="E10300" i="1"/>
  <c r="C10300" i="1"/>
  <c r="G10299" i="1"/>
  <c r="E10299" i="1"/>
  <c r="C10299" i="1"/>
  <c r="G10298" i="1"/>
  <c r="E10298" i="1"/>
  <c r="C10298" i="1"/>
  <c r="G10297" i="1"/>
  <c r="E10297" i="1"/>
  <c r="C10297" i="1"/>
  <c r="G10296" i="1"/>
  <c r="E10296" i="1"/>
  <c r="C10296" i="1"/>
  <c r="G10295" i="1"/>
  <c r="E10295" i="1"/>
  <c r="C10295" i="1"/>
  <c r="G10294" i="1"/>
  <c r="E10294" i="1"/>
  <c r="C10294" i="1"/>
  <c r="G10293" i="1"/>
  <c r="E10293" i="1"/>
  <c r="C10293" i="1"/>
  <c r="G10292" i="1"/>
  <c r="E10292" i="1"/>
  <c r="C10292" i="1"/>
  <c r="G10291" i="1"/>
  <c r="E10291" i="1"/>
  <c r="C10291" i="1"/>
  <c r="G10290" i="1"/>
  <c r="E10290" i="1"/>
  <c r="C10290" i="1"/>
  <c r="G10289" i="1"/>
  <c r="E10289" i="1"/>
  <c r="C10289" i="1"/>
  <c r="G10288" i="1"/>
  <c r="E10288" i="1"/>
  <c r="C10288" i="1"/>
  <c r="G10287" i="1"/>
  <c r="E10287" i="1"/>
  <c r="C10287" i="1"/>
  <c r="G10286" i="1"/>
  <c r="E10286" i="1"/>
  <c r="C10286" i="1"/>
  <c r="G10285" i="1"/>
  <c r="E10285" i="1"/>
  <c r="C10285" i="1"/>
  <c r="G10284" i="1"/>
  <c r="E10284" i="1"/>
  <c r="C10284" i="1"/>
  <c r="G10283" i="1"/>
  <c r="E10283" i="1"/>
  <c r="C10283" i="1"/>
  <c r="G10282" i="1"/>
  <c r="E10282" i="1"/>
  <c r="C10282" i="1"/>
  <c r="G10281" i="1"/>
  <c r="E10281" i="1"/>
  <c r="C10281" i="1"/>
  <c r="G10280" i="1"/>
  <c r="E10280" i="1"/>
  <c r="C10280" i="1"/>
  <c r="G10279" i="1"/>
  <c r="E10279" i="1"/>
  <c r="C10279" i="1"/>
  <c r="G10278" i="1"/>
  <c r="E10278" i="1"/>
  <c r="C10278" i="1"/>
  <c r="G10277" i="1"/>
  <c r="E10277" i="1"/>
  <c r="C10277" i="1"/>
  <c r="G10276" i="1"/>
  <c r="E10276" i="1"/>
  <c r="C10276" i="1"/>
  <c r="G10275" i="1"/>
  <c r="E10275" i="1"/>
  <c r="C10275" i="1"/>
  <c r="G10274" i="1"/>
  <c r="E10274" i="1"/>
  <c r="C10274" i="1"/>
  <c r="G10273" i="1"/>
  <c r="E10273" i="1"/>
  <c r="C10273" i="1"/>
  <c r="G10272" i="1"/>
  <c r="E10272" i="1"/>
  <c r="C10272" i="1"/>
  <c r="G10271" i="1"/>
  <c r="E10271" i="1"/>
  <c r="C10271" i="1"/>
  <c r="G10270" i="1"/>
  <c r="E10270" i="1"/>
  <c r="C10270" i="1"/>
  <c r="G10269" i="1"/>
  <c r="E10269" i="1"/>
  <c r="C10269" i="1"/>
  <c r="G10268" i="1"/>
  <c r="E10268" i="1"/>
  <c r="C10268" i="1"/>
  <c r="G10267" i="1"/>
  <c r="E10267" i="1"/>
  <c r="C10267" i="1"/>
  <c r="G10266" i="1"/>
  <c r="E10266" i="1"/>
  <c r="C10266" i="1"/>
  <c r="G10265" i="1"/>
  <c r="E10265" i="1"/>
  <c r="C10265" i="1"/>
  <c r="G10264" i="1"/>
  <c r="E10264" i="1"/>
  <c r="C10264" i="1"/>
  <c r="G10263" i="1"/>
  <c r="E10263" i="1"/>
  <c r="C10263" i="1"/>
  <c r="G10262" i="1"/>
  <c r="E10262" i="1"/>
  <c r="C10262" i="1"/>
  <c r="G10261" i="1"/>
  <c r="E10261" i="1"/>
  <c r="C10261" i="1"/>
  <c r="G10260" i="1"/>
  <c r="E10260" i="1"/>
  <c r="C10260" i="1"/>
  <c r="G10259" i="1"/>
  <c r="E10259" i="1"/>
  <c r="C10259" i="1"/>
  <c r="G10258" i="1"/>
  <c r="E10258" i="1"/>
  <c r="C10258" i="1"/>
  <c r="G10257" i="1"/>
  <c r="E10257" i="1"/>
  <c r="C10257" i="1"/>
  <c r="G10256" i="1"/>
  <c r="E10256" i="1"/>
  <c r="C10256" i="1"/>
  <c r="G10255" i="1"/>
  <c r="E10255" i="1"/>
  <c r="C10255" i="1"/>
  <c r="G10254" i="1"/>
  <c r="E10254" i="1"/>
  <c r="C10254" i="1"/>
  <c r="G10253" i="1"/>
  <c r="E10253" i="1"/>
  <c r="C10253" i="1"/>
  <c r="G10252" i="1"/>
  <c r="E10252" i="1"/>
  <c r="C10252" i="1"/>
  <c r="G10251" i="1"/>
  <c r="E10251" i="1"/>
  <c r="C10251" i="1"/>
  <c r="G10250" i="1"/>
  <c r="E10250" i="1"/>
  <c r="C10250" i="1"/>
  <c r="G10249" i="1"/>
  <c r="E10249" i="1"/>
  <c r="C10249" i="1"/>
  <c r="G10248" i="1"/>
  <c r="E10248" i="1"/>
  <c r="C10248" i="1"/>
  <c r="G10247" i="1"/>
  <c r="E10247" i="1"/>
  <c r="C10247" i="1"/>
  <c r="G10246" i="1"/>
  <c r="E10246" i="1"/>
  <c r="C10246" i="1"/>
  <c r="G10245" i="1"/>
  <c r="E10245" i="1"/>
  <c r="C10245" i="1"/>
  <c r="G10244" i="1"/>
  <c r="E10244" i="1"/>
  <c r="C10244" i="1"/>
  <c r="G10243" i="1"/>
  <c r="E10243" i="1"/>
  <c r="C10243" i="1"/>
  <c r="G10242" i="1"/>
  <c r="E10242" i="1"/>
  <c r="C10242" i="1"/>
  <c r="G10241" i="1"/>
  <c r="E10241" i="1"/>
  <c r="C10241" i="1"/>
  <c r="G10240" i="1"/>
  <c r="E10240" i="1"/>
  <c r="C10240" i="1"/>
  <c r="G10239" i="1"/>
  <c r="E10239" i="1"/>
  <c r="C10239" i="1"/>
  <c r="G10238" i="1"/>
  <c r="E10238" i="1"/>
  <c r="C10238" i="1"/>
  <c r="G10237" i="1"/>
  <c r="E10237" i="1"/>
  <c r="C10237" i="1"/>
  <c r="G10236" i="1"/>
  <c r="E10236" i="1"/>
  <c r="C10236" i="1"/>
  <c r="G10235" i="1"/>
  <c r="E10235" i="1"/>
  <c r="C10235" i="1"/>
  <c r="G10234" i="1"/>
  <c r="E10234" i="1"/>
  <c r="C10234" i="1"/>
  <c r="G10233" i="1"/>
  <c r="E10233" i="1"/>
  <c r="C10233" i="1"/>
  <c r="G10232" i="1"/>
  <c r="E10232" i="1"/>
  <c r="C10232" i="1"/>
  <c r="G10231" i="1"/>
  <c r="E10231" i="1"/>
  <c r="C10231" i="1"/>
  <c r="G10230" i="1"/>
  <c r="E10230" i="1"/>
  <c r="C10230" i="1"/>
  <c r="G10229" i="1"/>
  <c r="E10229" i="1"/>
  <c r="C10229" i="1"/>
  <c r="G10228" i="1"/>
  <c r="E10228" i="1"/>
  <c r="C10228" i="1"/>
  <c r="G10227" i="1"/>
  <c r="E10227" i="1"/>
  <c r="C10227" i="1"/>
  <c r="G10226" i="1"/>
  <c r="E10226" i="1"/>
  <c r="C10226" i="1"/>
  <c r="G10225" i="1"/>
  <c r="E10225" i="1"/>
  <c r="C10225" i="1"/>
  <c r="G10224" i="1"/>
  <c r="E10224" i="1"/>
  <c r="C10224" i="1"/>
  <c r="G10223" i="1"/>
  <c r="E10223" i="1"/>
  <c r="C10223" i="1"/>
  <c r="G10222" i="1"/>
  <c r="E10222" i="1"/>
  <c r="C10222" i="1"/>
  <c r="G10221" i="1"/>
  <c r="E10221" i="1"/>
  <c r="C10221" i="1"/>
  <c r="G10220" i="1"/>
  <c r="E10220" i="1"/>
  <c r="C10220" i="1"/>
  <c r="G10219" i="1"/>
  <c r="E10219" i="1"/>
  <c r="C10219" i="1"/>
  <c r="G10218" i="1"/>
  <c r="E10218" i="1"/>
  <c r="C10218" i="1"/>
  <c r="G10217" i="1"/>
  <c r="E10217" i="1"/>
  <c r="C10217" i="1"/>
  <c r="G10216" i="1"/>
  <c r="E10216" i="1"/>
  <c r="C10216" i="1"/>
  <c r="G10215" i="1"/>
  <c r="E10215" i="1"/>
  <c r="C10215" i="1"/>
  <c r="G10214" i="1"/>
  <c r="E10214" i="1"/>
  <c r="C10214" i="1"/>
  <c r="G10213" i="1"/>
  <c r="E10213" i="1"/>
  <c r="C10213" i="1"/>
  <c r="G10212" i="1"/>
  <c r="E10212" i="1"/>
  <c r="C10212" i="1"/>
  <c r="G10211" i="1"/>
  <c r="E10211" i="1"/>
  <c r="C10211" i="1"/>
  <c r="G10210" i="1"/>
  <c r="E10210" i="1"/>
  <c r="C10210" i="1"/>
  <c r="G10209" i="1"/>
  <c r="E10209" i="1"/>
  <c r="C10209" i="1"/>
  <c r="G10208" i="1"/>
  <c r="E10208" i="1"/>
  <c r="C10208" i="1"/>
  <c r="G10207" i="1"/>
  <c r="E10207" i="1"/>
  <c r="C10207" i="1"/>
  <c r="G10206" i="1"/>
  <c r="E10206" i="1"/>
  <c r="C10206" i="1"/>
  <c r="G10205" i="1"/>
  <c r="E10205" i="1"/>
  <c r="C10205" i="1"/>
  <c r="G10204" i="1"/>
  <c r="E10204" i="1"/>
  <c r="C10204" i="1"/>
  <c r="G10203" i="1"/>
  <c r="E10203" i="1"/>
  <c r="C10203" i="1"/>
  <c r="G10202" i="1"/>
  <c r="E10202" i="1"/>
  <c r="C10202" i="1"/>
  <c r="G10201" i="1"/>
  <c r="E10201" i="1"/>
  <c r="C10201" i="1"/>
  <c r="G10200" i="1"/>
  <c r="E10200" i="1"/>
  <c r="C10200" i="1"/>
  <c r="G10199" i="1"/>
  <c r="E10199" i="1"/>
  <c r="C10199" i="1"/>
  <c r="G10198" i="1"/>
  <c r="E10198" i="1"/>
  <c r="C10198" i="1"/>
  <c r="G10197" i="1"/>
  <c r="E10197" i="1"/>
  <c r="C10197" i="1"/>
  <c r="G10196" i="1"/>
  <c r="E10196" i="1"/>
  <c r="C10196" i="1"/>
  <c r="G10195" i="1"/>
  <c r="E10195" i="1"/>
  <c r="C10195" i="1"/>
  <c r="G10194" i="1"/>
  <c r="E10194" i="1"/>
  <c r="C10194" i="1"/>
  <c r="G10193" i="1"/>
  <c r="E10193" i="1"/>
  <c r="C10193" i="1"/>
  <c r="G10192" i="1"/>
  <c r="E10192" i="1"/>
  <c r="C10192" i="1"/>
  <c r="G10191" i="1"/>
  <c r="E10191" i="1"/>
  <c r="C10191" i="1"/>
  <c r="G10190" i="1"/>
  <c r="E10190" i="1"/>
  <c r="C10190" i="1"/>
  <c r="G10189" i="1"/>
  <c r="E10189" i="1"/>
  <c r="C10189" i="1"/>
  <c r="G10188" i="1"/>
  <c r="E10188" i="1"/>
  <c r="C10188" i="1"/>
  <c r="G10187" i="1"/>
  <c r="E10187" i="1"/>
  <c r="C10187" i="1"/>
  <c r="G10186" i="1"/>
  <c r="E10186" i="1"/>
  <c r="C10186" i="1"/>
  <c r="G10185" i="1"/>
  <c r="E10185" i="1"/>
  <c r="C10185" i="1"/>
  <c r="G10184" i="1"/>
  <c r="E10184" i="1"/>
  <c r="C10184" i="1"/>
  <c r="G10183" i="1"/>
  <c r="E10183" i="1"/>
  <c r="C10183" i="1"/>
  <c r="G10182" i="1"/>
  <c r="E10182" i="1"/>
  <c r="C10182" i="1"/>
  <c r="G10181" i="1"/>
  <c r="E10181" i="1"/>
  <c r="C10181" i="1"/>
  <c r="G10180" i="1"/>
  <c r="E10180" i="1"/>
  <c r="C10180" i="1"/>
  <c r="G10179" i="1"/>
  <c r="E10179" i="1"/>
  <c r="C10179" i="1"/>
  <c r="G10178" i="1"/>
  <c r="E10178" i="1"/>
  <c r="C10178" i="1"/>
  <c r="G10177" i="1"/>
  <c r="E10177" i="1"/>
  <c r="C10177" i="1"/>
  <c r="G10176" i="1"/>
  <c r="E10176" i="1"/>
  <c r="C10176" i="1"/>
  <c r="G10175" i="1"/>
  <c r="E10175" i="1"/>
  <c r="C10175" i="1"/>
  <c r="G10174" i="1"/>
  <c r="E10174" i="1"/>
  <c r="C10174" i="1"/>
  <c r="G10173" i="1"/>
  <c r="E10173" i="1"/>
  <c r="C10173" i="1"/>
  <c r="G10172" i="1"/>
  <c r="E10172" i="1"/>
  <c r="C10172" i="1"/>
  <c r="G10171" i="1"/>
  <c r="E10171" i="1"/>
  <c r="C10171" i="1"/>
  <c r="G10170" i="1"/>
  <c r="E10170" i="1"/>
  <c r="C10170" i="1"/>
  <c r="G10169" i="1"/>
  <c r="E10169" i="1"/>
  <c r="C10169" i="1"/>
  <c r="G10168" i="1"/>
  <c r="E10168" i="1"/>
  <c r="C10168" i="1"/>
  <c r="G10167" i="1"/>
  <c r="E10167" i="1"/>
  <c r="C10167" i="1"/>
  <c r="G10166" i="1"/>
  <c r="E10166" i="1"/>
  <c r="C10166" i="1"/>
  <c r="G10165" i="1"/>
  <c r="E10165" i="1"/>
  <c r="C10165" i="1"/>
  <c r="G10164" i="1"/>
  <c r="E10164" i="1"/>
  <c r="C10164" i="1"/>
  <c r="G10163" i="1"/>
  <c r="E10163" i="1"/>
  <c r="C10163" i="1"/>
  <c r="G10162" i="1"/>
  <c r="E10162" i="1"/>
  <c r="C10162" i="1"/>
  <c r="G10161" i="1"/>
  <c r="E10161" i="1"/>
  <c r="C10161" i="1"/>
  <c r="G10160" i="1"/>
  <c r="E10160" i="1"/>
  <c r="C10160" i="1"/>
  <c r="G10159" i="1"/>
  <c r="E10159" i="1"/>
  <c r="C10159" i="1"/>
  <c r="G10158" i="1"/>
  <c r="E10158" i="1"/>
  <c r="C10158" i="1"/>
  <c r="G10157" i="1"/>
  <c r="E10157" i="1"/>
  <c r="C10157" i="1"/>
  <c r="G10156" i="1"/>
  <c r="E10156" i="1"/>
  <c r="C10156" i="1"/>
  <c r="G10155" i="1"/>
  <c r="E10155" i="1"/>
  <c r="C10155" i="1"/>
  <c r="G10154" i="1"/>
  <c r="E10154" i="1"/>
  <c r="C10154" i="1"/>
  <c r="G10153" i="1"/>
  <c r="E10153" i="1"/>
  <c r="C10153" i="1"/>
  <c r="G10152" i="1"/>
  <c r="E10152" i="1"/>
  <c r="C10152" i="1"/>
  <c r="G10151" i="1"/>
  <c r="E10151" i="1"/>
  <c r="C10151" i="1"/>
  <c r="G10150" i="1"/>
  <c r="E10150" i="1"/>
  <c r="C10150" i="1"/>
  <c r="G10149" i="1"/>
  <c r="E10149" i="1"/>
  <c r="C10149" i="1"/>
  <c r="G10148" i="1"/>
  <c r="E10148" i="1"/>
  <c r="C10148" i="1"/>
  <c r="G10147" i="1"/>
  <c r="E10147" i="1"/>
  <c r="C10147" i="1"/>
  <c r="G10146" i="1"/>
  <c r="E10146" i="1"/>
  <c r="C10146" i="1"/>
  <c r="G10145" i="1"/>
  <c r="E10145" i="1"/>
  <c r="C10145" i="1"/>
  <c r="G10144" i="1"/>
  <c r="E10144" i="1"/>
  <c r="C10144" i="1"/>
  <c r="G10143" i="1"/>
  <c r="E10143" i="1"/>
  <c r="C10143" i="1"/>
  <c r="G10142" i="1"/>
  <c r="E10142" i="1"/>
  <c r="C10142" i="1"/>
  <c r="G10141" i="1"/>
  <c r="E10141" i="1"/>
  <c r="C10141" i="1"/>
  <c r="G10140" i="1"/>
  <c r="E10140" i="1"/>
  <c r="C10140" i="1"/>
  <c r="G10139" i="1"/>
  <c r="E10139" i="1"/>
  <c r="C10139" i="1"/>
  <c r="G10138" i="1"/>
  <c r="E10138" i="1"/>
  <c r="C10138" i="1"/>
  <c r="G10137" i="1"/>
  <c r="E10137" i="1"/>
  <c r="C10137" i="1"/>
  <c r="G10136" i="1"/>
  <c r="E10136" i="1"/>
  <c r="C10136" i="1"/>
  <c r="G10135" i="1"/>
  <c r="E10135" i="1"/>
  <c r="C10135" i="1"/>
  <c r="G10134" i="1"/>
  <c r="E10134" i="1"/>
  <c r="C10134" i="1"/>
  <c r="G10133" i="1"/>
  <c r="E10133" i="1"/>
  <c r="C10133" i="1"/>
  <c r="G10132" i="1"/>
  <c r="E10132" i="1"/>
  <c r="C10132" i="1"/>
  <c r="G10131" i="1"/>
  <c r="E10131" i="1"/>
  <c r="C10131" i="1"/>
  <c r="G10130" i="1"/>
  <c r="E10130" i="1"/>
  <c r="C10130" i="1"/>
  <c r="G10129" i="1"/>
  <c r="E10129" i="1"/>
  <c r="C10129" i="1"/>
  <c r="G10128" i="1"/>
  <c r="E10128" i="1"/>
  <c r="C10128" i="1"/>
  <c r="G10127" i="1"/>
  <c r="E10127" i="1"/>
  <c r="C10127" i="1"/>
  <c r="G10126" i="1"/>
  <c r="E10126" i="1"/>
  <c r="C10126" i="1"/>
  <c r="G10125" i="1"/>
  <c r="E10125" i="1"/>
  <c r="C10125" i="1"/>
  <c r="G10124" i="1"/>
  <c r="E10124" i="1"/>
  <c r="C10124" i="1"/>
  <c r="G10123" i="1"/>
  <c r="E10123" i="1"/>
  <c r="C10123" i="1"/>
  <c r="G10122" i="1"/>
  <c r="E10122" i="1"/>
  <c r="C10122" i="1"/>
  <c r="G10121" i="1"/>
  <c r="E10121" i="1"/>
  <c r="C10121" i="1"/>
  <c r="G10120" i="1"/>
  <c r="E10120" i="1"/>
  <c r="C10120" i="1"/>
  <c r="G10119" i="1"/>
  <c r="E10119" i="1"/>
  <c r="C10119" i="1"/>
  <c r="G10118" i="1"/>
  <c r="E10118" i="1"/>
  <c r="C10118" i="1"/>
  <c r="G10117" i="1"/>
  <c r="E10117" i="1"/>
  <c r="C10117" i="1"/>
  <c r="G10116" i="1"/>
  <c r="E10116" i="1"/>
  <c r="C10116" i="1"/>
  <c r="G10115" i="1"/>
  <c r="E10115" i="1"/>
  <c r="C10115" i="1"/>
  <c r="G10114" i="1"/>
  <c r="E10114" i="1"/>
  <c r="C10114" i="1"/>
  <c r="G10113" i="1"/>
  <c r="E10113" i="1"/>
  <c r="C10113" i="1"/>
  <c r="G10112" i="1"/>
  <c r="E10112" i="1"/>
  <c r="C10112" i="1"/>
  <c r="G10111" i="1"/>
  <c r="E10111" i="1"/>
  <c r="C10111" i="1"/>
  <c r="G10110" i="1"/>
  <c r="E10110" i="1"/>
  <c r="C10110" i="1"/>
  <c r="G10109" i="1"/>
  <c r="E10109" i="1"/>
  <c r="C10109" i="1"/>
  <c r="G10108" i="1"/>
  <c r="E10108" i="1"/>
  <c r="C10108" i="1"/>
  <c r="G10107" i="1"/>
  <c r="E10107" i="1"/>
  <c r="C10107" i="1"/>
  <c r="G10106" i="1"/>
  <c r="E10106" i="1"/>
  <c r="C10106" i="1"/>
  <c r="G10105" i="1"/>
  <c r="E10105" i="1"/>
  <c r="C10105" i="1"/>
  <c r="G10104" i="1"/>
  <c r="E10104" i="1"/>
  <c r="C10104" i="1"/>
  <c r="G10103" i="1"/>
  <c r="E10103" i="1"/>
  <c r="C10103" i="1"/>
  <c r="G10102" i="1"/>
  <c r="E10102" i="1"/>
  <c r="C10102" i="1"/>
  <c r="G10101" i="1"/>
  <c r="E10101" i="1"/>
  <c r="C10101" i="1"/>
  <c r="G10100" i="1"/>
  <c r="E10100" i="1"/>
  <c r="C10100" i="1"/>
  <c r="G10099" i="1"/>
  <c r="E10099" i="1"/>
  <c r="C10099" i="1"/>
  <c r="G10098" i="1"/>
  <c r="E10098" i="1"/>
  <c r="C10098" i="1"/>
  <c r="G10097" i="1"/>
  <c r="E10097" i="1"/>
  <c r="C10097" i="1"/>
  <c r="G10096" i="1"/>
  <c r="E10096" i="1"/>
  <c r="C10096" i="1"/>
  <c r="G10095" i="1"/>
  <c r="E10095" i="1"/>
  <c r="C10095" i="1"/>
  <c r="G10094" i="1"/>
  <c r="E10094" i="1"/>
  <c r="C10094" i="1"/>
  <c r="G10093" i="1"/>
  <c r="E10093" i="1"/>
  <c r="C10093" i="1"/>
  <c r="G10092" i="1"/>
  <c r="E10092" i="1"/>
  <c r="C10092" i="1"/>
  <c r="G10091" i="1"/>
  <c r="E10091" i="1"/>
  <c r="C10091" i="1"/>
  <c r="G10090" i="1"/>
  <c r="E10090" i="1"/>
  <c r="C10090" i="1"/>
  <c r="G10089" i="1"/>
  <c r="E10089" i="1"/>
  <c r="C10089" i="1"/>
  <c r="G10088" i="1"/>
  <c r="E10088" i="1"/>
  <c r="C10088" i="1"/>
  <c r="G10087" i="1"/>
  <c r="E10087" i="1"/>
  <c r="C10087" i="1"/>
  <c r="G10086" i="1"/>
  <c r="E10086" i="1"/>
  <c r="C10086" i="1"/>
  <c r="G10085" i="1"/>
  <c r="E10085" i="1"/>
  <c r="C10085" i="1"/>
  <c r="G10084" i="1"/>
  <c r="E10084" i="1"/>
  <c r="C10084" i="1"/>
  <c r="G10083" i="1"/>
  <c r="E10083" i="1"/>
  <c r="C10083" i="1"/>
  <c r="G10082" i="1"/>
  <c r="E10082" i="1"/>
  <c r="C10082" i="1"/>
  <c r="G10081" i="1"/>
  <c r="E10081" i="1"/>
  <c r="C10081" i="1"/>
  <c r="G10080" i="1"/>
  <c r="E10080" i="1"/>
  <c r="C10080" i="1"/>
  <c r="G10079" i="1"/>
  <c r="E10079" i="1"/>
  <c r="C10079" i="1"/>
  <c r="G10078" i="1"/>
  <c r="E10078" i="1"/>
  <c r="C10078" i="1"/>
  <c r="G10077" i="1"/>
  <c r="E10077" i="1"/>
  <c r="C10077" i="1"/>
  <c r="G10076" i="1"/>
  <c r="E10076" i="1"/>
  <c r="C10076" i="1"/>
  <c r="G10075" i="1"/>
  <c r="E10075" i="1"/>
  <c r="C10075" i="1"/>
  <c r="G10074" i="1"/>
  <c r="E10074" i="1"/>
  <c r="C10074" i="1"/>
  <c r="G10073" i="1"/>
  <c r="E10073" i="1"/>
  <c r="C10073" i="1"/>
  <c r="G10072" i="1"/>
  <c r="E10072" i="1"/>
  <c r="C10072" i="1"/>
  <c r="G10071" i="1"/>
  <c r="E10071" i="1"/>
  <c r="C10071" i="1"/>
  <c r="G10070" i="1"/>
  <c r="E10070" i="1"/>
  <c r="C10070" i="1"/>
  <c r="G10069" i="1"/>
  <c r="E10069" i="1"/>
  <c r="C10069" i="1"/>
  <c r="G10068" i="1"/>
  <c r="E10068" i="1"/>
  <c r="C10068" i="1"/>
  <c r="G10067" i="1"/>
  <c r="E10067" i="1"/>
  <c r="C10067" i="1"/>
  <c r="G10066" i="1"/>
  <c r="E10066" i="1"/>
  <c r="C10066" i="1"/>
  <c r="G10065" i="1"/>
  <c r="E10065" i="1"/>
  <c r="C10065" i="1"/>
  <c r="G10064" i="1"/>
  <c r="E10064" i="1"/>
  <c r="C10064" i="1"/>
  <c r="G10063" i="1"/>
  <c r="E10063" i="1"/>
  <c r="C10063" i="1"/>
  <c r="G10062" i="1"/>
  <c r="E10062" i="1"/>
  <c r="C10062" i="1"/>
  <c r="G10061" i="1"/>
  <c r="E10061" i="1"/>
  <c r="C10061" i="1"/>
  <c r="G10060" i="1"/>
  <c r="E10060" i="1"/>
  <c r="C10060" i="1"/>
  <c r="G10059" i="1"/>
  <c r="E10059" i="1"/>
  <c r="C10059" i="1"/>
  <c r="G10058" i="1"/>
  <c r="E10058" i="1"/>
  <c r="C10058" i="1"/>
  <c r="G10057" i="1"/>
  <c r="E10057" i="1"/>
  <c r="C10057" i="1"/>
  <c r="G10056" i="1"/>
  <c r="E10056" i="1"/>
  <c r="C10056" i="1"/>
  <c r="G10055" i="1"/>
  <c r="E10055" i="1"/>
  <c r="C10055" i="1"/>
  <c r="G10054" i="1"/>
  <c r="E10054" i="1"/>
  <c r="C10054" i="1"/>
  <c r="G10053" i="1"/>
  <c r="E10053" i="1"/>
  <c r="C10053" i="1"/>
  <c r="G10052" i="1"/>
  <c r="E10052" i="1"/>
  <c r="C10052" i="1"/>
  <c r="G10051" i="1"/>
  <c r="E10051" i="1"/>
  <c r="C10051" i="1"/>
  <c r="G10050" i="1"/>
  <c r="E10050" i="1"/>
  <c r="C10050" i="1"/>
  <c r="G10049" i="1"/>
  <c r="E10049" i="1"/>
  <c r="C10049" i="1"/>
  <c r="G10048" i="1"/>
  <c r="E10048" i="1"/>
  <c r="C10048" i="1"/>
  <c r="G10047" i="1"/>
  <c r="E10047" i="1"/>
  <c r="C10047" i="1"/>
  <c r="G10046" i="1"/>
  <c r="E10046" i="1"/>
  <c r="C10046" i="1"/>
  <c r="G10045" i="1"/>
  <c r="E10045" i="1"/>
  <c r="C10045" i="1"/>
  <c r="G10044" i="1"/>
  <c r="E10044" i="1"/>
  <c r="C10044" i="1"/>
  <c r="G10043" i="1"/>
  <c r="E10043" i="1"/>
  <c r="C10043" i="1"/>
  <c r="G10042" i="1"/>
  <c r="E10042" i="1"/>
  <c r="C10042" i="1"/>
  <c r="G10041" i="1"/>
  <c r="E10041" i="1"/>
  <c r="C10041" i="1"/>
  <c r="G10040" i="1"/>
  <c r="E10040" i="1"/>
  <c r="C10040" i="1"/>
  <c r="G10039" i="1"/>
  <c r="E10039" i="1"/>
  <c r="C10039" i="1"/>
  <c r="G10038" i="1"/>
  <c r="E10038" i="1"/>
  <c r="C10038" i="1"/>
  <c r="G10037" i="1"/>
  <c r="E10037" i="1"/>
  <c r="C10037" i="1"/>
  <c r="G10036" i="1"/>
  <c r="E10036" i="1"/>
  <c r="C10036" i="1"/>
  <c r="G10035" i="1"/>
  <c r="E10035" i="1"/>
  <c r="C10035" i="1"/>
  <c r="G10034" i="1"/>
  <c r="E10034" i="1"/>
  <c r="C10034" i="1"/>
  <c r="G10033" i="1"/>
  <c r="E10033" i="1"/>
  <c r="C10033" i="1"/>
  <c r="G10032" i="1"/>
  <c r="E10032" i="1"/>
  <c r="C10032" i="1"/>
  <c r="G10031" i="1"/>
  <c r="E10031" i="1"/>
  <c r="C10031" i="1"/>
  <c r="G10030" i="1"/>
  <c r="E10030" i="1"/>
  <c r="C10030" i="1"/>
  <c r="G10029" i="1"/>
  <c r="E10029" i="1"/>
  <c r="C10029" i="1"/>
  <c r="G10028" i="1"/>
  <c r="E10028" i="1"/>
  <c r="C10028" i="1"/>
  <c r="G10027" i="1"/>
  <c r="E10027" i="1"/>
  <c r="C10027" i="1"/>
  <c r="G10026" i="1"/>
  <c r="E10026" i="1"/>
  <c r="C10026" i="1"/>
  <c r="G10025" i="1"/>
  <c r="E10025" i="1"/>
  <c r="C10025" i="1"/>
  <c r="G10024" i="1"/>
  <c r="E10024" i="1"/>
  <c r="C10024" i="1"/>
  <c r="G10023" i="1"/>
  <c r="E10023" i="1"/>
  <c r="C10023" i="1"/>
  <c r="G10022" i="1"/>
  <c r="E10022" i="1"/>
  <c r="C10022" i="1"/>
  <c r="G10021" i="1"/>
  <c r="E10021" i="1"/>
  <c r="C10021" i="1"/>
  <c r="G10020" i="1"/>
  <c r="E10020" i="1"/>
  <c r="C10020" i="1"/>
  <c r="G10019" i="1"/>
  <c r="E10019" i="1"/>
  <c r="C10019" i="1"/>
  <c r="G10018" i="1"/>
  <c r="E10018" i="1"/>
  <c r="C10018" i="1"/>
  <c r="G10017" i="1"/>
  <c r="E10017" i="1"/>
  <c r="C10017" i="1"/>
  <c r="G10016" i="1"/>
  <c r="E10016" i="1"/>
  <c r="C10016" i="1"/>
  <c r="G10015" i="1"/>
  <c r="E10015" i="1"/>
  <c r="C10015" i="1"/>
  <c r="G10014" i="1"/>
  <c r="E10014" i="1"/>
  <c r="C10014" i="1"/>
  <c r="G10013" i="1"/>
  <c r="E10013" i="1"/>
  <c r="C10013" i="1"/>
  <c r="G10012" i="1"/>
  <c r="E10012" i="1"/>
  <c r="C10012" i="1"/>
  <c r="G10011" i="1"/>
  <c r="E10011" i="1"/>
  <c r="C10011" i="1"/>
  <c r="G10010" i="1"/>
  <c r="E10010" i="1"/>
  <c r="C10010" i="1"/>
  <c r="G10009" i="1"/>
  <c r="E10009" i="1"/>
  <c r="C10009" i="1"/>
  <c r="G10008" i="1"/>
  <c r="E10008" i="1"/>
  <c r="C10008" i="1"/>
  <c r="G10007" i="1"/>
  <c r="E10007" i="1"/>
  <c r="C10007" i="1"/>
  <c r="G10006" i="1"/>
  <c r="E10006" i="1"/>
  <c r="C10006" i="1"/>
  <c r="G10005" i="1"/>
  <c r="E10005" i="1"/>
  <c r="C10005" i="1"/>
  <c r="G10004" i="1"/>
  <c r="E10004" i="1"/>
  <c r="C10004" i="1"/>
  <c r="G10003" i="1"/>
  <c r="E10003" i="1"/>
  <c r="C10003" i="1"/>
  <c r="G10002" i="1"/>
  <c r="E10002" i="1"/>
  <c r="C10002" i="1"/>
  <c r="G10001" i="1"/>
  <c r="E10001" i="1"/>
  <c r="C10001" i="1"/>
  <c r="G10000" i="1"/>
  <c r="E10000" i="1"/>
  <c r="C10000" i="1"/>
  <c r="G9999" i="1"/>
  <c r="E9999" i="1"/>
  <c r="C9999" i="1"/>
  <c r="G9998" i="1"/>
  <c r="E9998" i="1"/>
  <c r="C9998" i="1"/>
  <c r="G9997" i="1"/>
  <c r="E9997" i="1"/>
  <c r="C9997" i="1"/>
  <c r="G9996" i="1"/>
  <c r="E9996" i="1"/>
  <c r="C9996" i="1"/>
  <c r="G9995" i="1"/>
  <c r="E9995" i="1"/>
  <c r="C9995" i="1"/>
  <c r="G9994" i="1"/>
  <c r="E9994" i="1"/>
  <c r="C9994" i="1"/>
  <c r="G9993" i="1"/>
  <c r="E9993" i="1"/>
  <c r="C9993" i="1"/>
  <c r="G9992" i="1"/>
  <c r="E9992" i="1"/>
  <c r="C9992" i="1"/>
  <c r="G9991" i="1"/>
  <c r="E9991" i="1"/>
  <c r="C9991" i="1"/>
  <c r="G9990" i="1"/>
  <c r="E9990" i="1"/>
  <c r="C9990" i="1"/>
  <c r="G9989" i="1"/>
  <c r="E9989" i="1"/>
  <c r="C9989" i="1"/>
  <c r="G9988" i="1"/>
  <c r="E9988" i="1"/>
  <c r="C9988" i="1"/>
  <c r="G9987" i="1"/>
  <c r="E9987" i="1"/>
  <c r="C9987" i="1"/>
  <c r="G9986" i="1"/>
  <c r="E9986" i="1"/>
  <c r="C9986" i="1"/>
  <c r="G9985" i="1"/>
  <c r="E9985" i="1"/>
  <c r="C9985" i="1"/>
  <c r="G9984" i="1"/>
  <c r="E9984" i="1"/>
  <c r="C9984" i="1"/>
  <c r="G9983" i="1"/>
  <c r="E9983" i="1"/>
  <c r="C9983" i="1"/>
  <c r="G9982" i="1"/>
  <c r="E9982" i="1"/>
  <c r="C9982" i="1"/>
  <c r="G9981" i="1"/>
  <c r="E9981" i="1"/>
  <c r="C9981" i="1"/>
  <c r="G9980" i="1"/>
  <c r="E9980" i="1"/>
  <c r="C9980" i="1"/>
  <c r="G9979" i="1"/>
  <c r="E9979" i="1"/>
  <c r="C9979" i="1"/>
  <c r="G9978" i="1"/>
  <c r="E9978" i="1"/>
  <c r="C9978" i="1"/>
  <c r="G9977" i="1"/>
  <c r="E9977" i="1"/>
  <c r="C9977" i="1"/>
  <c r="G9976" i="1"/>
  <c r="E9976" i="1"/>
  <c r="C9976" i="1"/>
  <c r="G9975" i="1"/>
  <c r="E9975" i="1"/>
  <c r="C9975" i="1"/>
  <c r="G9974" i="1"/>
  <c r="E9974" i="1"/>
  <c r="C9974" i="1"/>
  <c r="G9973" i="1"/>
  <c r="E9973" i="1"/>
  <c r="C9973" i="1"/>
  <c r="G9972" i="1"/>
  <c r="E9972" i="1"/>
  <c r="C9972" i="1"/>
  <c r="G9971" i="1"/>
  <c r="E9971" i="1"/>
  <c r="C9971" i="1"/>
  <c r="G9970" i="1"/>
  <c r="E9970" i="1"/>
  <c r="C9970" i="1"/>
  <c r="G9969" i="1"/>
  <c r="E9969" i="1"/>
  <c r="C9969" i="1"/>
  <c r="G9968" i="1"/>
  <c r="E9968" i="1"/>
  <c r="C9968" i="1"/>
  <c r="G9967" i="1"/>
  <c r="E9967" i="1"/>
  <c r="C9967" i="1"/>
  <c r="G9966" i="1"/>
  <c r="E9966" i="1"/>
  <c r="C9966" i="1"/>
  <c r="G9965" i="1"/>
  <c r="E9965" i="1"/>
  <c r="C9965" i="1"/>
  <c r="G9964" i="1"/>
  <c r="E9964" i="1"/>
  <c r="C9964" i="1"/>
  <c r="G9963" i="1"/>
  <c r="E9963" i="1"/>
  <c r="C9963" i="1"/>
  <c r="G9962" i="1"/>
  <c r="E9962" i="1"/>
  <c r="C9962" i="1"/>
  <c r="G9961" i="1"/>
  <c r="E9961" i="1"/>
  <c r="C9961" i="1"/>
  <c r="G9960" i="1"/>
  <c r="E9960" i="1"/>
  <c r="C9960" i="1"/>
  <c r="G9959" i="1"/>
  <c r="E9959" i="1"/>
  <c r="C9959" i="1"/>
  <c r="G9958" i="1"/>
  <c r="E9958" i="1"/>
  <c r="C9958" i="1"/>
  <c r="G9957" i="1"/>
  <c r="E9957" i="1"/>
  <c r="C9957" i="1"/>
  <c r="G9956" i="1"/>
  <c r="E9956" i="1"/>
  <c r="C9956" i="1"/>
  <c r="G9955" i="1"/>
  <c r="E9955" i="1"/>
  <c r="C9955" i="1"/>
  <c r="G9954" i="1"/>
  <c r="E9954" i="1"/>
  <c r="C9954" i="1"/>
  <c r="G9953" i="1"/>
  <c r="E9953" i="1"/>
  <c r="C9953" i="1"/>
  <c r="G9952" i="1"/>
  <c r="E9952" i="1"/>
  <c r="C9952" i="1"/>
  <c r="G9951" i="1"/>
  <c r="E9951" i="1"/>
  <c r="C9951" i="1"/>
  <c r="G9950" i="1"/>
  <c r="E9950" i="1"/>
  <c r="C9950" i="1"/>
  <c r="G9949" i="1"/>
  <c r="E9949" i="1"/>
  <c r="C9949" i="1"/>
  <c r="G9948" i="1"/>
  <c r="E9948" i="1"/>
  <c r="C9948" i="1"/>
  <c r="G9947" i="1"/>
  <c r="E9947" i="1"/>
  <c r="C9947" i="1"/>
  <c r="G9946" i="1"/>
  <c r="E9946" i="1"/>
  <c r="C9946" i="1"/>
  <c r="G9945" i="1"/>
  <c r="E9945" i="1"/>
  <c r="C9945" i="1"/>
  <c r="G9944" i="1"/>
  <c r="E9944" i="1"/>
  <c r="C9944" i="1"/>
  <c r="G9943" i="1"/>
  <c r="E9943" i="1"/>
  <c r="C9943" i="1"/>
  <c r="G9942" i="1"/>
  <c r="E9942" i="1"/>
  <c r="C9942" i="1"/>
  <c r="G9941" i="1"/>
  <c r="E9941" i="1"/>
  <c r="C9941" i="1"/>
  <c r="G9940" i="1"/>
  <c r="E9940" i="1"/>
  <c r="C9940" i="1"/>
  <c r="G9939" i="1"/>
  <c r="E9939" i="1"/>
  <c r="C9939" i="1"/>
  <c r="G9938" i="1"/>
  <c r="E9938" i="1"/>
  <c r="C9938" i="1"/>
  <c r="G9937" i="1"/>
  <c r="E9937" i="1"/>
  <c r="C9937" i="1"/>
  <c r="G9936" i="1"/>
  <c r="E9936" i="1"/>
  <c r="C9936" i="1"/>
  <c r="G9935" i="1"/>
  <c r="E9935" i="1"/>
  <c r="C9935" i="1"/>
  <c r="G9934" i="1"/>
  <c r="E9934" i="1"/>
  <c r="C9934" i="1"/>
  <c r="G9933" i="1"/>
  <c r="E9933" i="1"/>
  <c r="C9933" i="1"/>
  <c r="G9932" i="1"/>
  <c r="E9932" i="1"/>
  <c r="C9932" i="1"/>
  <c r="G9931" i="1"/>
  <c r="E9931" i="1"/>
  <c r="C9931" i="1"/>
  <c r="G9930" i="1"/>
  <c r="E9930" i="1"/>
  <c r="C9930" i="1"/>
  <c r="G9929" i="1"/>
  <c r="E9929" i="1"/>
  <c r="C9929" i="1"/>
  <c r="G9928" i="1"/>
  <c r="E9928" i="1"/>
  <c r="C9928" i="1"/>
  <c r="G9927" i="1"/>
  <c r="E9927" i="1"/>
  <c r="C9927" i="1"/>
  <c r="G9926" i="1"/>
  <c r="E9926" i="1"/>
  <c r="C9926" i="1"/>
  <c r="G9925" i="1"/>
  <c r="E9925" i="1"/>
  <c r="C9925" i="1"/>
  <c r="G9924" i="1"/>
  <c r="E9924" i="1"/>
  <c r="C9924" i="1"/>
  <c r="G9923" i="1"/>
  <c r="E9923" i="1"/>
  <c r="C9923" i="1"/>
  <c r="G9922" i="1"/>
  <c r="E9922" i="1"/>
  <c r="C9922" i="1"/>
  <c r="G9921" i="1"/>
  <c r="E9921" i="1"/>
  <c r="C9921" i="1"/>
  <c r="G9920" i="1"/>
  <c r="E9920" i="1"/>
  <c r="C9920" i="1"/>
  <c r="G9919" i="1"/>
  <c r="E9919" i="1"/>
  <c r="C9919" i="1"/>
  <c r="G9918" i="1"/>
  <c r="E9918" i="1"/>
  <c r="C9918" i="1"/>
  <c r="G9917" i="1"/>
  <c r="E9917" i="1"/>
  <c r="C9917" i="1"/>
  <c r="G9916" i="1"/>
  <c r="E9916" i="1"/>
  <c r="C9916" i="1"/>
  <c r="G9915" i="1"/>
  <c r="E9915" i="1"/>
  <c r="C9915" i="1"/>
  <c r="G9914" i="1"/>
  <c r="E9914" i="1"/>
  <c r="C9914" i="1"/>
  <c r="G9913" i="1"/>
  <c r="E9913" i="1"/>
  <c r="C9913" i="1"/>
  <c r="G9912" i="1"/>
  <c r="E9912" i="1"/>
  <c r="C9912" i="1"/>
  <c r="G9911" i="1"/>
  <c r="E9911" i="1"/>
  <c r="C9911" i="1"/>
  <c r="G9910" i="1"/>
  <c r="E9910" i="1"/>
  <c r="C9910" i="1"/>
  <c r="G9909" i="1"/>
  <c r="E9909" i="1"/>
  <c r="C9909" i="1"/>
  <c r="G9908" i="1"/>
  <c r="E9908" i="1"/>
  <c r="C9908" i="1"/>
  <c r="G9907" i="1"/>
  <c r="E9907" i="1"/>
  <c r="C9907" i="1"/>
  <c r="G9906" i="1"/>
  <c r="E9906" i="1"/>
  <c r="C9906" i="1"/>
  <c r="G9905" i="1"/>
  <c r="E9905" i="1"/>
  <c r="C9905" i="1"/>
  <c r="G9904" i="1"/>
  <c r="E9904" i="1"/>
  <c r="C9904" i="1"/>
  <c r="G9903" i="1"/>
  <c r="E9903" i="1"/>
  <c r="C9903" i="1"/>
  <c r="G9902" i="1"/>
  <c r="E9902" i="1"/>
  <c r="C9902" i="1"/>
  <c r="G9901" i="1"/>
  <c r="E9901" i="1"/>
  <c r="C9901" i="1"/>
  <c r="G9900" i="1"/>
  <c r="E9900" i="1"/>
  <c r="C9900" i="1"/>
  <c r="G9899" i="1"/>
  <c r="E9899" i="1"/>
  <c r="C9899" i="1"/>
  <c r="G9898" i="1"/>
  <c r="E9898" i="1"/>
  <c r="C9898" i="1"/>
  <c r="G9897" i="1"/>
  <c r="E9897" i="1"/>
  <c r="C9897" i="1"/>
  <c r="G9896" i="1"/>
  <c r="E9896" i="1"/>
  <c r="C9896" i="1"/>
  <c r="G9895" i="1"/>
  <c r="E9895" i="1"/>
  <c r="C9895" i="1"/>
  <c r="G9894" i="1"/>
  <c r="E9894" i="1"/>
  <c r="C9894" i="1"/>
  <c r="G9893" i="1"/>
  <c r="E9893" i="1"/>
  <c r="C9893" i="1"/>
  <c r="G9892" i="1"/>
  <c r="E9892" i="1"/>
  <c r="C9892" i="1"/>
  <c r="G9891" i="1"/>
  <c r="E9891" i="1"/>
  <c r="C9891" i="1"/>
  <c r="G9890" i="1"/>
  <c r="E9890" i="1"/>
  <c r="C9890" i="1"/>
  <c r="G9889" i="1"/>
  <c r="E9889" i="1"/>
  <c r="C9889" i="1"/>
  <c r="G9888" i="1"/>
  <c r="E9888" i="1"/>
  <c r="C9888" i="1"/>
  <c r="G9887" i="1"/>
  <c r="E9887" i="1"/>
  <c r="C9887" i="1"/>
  <c r="G9886" i="1"/>
  <c r="E9886" i="1"/>
  <c r="C9886" i="1"/>
  <c r="G9885" i="1"/>
  <c r="E9885" i="1"/>
  <c r="C9885" i="1"/>
  <c r="G9884" i="1"/>
  <c r="E9884" i="1"/>
  <c r="C9884" i="1"/>
  <c r="G9883" i="1"/>
  <c r="E9883" i="1"/>
  <c r="C9883" i="1"/>
  <c r="G9882" i="1"/>
  <c r="E9882" i="1"/>
  <c r="C9882" i="1"/>
  <c r="G9881" i="1"/>
  <c r="E9881" i="1"/>
  <c r="C9881" i="1"/>
  <c r="G9880" i="1"/>
  <c r="E9880" i="1"/>
  <c r="C9880" i="1"/>
  <c r="G9879" i="1"/>
  <c r="E9879" i="1"/>
  <c r="C9879" i="1"/>
  <c r="G9878" i="1"/>
  <c r="E9878" i="1"/>
  <c r="C9878" i="1"/>
  <c r="G9877" i="1"/>
  <c r="E9877" i="1"/>
  <c r="C9877" i="1"/>
  <c r="G9876" i="1"/>
  <c r="E9876" i="1"/>
  <c r="C9876" i="1"/>
  <c r="G9875" i="1"/>
  <c r="E9875" i="1"/>
  <c r="C9875" i="1"/>
  <c r="G9874" i="1"/>
  <c r="E9874" i="1"/>
  <c r="C9874" i="1"/>
  <c r="G9873" i="1"/>
  <c r="E9873" i="1"/>
  <c r="C9873" i="1"/>
  <c r="G9872" i="1"/>
  <c r="E9872" i="1"/>
  <c r="C9872" i="1"/>
  <c r="G9871" i="1"/>
  <c r="E9871" i="1"/>
  <c r="C9871" i="1"/>
  <c r="G9870" i="1"/>
  <c r="E9870" i="1"/>
  <c r="C9870" i="1"/>
  <c r="G9869" i="1"/>
  <c r="E9869" i="1"/>
  <c r="C9869" i="1"/>
  <c r="G9868" i="1"/>
  <c r="E9868" i="1"/>
  <c r="C9868" i="1"/>
  <c r="G9867" i="1"/>
  <c r="E9867" i="1"/>
  <c r="C9867" i="1"/>
  <c r="G9866" i="1"/>
  <c r="E9866" i="1"/>
  <c r="C9866" i="1"/>
  <c r="G9865" i="1"/>
  <c r="E9865" i="1"/>
  <c r="C9865" i="1"/>
  <c r="G9864" i="1"/>
  <c r="E9864" i="1"/>
  <c r="C9864" i="1"/>
  <c r="G9863" i="1"/>
  <c r="E9863" i="1"/>
  <c r="C9863" i="1"/>
  <c r="G9862" i="1"/>
  <c r="E9862" i="1"/>
  <c r="C9862" i="1"/>
  <c r="G9861" i="1"/>
  <c r="E9861" i="1"/>
  <c r="C9861" i="1"/>
  <c r="G9860" i="1"/>
  <c r="E9860" i="1"/>
  <c r="C9860" i="1"/>
  <c r="G9859" i="1"/>
  <c r="E9859" i="1"/>
  <c r="C9859" i="1"/>
  <c r="G9858" i="1"/>
  <c r="E9858" i="1"/>
  <c r="C9858" i="1"/>
  <c r="G9857" i="1"/>
  <c r="E9857" i="1"/>
  <c r="C9857" i="1"/>
  <c r="G9856" i="1"/>
  <c r="E9856" i="1"/>
  <c r="C9856" i="1"/>
  <c r="G9855" i="1"/>
  <c r="E9855" i="1"/>
  <c r="C9855" i="1"/>
  <c r="G9854" i="1"/>
  <c r="E9854" i="1"/>
  <c r="C9854" i="1"/>
  <c r="G9853" i="1"/>
  <c r="E9853" i="1"/>
  <c r="C9853" i="1"/>
  <c r="G9852" i="1"/>
  <c r="E9852" i="1"/>
  <c r="C9852" i="1"/>
  <c r="G9851" i="1"/>
  <c r="E9851" i="1"/>
  <c r="C9851" i="1"/>
  <c r="G9850" i="1"/>
  <c r="E9850" i="1"/>
  <c r="C9850" i="1"/>
  <c r="G9849" i="1"/>
  <c r="E9849" i="1"/>
  <c r="C9849" i="1"/>
  <c r="G9848" i="1"/>
  <c r="E9848" i="1"/>
  <c r="C9848" i="1"/>
  <c r="G9847" i="1"/>
  <c r="E9847" i="1"/>
  <c r="C9847" i="1"/>
  <c r="G9846" i="1"/>
  <c r="E9846" i="1"/>
  <c r="C9846" i="1"/>
  <c r="G9845" i="1"/>
  <c r="E9845" i="1"/>
  <c r="C9845" i="1"/>
  <c r="G9844" i="1"/>
  <c r="E9844" i="1"/>
  <c r="C9844" i="1"/>
  <c r="G9843" i="1"/>
  <c r="E9843" i="1"/>
  <c r="C9843" i="1"/>
  <c r="G9842" i="1"/>
  <c r="E9842" i="1"/>
  <c r="C9842" i="1"/>
  <c r="G9841" i="1"/>
  <c r="E9841" i="1"/>
  <c r="C9841" i="1"/>
  <c r="G9840" i="1"/>
  <c r="E9840" i="1"/>
  <c r="C9840" i="1"/>
  <c r="G9839" i="1"/>
  <c r="E9839" i="1"/>
  <c r="C9839" i="1"/>
  <c r="G9838" i="1"/>
  <c r="E9838" i="1"/>
  <c r="C9838" i="1"/>
  <c r="G9837" i="1"/>
  <c r="E9837" i="1"/>
  <c r="C9837" i="1"/>
  <c r="G9836" i="1"/>
  <c r="E9836" i="1"/>
  <c r="C9836" i="1"/>
  <c r="G9835" i="1"/>
  <c r="E9835" i="1"/>
  <c r="C9835" i="1"/>
  <c r="G9834" i="1"/>
  <c r="E9834" i="1"/>
  <c r="C9834" i="1"/>
  <c r="G9833" i="1"/>
  <c r="E9833" i="1"/>
  <c r="C9833" i="1"/>
  <c r="G9832" i="1"/>
  <c r="E9832" i="1"/>
  <c r="C9832" i="1"/>
  <c r="G9831" i="1"/>
  <c r="E9831" i="1"/>
  <c r="C9831" i="1"/>
  <c r="G9830" i="1"/>
  <c r="E9830" i="1"/>
  <c r="C9830" i="1"/>
  <c r="G9829" i="1"/>
  <c r="E9829" i="1"/>
  <c r="C9829" i="1"/>
  <c r="G9828" i="1"/>
  <c r="E9828" i="1"/>
  <c r="C9828" i="1"/>
  <c r="G9827" i="1"/>
  <c r="E9827" i="1"/>
  <c r="C9827" i="1"/>
  <c r="G9826" i="1"/>
  <c r="E9826" i="1"/>
  <c r="C9826" i="1"/>
  <c r="G9825" i="1"/>
  <c r="E9825" i="1"/>
  <c r="C9825" i="1"/>
  <c r="G9824" i="1"/>
  <c r="E9824" i="1"/>
  <c r="C9824" i="1"/>
  <c r="G9823" i="1"/>
  <c r="E9823" i="1"/>
  <c r="C9823" i="1"/>
  <c r="G9822" i="1"/>
  <c r="E9822" i="1"/>
  <c r="C9822" i="1"/>
  <c r="G9821" i="1"/>
  <c r="E9821" i="1"/>
  <c r="C9821" i="1"/>
  <c r="G9820" i="1"/>
  <c r="E9820" i="1"/>
  <c r="C9820" i="1"/>
  <c r="G9819" i="1"/>
  <c r="E9819" i="1"/>
  <c r="C9819" i="1"/>
  <c r="G9818" i="1"/>
  <c r="E9818" i="1"/>
  <c r="C9818" i="1"/>
  <c r="G9817" i="1"/>
  <c r="E9817" i="1"/>
  <c r="C9817" i="1"/>
  <c r="G9816" i="1"/>
  <c r="E9816" i="1"/>
  <c r="C9816" i="1"/>
  <c r="G9815" i="1"/>
  <c r="E9815" i="1"/>
  <c r="C9815" i="1"/>
  <c r="G9814" i="1"/>
  <c r="E9814" i="1"/>
  <c r="C9814" i="1"/>
  <c r="G9813" i="1"/>
  <c r="E9813" i="1"/>
  <c r="C9813" i="1"/>
  <c r="G9812" i="1"/>
  <c r="E9812" i="1"/>
  <c r="C9812" i="1"/>
  <c r="G9811" i="1"/>
  <c r="E9811" i="1"/>
  <c r="C9811" i="1"/>
  <c r="G9810" i="1"/>
  <c r="E9810" i="1"/>
  <c r="C9810" i="1"/>
  <c r="G9809" i="1"/>
  <c r="E9809" i="1"/>
  <c r="C9809" i="1"/>
  <c r="G9808" i="1"/>
  <c r="E9808" i="1"/>
  <c r="C9808" i="1"/>
  <c r="G9807" i="1"/>
  <c r="E9807" i="1"/>
  <c r="C9807" i="1"/>
  <c r="G9806" i="1"/>
  <c r="E9806" i="1"/>
  <c r="C9806" i="1"/>
  <c r="G9805" i="1"/>
  <c r="E9805" i="1"/>
  <c r="C9805" i="1"/>
  <c r="G9804" i="1"/>
  <c r="E9804" i="1"/>
  <c r="C9804" i="1"/>
  <c r="G9803" i="1"/>
  <c r="E9803" i="1"/>
  <c r="C9803" i="1"/>
  <c r="G9802" i="1"/>
  <c r="E9802" i="1"/>
  <c r="C9802" i="1"/>
  <c r="G9801" i="1"/>
  <c r="E9801" i="1"/>
  <c r="C9801" i="1"/>
  <c r="G9800" i="1"/>
  <c r="E9800" i="1"/>
  <c r="C9800" i="1"/>
  <c r="G9799" i="1"/>
  <c r="E9799" i="1"/>
  <c r="C9799" i="1"/>
  <c r="G9798" i="1"/>
  <c r="E9798" i="1"/>
  <c r="C9798" i="1"/>
  <c r="G9797" i="1"/>
  <c r="E9797" i="1"/>
  <c r="C9797" i="1"/>
  <c r="G9796" i="1"/>
  <c r="E9796" i="1"/>
  <c r="C9796" i="1"/>
  <c r="G9795" i="1"/>
  <c r="E9795" i="1"/>
  <c r="C9795" i="1"/>
  <c r="G9794" i="1"/>
  <c r="E9794" i="1"/>
  <c r="C9794" i="1"/>
  <c r="G9793" i="1"/>
  <c r="E9793" i="1"/>
  <c r="C9793" i="1"/>
  <c r="G9792" i="1"/>
  <c r="E9792" i="1"/>
  <c r="C9792" i="1"/>
  <c r="G9791" i="1"/>
  <c r="E9791" i="1"/>
  <c r="C9791" i="1"/>
  <c r="G9790" i="1"/>
  <c r="E9790" i="1"/>
  <c r="C9790" i="1"/>
  <c r="G9789" i="1"/>
  <c r="E9789" i="1"/>
  <c r="C9789" i="1"/>
  <c r="G9788" i="1"/>
  <c r="E9788" i="1"/>
  <c r="C9788" i="1"/>
  <c r="G9787" i="1"/>
  <c r="E9787" i="1"/>
  <c r="C9787" i="1"/>
  <c r="G9786" i="1"/>
  <c r="E9786" i="1"/>
  <c r="C9786" i="1"/>
  <c r="G9785" i="1"/>
  <c r="E9785" i="1"/>
  <c r="C9785" i="1"/>
  <c r="G9784" i="1"/>
  <c r="E9784" i="1"/>
  <c r="C9784" i="1"/>
  <c r="G9783" i="1"/>
  <c r="E9783" i="1"/>
  <c r="C9783" i="1"/>
  <c r="G9782" i="1"/>
  <c r="E9782" i="1"/>
  <c r="C9782" i="1"/>
  <c r="G9781" i="1"/>
  <c r="E9781" i="1"/>
  <c r="C9781" i="1"/>
  <c r="G9780" i="1"/>
  <c r="E9780" i="1"/>
  <c r="C9780" i="1"/>
  <c r="G9779" i="1"/>
  <c r="E9779" i="1"/>
  <c r="C9779" i="1"/>
  <c r="G9778" i="1"/>
  <c r="E9778" i="1"/>
  <c r="C9778" i="1"/>
  <c r="G9777" i="1"/>
  <c r="E9777" i="1"/>
  <c r="C9777" i="1"/>
  <c r="G9776" i="1"/>
  <c r="E9776" i="1"/>
  <c r="C9776" i="1"/>
  <c r="G9775" i="1"/>
  <c r="E9775" i="1"/>
  <c r="C9775" i="1"/>
  <c r="G9774" i="1"/>
  <c r="E9774" i="1"/>
  <c r="C9774" i="1"/>
  <c r="G9773" i="1"/>
  <c r="E9773" i="1"/>
  <c r="C9773" i="1"/>
  <c r="G9772" i="1"/>
  <c r="E9772" i="1"/>
  <c r="C9772" i="1"/>
  <c r="G9771" i="1"/>
  <c r="E9771" i="1"/>
  <c r="C9771" i="1"/>
  <c r="G9770" i="1"/>
  <c r="E9770" i="1"/>
  <c r="C9770" i="1"/>
  <c r="G9769" i="1"/>
  <c r="E9769" i="1"/>
  <c r="C9769" i="1"/>
  <c r="G9768" i="1"/>
  <c r="E9768" i="1"/>
  <c r="C9768" i="1"/>
  <c r="G9767" i="1"/>
  <c r="E9767" i="1"/>
  <c r="C9767" i="1"/>
  <c r="G9766" i="1"/>
  <c r="E9766" i="1"/>
  <c r="C9766" i="1"/>
  <c r="G9765" i="1"/>
  <c r="E9765" i="1"/>
  <c r="C9765" i="1"/>
  <c r="G9764" i="1"/>
  <c r="E9764" i="1"/>
  <c r="C9764" i="1"/>
  <c r="G9763" i="1"/>
  <c r="E9763" i="1"/>
  <c r="C9763" i="1"/>
  <c r="G9762" i="1"/>
  <c r="E9762" i="1"/>
  <c r="C9762" i="1"/>
  <c r="G9761" i="1"/>
  <c r="E9761" i="1"/>
  <c r="C9761" i="1"/>
  <c r="G9760" i="1"/>
  <c r="E9760" i="1"/>
  <c r="C9760" i="1"/>
  <c r="G9759" i="1"/>
  <c r="E9759" i="1"/>
  <c r="C9759" i="1"/>
  <c r="G9758" i="1"/>
  <c r="E9758" i="1"/>
  <c r="C9758" i="1"/>
  <c r="G9757" i="1"/>
  <c r="E9757" i="1"/>
  <c r="C9757" i="1"/>
  <c r="G9756" i="1"/>
  <c r="E9756" i="1"/>
  <c r="C9756" i="1"/>
  <c r="G9755" i="1"/>
  <c r="E9755" i="1"/>
  <c r="C9755" i="1"/>
  <c r="G9754" i="1"/>
  <c r="E9754" i="1"/>
  <c r="C9754" i="1"/>
  <c r="G9753" i="1"/>
  <c r="E9753" i="1"/>
  <c r="C9753" i="1"/>
  <c r="G9752" i="1"/>
  <c r="E9752" i="1"/>
  <c r="C9752" i="1"/>
  <c r="G9751" i="1"/>
  <c r="E9751" i="1"/>
  <c r="C9751" i="1"/>
  <c r="G9750" i="1"/>
  <c r="E9750" i="1"/>
  <c r="C9750" i="1"/>
  <c r="G9749" i="1"/>
  <c r="E9749" i="1"/>
  <c r="C9749" i="1"/>
  <c r="G9748" i="1"/>
  <c r="E9748" i="1"/>
  <c r="C9748" i="1"/>
  <c r="G9747" i="1"/>
  <c r="E9747" i="1"/>
  <c r="C9747" i="1"/>
  <c r="G9746" i="1"/>
  <c r="E9746" i="1"/>
  <c r="C9746" i="1"/>
  <c r="G9745" i="1"/>
  <c r="E9745" i="1"/>
  <c r="C9745" i="1"/>
  <c r="G9744" i="1"/>
  <c r="E9744" i="1"/>
  <c r="C9744" i="1"/>
  <c r="G9743" i="1"/>
  <c r="E9743" i="1"/>
  <c r="C9743" i="1"/>
  <c r="G9742" i="1"/>
  <c r="E9742" i="1"/>
  <c r="C9742" i="1"/>
  <c r="G9741" i="1"/>
  <c r="E9741" i="1"/>
  <c r="C9741" i="1"/>
  <c r="G9740" i="1"/>
  <c r="E9740" i="1"/>
  <c r="C9740" i="1"/>
  <c r="G9739" i="1"/>
  <c r="E9739" i="1"/>
  <c r="C9739" i="1"/>
  <c r="G9738" i="1"/>
  <c r="E9738" i="1"/>
  <c r="C9738" i="1"/>
  <c r="G9737" i="1"/>
  <c r="E9737" i="1"/>
  <c r="C9737" i="1"/>
  <c r="G9736" i="1"/>
  <c r="E9736" i="1"/>
  <c r="C9736" i="1"/>
  <c r="G9735" i="1"/>
  <c r="E9735" i="1"/>
  <c r="C9735" i="1"/>
  <c r="G9734" i="1"/>
  <c r="E9734" i="1"/>
  <c r="C9734" i="1"/>
  <c r="G9733" i="1"/>
  <c r="E9733" i="1"/>
  <c r="C9733" i="1"/>
  <c r="G9732" i="1"/>
  <c r="E9732" i="1"/>
  <c r="C9732" i="1"/>
  <c r="G9731" i="1"/>
  <c r="E9731" i="1"/>
  <c r="C9731" i="1"/>
  <c r="G9730" i="1"/>
  <c r="E9730" i="1"/>
  <c r="C9730" i="1"/>
  <c r="G9729" i="1"/>
  <c r="E9729" i="1"/>
  <c r="C9729" i="1"/>
  <c r="G9728" i="1"/>
  <c r="E9728" i="1"/>
  <c r="C9728" i="1"/>
  <c r="G9727" i="1"/>
  <c r="E9727" i="1"/>
  <c r="C9727" i="1"/>
  <c r="G9726" i="1"/>
  <c r="E9726" i="1"/>
  <c r="C9726" i="1"/>
  <c r="G9725" i="1"/>
  <c r="E9725" i="1"/>
  <c r="C9725" i="1"/>
  <c r="G9724" i="1"/>
  <c r="E9724" i="1"/>
  <c r="C9724" i="1"/>
  <c r="G9723" i="1"/>
  <c r="E9723" i="1"/>
  <c r="C9723" i="1"/>
  <c r="G9722" i="1"/>
  <c r="E9722" i="1"/>
  <c r="C9722" i="1"/>
  <c r="G9721" i="1"/>
  <c r="E9721" i="1"/>
  <c r="C9721" i="1"/>
  <c r="G9720" i="1"/>
  <c r="E9720" i="1"/>
  <c r="C9720" i="1"/>
  <c r="G9719" i="1"/>
  <c r="E9719" i="1"/>
  <c r="C9719" i="1"/>
  <c r="G9718" i="1"/>
  <c r="E9718" i="1"/>
  <c r="C9718" i="1"/>
  <c r="G9717" i="1"/>
  <c r="E9717" i="1"/>
  <c r="C9717" i="1"/>
  <c r="G9716" i="1"/>
  <c r="E9716" i="1"/>
  <c r="C9716" i="1"/>
  <c r="G9715" i="1"/>
  <c r="E9715" i="1"/>
  <c r="C9715" i="1"/>
  <c r="G9714" i="1"/>
  <c r="E9714" i="1"/>
  <c r="C9714" i="1"/>
  <c r="G9713" i="1"/>
  <c r="E9713" i="1"/>
  <c r="C9713" i="1"/>
  <c r="G9712" i="1"/>
  <c r="E9712" i="1"/>
  <c r="C9712" i="1"/>
  <c r="G9711" i="1"/>
  <c r="E9711" i="1"/>
  <c r="C9711" i="1"/>
  <c r="G9710" i="1"/>
  <c r="E9710" i="1"/>
  <c r="C9710" i="1"/>
  <c r="G9709" i="1"/>
  <c r="E9709" i="1"/>
  <c r="C9709" i="1"/>
  <c r="G9708" i="1"/>
  <c r="E9708" i="1"/>
  <c r="C9708" i="1"/>
  <c r="G9707" i="1"/>
  <c r="E9707" i="1"/>
  <c r="C9707" i="1"/>
  <c r="G9706" i="1"/>
  <c r="E9706" i="1"/>
  <c r="C9706" i="1"/>
  <c r="G9705" i="1"/>
  <c r="E9705" i="1"/>
  <c r="C9705" i="1"/>
  <c r="G9704" i="1"/>
  <c r="E9704" i="1"/>
  <c r="C9704" i="1"/>
  <c r="G9703" i="1"/>
  <c r="E9703" i="1"/>
  <c r="C9703" i="1"/>
  <c r="G9702" i="1"/>
  <c r="E9702" i="1"/>
  <c r="C9702" i="1"/>
  <c r="G9701" i="1"/>
  <c r="E9701" i="1"/>
  <c r="C9701" i="1"/>
  <c r="G9700" i="1"/>
  <c r="E9700" i="1"/>
  <c r="C9700" i="1"/>
  <c r="G9699" i="1"/>
  <c r="E9699" i="1"/>
  <c r="C9699" i="1"/>
  <c r="G9698" i="1"/>
  <c r="E9698" i="1"/>
  <c r="C9698" i="1"/>
  <c r="G9697" i="1"/>
  <c r="E9697" i="1"/>
  <c r="C9697" i="1"/>
  <c r="G9696" i="1"/>
  <c r="E9696" i="1"/>
  <c r="C9696" i="1"/>
  <c r="G9695" i="1"/>
  <c r="E9695" i="1"/>
  <c r="C9695" i="1"/>
  <c r="G9694" i="1"/>
  <c r="E9694" i="1"/>
  <c r="C9694" i="1"/>
  <c r="G9693" i="1"/>
  <c r="E9693" i="1"/>
  <c r="C9693" i="1"/>
  <c r="G9692" i="1"/>
  <c r="E9692" i="1"/>
  <c r="C9692" i="1"/>
  <c r="G9691" i="1"/>
  <c r="E9691" i="1"/>
  <c r="C9691" i="1"/>
  <c r="G9690" i="1"/>
  <c r="E9690" i="1"/>
  <c r="C9690" i="1"/>
  <c r="G9689" i="1"/>
  <c r="E9689" i="1"/>
  <c r="C9689" i="1"/>
  <c r="G9688" i="1"/>
  <c r="E9688" i="1"/>
  <c r="C9688" i="1"/>
  <c r="G9687" i="1"/>
  <c r="E9687" i="1"/>
  <c r="C9687" i="1"/>
  <c r="G9686" i="1"/>
  <c r="E9686" i="1"/>
  <c r="C9686" i="1"/>
  <c r="G9685" i="1"/>
  <c r="E9685" i="1"/>
  <c r="C9685" i="1"/>
  <c r="G9684" i="1"/>
  <c r="E9684" i="1"/>
  <c r="C9684" i="1"/>
  <c r="G9683" i="1"/>
  <c r="E9683" i="1"/>
  <c r="C9683" i="1"/>
  <c r="G9682" i="1"/>
  <c r="E9682" i="1"/>
  <c r="C9682" i="1"/>
  <c r="G9681" i="1"/>
  <c r="E9681" i="1"/>
  <c r="C9681" i="1"/>
  <c r="G9680" i="1"/>
  <c r="E9680" i="1"/>
  <c r="C9680" i="1"/>
  <c r="G9679" i="1"/>
  <c r="E9679" i="1"/>
  <c r="C9679" i="1"/>
  <c r="G9678" i="1"/>
  <c r="E9678" i="1"/>
  <c r="C9678" i="1"/>
  <c r="G9677" i="1"/>
  <c r="E9677" i="1"/>
  <c r="C9677" i="1"/>
  <c r="G9676" i="1"/>
  <c r="E9676" i="1"/>
  <c r="C9676" i="1"/>
  <c r="G9675" i="1"/>
  <c r="E9675" i="1"/>
  <c r="C9675" i="1"/>
  <c r="G9674" i="1"/>
  <c r="E9674" i="1"/>
  <c r="C9674" i="1"/>
  <c r="G9673" i="1"/>
  <c r="E9673" i="1"/>
  <c r="C9673" i="1"/>
  <c r="G9672" i="1"/>
  <c r="E9672" i="1"/>
  <c r="C9672" i="1"/>
  <c r="G9671" i="1"/>
  <c r="E9671" i="1"/>
  <c r="C9671" i="1"/>
  <c r="G9670" i="1"/>
  <c r="E9670" i="1"/>
  <c r="C9670" i="1"/>
  <c r="G9669" i="1"/>
  <c r="E9669" i="1"/>
  <c r="C9669" i="1"/>
  <c r="G9668" i="1"/>
  <c r="E9668" i="1"/>
  <c r="C9668" i="1"/>
  <c r="G9667" i="1"/>
  <c r="E9667" i="1"/>
  <c r="C9667" i="1"/>
  <c r="G9666" i="1"/>
  <c r="E9666" i="1"/>
  <c r="C9666" i="1"/>
  <c r="G9665" i="1"/>
  <c r="E9665" i="1"/>
  <c r="C9665" i="1"/>
  <c r="G9664" i="1"/>
  <c r="E9664" i="1"/>
  <c r="C9664" i="1"/>
  <c r="G9663" i="1"/>
  <c r="E9663" i="1"/>
  <c r="C9663" i="1"/>
  <c r="G9662" i="1"/>
  <c r="E9662" i="1"/>
  <c r="C9662" i="1"/>
  <c r="G9661" i="1"/>
  <c r="E9661" i="1"/>
  <c r="C9661" i="1"/>
  <c r="G9660" i="1"/>
  <c r="E9660" i="1"/>
  <c r="C9660" i="1"/>
  <c r="G9659" i="1"/>
  <c r="E9659" i="1"/>
  <c r="C9659" i="1"/>
  <c r="G9658" i="1"/>
  <c r="E9658" i="1"/>
  <c r="C9658" i="1"/>
  <c r="G9657" i="1"/>
  <c r="E9657" i="1"/>
  <c r="C9657" i="1"/>
  <c r="G9656" i="1"/>
  <c r="E9656" i="1"/>
  <c r="C9656" i="1"/>
  <c r="G9655" i="1"/>
  <c r="E9655" i="1"/>
  <c r="C9655" i="1"/>
  <c r="G9654" i="1"/>
  <c r="E9654" i="1"/>
  <c r="C9654" i="1"/>
  <c r="G9653" i="1"/>
  <c r="E9653" i="1"/>
  <c r="C9653" i="1"/>
  <c r="G9652" i="1"/>
  <c r="E9652" i="1"/>
  <c r="C9652" i="1"/>
  <c r="G9651" i="1"/>
  <c r="E9651" i="1"/>
  <c r="C9651" i="1"/>
  <c r="G9650" i="1"/>
  <c r="E9650" i="1"/>
  <c r="C9650" i="1"/>
  <c r="G9649" i="1"/>
  <c r="E9649" i="1"/>
  <c r="C9649" i="1"/>
  <c r="G9648" i="1"/>
  <c r="E9648" i="1"/>
  <c r="C9648" i="1"/>
  <c r="G9647" i="1"/>
  <c r="E9647" i="1"/>
  <c r="C9647" i="1"/>
  <c r="G9646" i="1"/>
  <c r="E9646" i="1"/>
  <c r="C9646" i="1"/>
  <c r="G9645" i="1"/>
  <c r="E9645" i="1"/>
  <c r="C9645" i="1"/>
  <c r="G9644" i="1"/>
  <c r="E9644" i="1"/>
  <c r="C9644" i="1"/>
  <c r="G9643" i="1"/>
  <c r="E9643" i="1"/>
  <c r="C9643" i="1"/>
  <c r="G9642" i="1"/>
  <c r="E9642" i="1"/>
  <c r="C9642" i="1"/>
  <c r="G9641" i="1"/>
  <c r="E9641" i="1"/>
  <c r="C9641" i="1"/>
  <c r="G9640" i="1"/>
  <c r="E9640" i="1"/>
  <c r="C9640" i="1"/>
  <c r="G9639" i="1"/>
  <c r="E9639" i="1"/>
  <c r="C9639" i="1"/>
  <c r="G9638" i="1"/>
  <c r="E9638" i="1"/>
  <c r="C9638" i="1"/>
  <c r="G9637" i="1"/>
  <c r="E9637" i="1"/>
  <c r="C9637" i="1"/>
  <c r="G9636" i="1"/>
  <c r="E9636" i="1"/>
  <c r="C9636" i="1"/>
  <c r="G9635" i="1"/>
  <c r="E9635" i="1"/>
  <c r="C9635" i="1"/>
  <c r="G9634" i="1"/>
  <c r="E9634" i="1"/>
  <c r="C9634" i="1"/>
  <c r="G9633" i="1"/>
  <c r="E9633" i="1"/>
  <c r="C9633" i="1"/>
  <c r="G9632" i="1"/>
  <c r="E9632" i="1"/>
  <c r="C9632" i="1"/>
  <c r="G9631" i="1"/>
  <c r="E9631" i="1"/>
  <c r="C9631" i="1"/>
  <c r="G9630" i="1"/>
  <c r="E9630" i="1"/>
  <c r="C9630" i="1"/>
  <c r="G9629" i="1"/>
  <c r="E9629" i="1"/>
  <c r="C9629" i="1"/>
  <c r="G9628" i="1"/>
  <c r="E9628" i="1"/>
  <c r="C9628" i="1"/>
  <c r="G9627" i="1"/>
  <c r="E9627" i="1"/>
  <c r="C9627" i="1"/>
  <c r="G9626" i="1"/>
  <c r="E9626" i="1"/>
  <c r="C9626" i="1"/>
  <c r="G9625" i="1"/>
  <c r="E9625" i="1"/>
  <c r="C9625" i="1"/>
  <c r="G9624" i="1"/>
  <c r="E9624" i="1"/>
  <c r="C9624" i="1"/>
  <c r="G9623" i="1"/>
  <c r="E9623" i="1"/>
  <c r="C9623" i="1"/>
  <c r="G9622" i="1"/>
  <c r="E9622" i="1"/>
  <c r="C9622" i="1"/>
  <c r="G9621" i="1"/>
  <c r="E9621" i="1"/>
  <c r="C9621" i="1"/>
  <c r="G9620" i="1"/>
  <c r="E9620" i="1"/>
  <c r="C9620" i="1"/>
  <c r="G9619" i="1"/>
  <c r="E9619" i="1"/>
  <c r="C9619" i="1"/>
  <c r="G9618" i="1"/>
  <c r="E9618" i="1"/>
  <c r="C9618" i="1"/>
  <c r="G9617" i="1"/>
  <c r="E9617" i="1"/>
  <c r="C9617" i="1"/>
  <c r="G9616" i="1"/>
  <c r="E9616" i="1"/>
  <c r="C9616" i="1"/>
  <c r="G9615" i="1"/>
  <c r="E9615" i="1"/>
  <c r="C9615" i="1"/>
  <c r="G9614" i="1"/>
  <c r="E9614" i="1"/>
  <c r="C9614" i="1"/>
  <c r="G9613" i="1"/>
  <c r="E9613" i="1"/>
  <c r="C9613" i="1"/>
  <c r="G9612" i="1"/>
  <c r="E9612" i="1"/>
  <c r="C9612" i="1"/>
  <c r="G9611" i="1"/>
  <c r="E9611" i="1"/>
  <c r="C9611" i="1"/>
  <c r="G9610" i="1"/>
  <c r="E9610" i="1"/>
  <c r="C9610" i="1"/>
  <c r="G9609" i="1"/>
  <c r="E9609" i="1"/>
  <c r="C9609" i="1"/>
  <c r="G9608" i="1"/>
  <c r="E9608" i="1"/>
  <c r="C9608" i="1"/>
  <c r="G9607" i="1"/>
  <c r="E9607" i="1"/>
  <c r="C9607" i="1"/>
  <c r="G9606" i="1"/>
  <c r="E9606" i="1"/>
  <c r="C9606" i="1"/>
  <c r="G9605" i="1"/>
  <c r="E9605" i="1"/>
  <c r="C9605" i="1"/>
  <c r="G9604" i="1"/>
  <c r="E9604" i="1"/>
  <c r="C9604" i="1"/>
  <c r="G9603" i="1"/>
  <c r="E9603" i="1"/>
  <c r="C9603" i="1"/>
  <c r="G9602" i="1"/>
  <c r="E9602" i="1"/>
  <c r="C9602" i="1"/>
  <c r="G9601" i="1"/>
  <c r="E9601" i="1"/>
  <c r="C9601" i="1"/>
  <c r="G9600" i="1"/>
  <c r="E9600" i="1"/>
  <c r="C9600" i="1"/>
  <c r="G9599" i="1"/>
  <c r="E9599" i="1"/>
  <c r="C9599" i="1"/>
  <c r="G9598" i="1"/>
  <c r="E9598" i="1"/>
  <c r="C9598" i="1"/>
  <c r="G9597" i="1"/>
  <c r="E9597" i="1"/>
  <c r="C9597" i="1"/>
  <c r="G9596" i="1"/>
  <c r="E9596" i="1"/>
  <c r="C9596" i="1"/>
  <c r="G9595" i="1"/>
  <c r="E9595" i="1"/>
  <c r="C9595" i="1"/>
  <c r="G9594" i="1"/>
  <c r="E9594" i="1"/>
  <c r="C9594" i="1"/>
  <c r="G9593" i="1"/>
  <c r="E9593" i="1"/>
  <c r="C9593" i="1"/>
  <c r="G9592" i="1"/>
  <c r="E9592" i="1"/>
  <c r="C9592" i="1"/>
  <c r="G9591" i="1"/>
  <c r="E9591" i="1"/>
  <c r="C9591" i="1"/>
  <c r="G9590" i="1"/>
  <c r="E9590" i="1"/>
  <c r="C9590" i="1"/>
  <c r="G9589" i="1"/>
  <c r="E9589" i="1"/>
  <c r="C9589" i="1"/>
  <c r="G9588" i="1"/>
  <c r="E9588" i="1"/>
  <c r="C9588" i="1"/>
  <c r="G9587" i="1"/>
  <c r="E9587" i="1"/>
  <c r="C9587" i="1"/>
  <c r="G9586" i="1"/>
  <c r="E9586" i="1"/>
  <c r="C9586" i="1"/>
  <c r="G9585" i="1"/>
  <c r="E9585" i="1"/>
  <c r="C9585" i="1"/>
  <c r="G9584" i="1"/>
  <c r="E9584" i="1"/>
  <c r="C9584" i="1"/>
  <c r="G9583" i="1"/>
  <c r="E9583" i="1"/>
  <c r="C9583" i="1"/>
  <c r="G9582" i="1"/>
  <c r="E9582" i="1"/>
  <c r="C9582" i="1"/>
  <c r="G9581" i="1"/>
  <c r="E9581" i="1"/>
  <c r="C9581" i="1"/>
  <c r="G9580" i="1"/>
  <c r="E9580" i="1"/>
  <c r="C9580" i="1"/>
  <c r="G9579" i="1"/>
  <c r="E9579" i="1"/>
  <c r="C9579" i="1"/>
  <c r="G9578" i="1"/>
  <c r="E9578" i="1"/>
  <c r="C9578" i="1"/>
  <c r="G9577" i="1"/>
  <c r="E9577" i="1"/>
  <c r="C9577" i="1"/>
  <c r="G9576" i="1"/>
  <c r="E9576" i="1"/>
  <c r="C9576" i="1"/>
  <c r="G9575" i="1"/>
  <c r="E9575" i="1"/>
  <c r="C9575" i="1"/>
  <c r="G9574" i="1"/>
  <c r="E9574" i="1"/>
  <c r="C9574" i="1"/>
  <c r="G9573" i="1"/>
  <c r="E9573" i="1"/>
  <c r="C9573" i="1"/>
  <c r="G9572" i="1"/>
  <c r="E9572" i="1"/>
  <c r="C9572" i="1"/>
  <c r="G9571" i="1"/>
  <c r="E9571" i="1"/>
  <c r="C9571" i="1"/>
  <c r="G9570" i="1"/>
  <c r="E9570" i="1"/>
  <c r="C9570" i="1"/>
  <c r="G9569" i="1"/>
  <c r="E9569" i="1"/>
  <c r="C9569" i="1"/>
  <c r="G9568" i="1"/>
  <c r="E9568" i="1"/>
  <c r="C9568" i="1"/>
  <c r="G9567" i="1"/>
  <c r="E9567" i="1"/>
  <c r="C9567" i="1"/>
  <c r="G9566" i="1"/>
  <c r="E9566" i="1"/>
  <c r="C9566" i="1"/>
  <c r="G9565" i="1"/>
  <c r="E9565" i="1"/>
  <c r="C9565" i="1"/>
  <c r="G9564" i="1"/>
  <c r="E9564" i="1"/>
  <c r="C9564" i="1"/>
  <c r="G9563" i="1"/>
  <c r="E9563" i="1"/>
  <c r="C9563" i="1"/>
  <c r="G9562" i="1"/>
  <c r="E9562" i="1"/>
  <c r="C9562" i="1"/>
  <c r="G9561" i="1"/>
  <c r="E9561" i="1"/>
  <c r="C9561" i="1"/>
  <c r="G9560" i="1"/>
  <c r="E9560" i="1"/>
  <c r="C9560" i="1"/>
  <c r="G9559" i="1"/>
  <c r="E9559" i="1"/>
  <c r="C9559" i="1"/>
  <c r="G9558" i="1"/>
  <c r="E9558" i="1"/>
  <c r="C9558" i="1"/>
  <c r="G9557" i="1"/>
  <c r="E9557" i="1"/>
  <c r="C9557" i="1"/>
  <c r="G9556" i="1"/>
  <c r="E9556" i="1"/>
  <c r="C9556" i="1"/>
  <c r="G9555" i="1"/>
  <c r="E9555" i="1"/>
  <c r="C9555" i="1"/>
  <c r="G9554" i="1"/>
  <c r="E9554" i="1"/>
  <c r="C9554" i="1"/>
  <c r="G9553" i="1"/>
  <c r="E9553" i="1"/>
  <c r="C9553" i="1"/>
  <c r="G9552" i="1"/>
  <c r="E9552" i="1"/>
  <c r="C9552" i="1"/>
  <c r="G9551" i="1"/>
  <c r="E9551" i="1"/>
  <c r="C9551" i="1"/>
  <c r="G9550" i="1"/>
  <c r="E9550" i="1"/>
  <c r="C9550" i="1"/>
  <c r="G9549" i="1"/>
  <c r="E9549" i="1"/>
  <c r="C9549" i="1"/>
  <c r="G9548" i="1"/>
  <c r="E9548" i="1"/>
  <c r="C9548" i="1"/>
  <c r="G9547" i="1"/>
  <c r="E9547" i="1"/>
  <c r="C9547" i="1"/>
  <c r="G9546" i="1"/>
  <c r="E9546" i="1"/>
  <c r="C9546" i="1"/>
  <c r="G9545" i="1"/>
  <c r="E9545" i="1"/>
  <c r="C9545" i="1"/>
  <c r="G9544" i="1"/>
  <c r="E9544" i="1"/>
  <c r="C9544" i="1"/>
  <c r="G9543" i="1"/>
  <c r="E9543" i="1"/>
  <c r="C9543" i="1"/>
  <c r="G9542" i="1"/>
  <c r="E9542" i="1"/>
  <c r="C9542" i="1"/>
  <c r="G9541" i="1"/>
  <c r="E9541" i="1"/>
  <c r="C9541" i="1"/>
  <c r="G9540" i="1"/>
  <c r="E9540" i="1"/>
  <c r="C9540" i="1"/>
  <c r="G9539" i="1"/>
  <c r="E9539" i="1"/>
  <c r="C9539" i="1"/>
  <c r="G9538" i="1"/>
  <c r="E9538" i="1"/>
  <c r="C9538" i="1"/>
  <c r="G9537" i="1"/>
  <c r="E9537" i="1"/>
  <c r="C9537" i="1"/>
  <c r="G9536" i="1"/>
  <c r="E9536" i="1"/>
  <c r="C9536" i="1"/>
  <c r="G9535" i="1"/>
  <c r="E9535" i="1"/>
  <c r="C9535" i="1"/>
  <c r="G9534" i="1"/>
  <c r="E9534" i="1"/>
  <c r="C9534" i="1"/>
  <c r="G9533" i="1"/>
  <c r="E9533" i="1"/>
  <c r="C9533" i="1"/>
  <c r="G9532" i="1"/>
  <c r="E9532" i="1"/>
  <c r="C9532" i="1"/>
  <c r="G9531" i="1"/>
  <c r="E9531" i="1"/>
  <c r="C9531" i="1"/>
  <c r="G9530" i="1"/>
  <c r="E9530" i="1"/>
  <c r="C9530" i="1"/>
  <c r="G9529" i="1"/>
  <c r="E9529" i="1"/>
  <c r="C9529" i="1"/>
  <c r="G9528" i="1"/>
  <c r="E9528" i="1"/>
  <c r="C9528" i="1"/>
  <c r="G9527" i="1"/>
  <c r="E9527" i="1"/>
  <c r="C9527" i="1"/>
  <c r="G9526" i="1"/>
  <c r="E9526" i="1"/>
  <c r="C9526" i="1"/>
  <c r="G9525" i="1"/>
  <c r="E9525" i="1"/>
  <c r="C9525" i="1"/>
  <c r="G9524" i="1"/>
  <c r="E9524" i="1"/>
  <c r="C9524" i="1"/>
  <c r="G9523" i="1"/>
  <c r="E9523" i="1"/>
  <c r="C9523" i="1"/>
  <c r="G9522" i="1"/>
  <c r="E9522" i="1"/>
  <c r="C9522" i="1"/>
  <c r="G9521" i="1"/>
  <c r="E9521" i="1"/>
  <c r="C9521" i="1"/>
  <c r="G9520" i="1"/>
  <c r="E9520" i="1"/>
  <c r="C9520" i="1"/>
  <c r="G9519" i="1"/>
  <c r="E9519" i="1"/>
  <c r="C9519" i="1"/>
  <c r="G9518" i="1"/>
  <c r="E9518" i="1"/>
  <c r="C9518" i="1"/>
  <c r="G9517" i="1"/>
  <c r="E9517" i="1"/>
  <c r="C9517" i="1"/>
  <c r="G9516" i="1"/>
  <c r="E9516" i="1"/>
  <c r="C9516" i="1"/>
  <c r="G9515" i="1"/>
  <c r="E9515" i="1"/>
  <c r="C9515" i="1"/>
  <c r="G9514" i="1"/>
  <c r="E9514" i="1"/>
  <c r="C9514" i="1"/>
  <c r="G9513" i="1"/>
  <c r="E9513" i="1"/>
  <c r="C9513" i="1"/>
  <c r="G9512" i="1"/>
  <c r="E9512" i="1"/>
  <c r="C9512" i="1"/>
  <c r="G9511" i="1"/>
  <c r="E9511" i="1"/>
  <c r="C9511" i="1"/>
  <c r="G9510" i="1"/>
  <c r="E9510" i="1"/>
  <c r="C9510" i="1"/>
  <c r="G9509" i="1"/>
  <c r="E9509" i="1"/>
  <c r="C9509" i="1"/>
  <c r="G9508" i="1"/>
  <c r="E9508" i="1"/>
  <c r="C9508" i="1"/>
  <c r="G9507" i="1"/>
  <c r="E9507" i="1"/>
  <c r="C9507" i="1"/>
  <c r="G9506" i="1"/>
  <c r="E9506" i="1"/>
  <c r="C9506" i="1"/>
  <c r="G9505" i="1"/>
  <c r="E9505" i="1"/>
  <c r="C9505" i="1"/>
  <c r="G9504" i="1"/>
  <c r="E9504" i="1"/>
  <c r="C9504" i="1"/>
  <c r="G9503" i="1"/>
  <c r="E9503" i="1"/>
  <c r="C9503" i="1"/>
  <c r="G9502" i="1"/>
  <c r="E9502" i="1"/>
  <c r="C9502" i="1"/>
  <c r="G9501" i="1"/>
  <c r="E9501" i="1"/>
  <c r="C9501" i="1"/>
  <c r="G9500" i="1"/>
  <c r="E9500" i="1"/>
  <c r="C9500" i="1"/>
  <c r="G9499" i="1"/>
  <c r="E9499" i="1"/>
  <c r="C9499" i="1"/>
  <c r="G9498" i="1"/>
  <c r="E9498" i="1"/>
  <c r="C9498" i="1"/>
  <c r="G9497" i="1"/>
  <c r="E9497" i="1"/>
  <c r="C9497" i="1"/>
  <c r="G9496" i="1"/>
  <c r="E9496" i="1"/>
  <c r="C9496" i="1"/>
  <c r="G9495" i="1"/>
  <c r="E9495" i="1"/>
  <c r="C9495" i="1"/>
  <c r="G9494" i="1"/>
  <c r="E9494" i="1"/>
  <c r="C9494" i="1"/>
  <c r="G9493" i="1"/>
  <c r="E9493" i="1"/>
  <c r="C9493" i="1"/>
  <c r="G9492" i="1"/>
  <c r="E9492" i="1"/>
  <c r="C9492" i="1"/>
  <c r="G9491" i="1"/>
  <c r="E9491" i="1"/>
  <c r="C9491" i="1"/>
  <c r="G9490" i="1"/>
  <c r="E9490" i="1"/>
  <c r="C9490" i="1"/>
  <c r="G9489" i="1"/>
  <c r="E9489" i="1"/>
  <c r="C9489" i="1"/>
  <c r="G9488" i="1"/>
  <c r="E9488" i="1"/>
  <c r="C9488" i="1"/>
  <c r="G9487" i="1"/>
  <c r="E9487" i="1"/>
  <c r="C9487" i="1"/>
  <c r="G9486" i="1"/>
  <c r="E9486" i="1"/>
  <c r="C9486" i="1"/>
  <c r="G9485" i="1"/>
  <c r="E9485" i="1"/>
  <c r="C9485" i="1"/>
  <c r="G9484" i="1"/>
  <c r="E9484" i="1"/>
  <c r="C9484" i="1"/>
  <c r="G9483" i="1"/>
  <c r="E9483" i="1"/>
  <c r="C9483" i="1"/>
  <c r="G9482" i="1"/>
  <c r="E9482" i="1"/>
  <c r="C9482" i="1"/>
  <c r="G9481" i="1"/>
  <c r="E9481" i="1"/>
  <c r="C9481" i="1"/>
  <c r="G9480" i="1"/>
  <c r="E9480" i="1"/>
  <c r="C9480" i="1"/>
  <c r="G9479" i="1"/>
  <c r="E9479" i="1"/>
  <c r="C9479" i="1"/>
  <c r="G9478" i="1"/>
  <c r="E9478" i="1"/>
  <c r="C9478" i="1"/>
  <c r="G9477" i="1"/>
  <c r="E9477" i="1"/>
  <c r="C9477" i="1"/>
  <c r="G9476" i="1"/>
  <c r="E9476" i="1"/>
  <c r="C9476" i="1"/>
  <c r="G9475" i="1"/>
  <c r="E9475" i="1"/>
  <c r="C9475" i="1"/>
  <c r="G9474" i="1"/>
  <c r="E9474" i="1"/>
  <c r="C9474" i="1"/>
  <c r="G9473" i="1"/>
  <c r="E9473" i="1"/>
  <c r="C9473" i="1"/>
  <c r="G9472" i="1"/>
  <c r="E9472" i="1"/>
  <c r="C9472" i="1"/>
  <c r="G9471" i="1"/>
  <c r="E9471" i="1"/>
  <c r="C9471" i="1"/>
  <c r="G9470" i="1"/>
  <c r="E9470" i="1"/>
  <c r="C9470" i="1"/>
  <c r="G9469" i="1"/>
  <c r="E9469" i="1"/>
  <c r="C9469" i="1"/>
  <c r="G9468" i="1"/>
  <c r="E9468" i="1"/>
  <c r="C9468" i="1"/>
  <c r="G9467" i="1"/>
  <c r="E9467" i="1"/>
  <c r="C9467" i="1"/>
  <c r="G9466" i="1"/>
  <c r="E9466" i="1"/>
  <c r="C9466" i="1"/>
  <c r="G9465" i="1"/>
  <c r="E9465" i="1"/>
  <c r="C9465" i="1"/>
  <c r="G9464" i="1"/>
  <c r="E9464" i="1"/>
  <c r="C9464" i="1"/>
  <c r="G9463" i="1"/>
  <c r="E9463" i="1"/>
  <c r="C9463" i="1"/>
  <c r="G9462" i="1"/>
  <c r="E9462" i="1"/>
  <c r="C9462" i="1"/>
  <c r="G9461" i="1"/>
  <c r="E9461" i="1"/>
  <c r="C9461" i="1"/>
  <c r="G9460" i="1"/>
  <c r="E9460" i="1"/>
  <c r="C9460" i="1"/>
  <c r="G9459" i="1"/>
  <c r="E9459" i="1"/>
  <c r="C9459" i="1"/>
  <c r="G9458" i="1"/>
  <c r="E9458" i="1"/>
  <c r="C9458" i="1"/>
  <c r="G9457" i="1"/>
  <c r="E9457" i="1"/>
  <c r="C9457" i="1"/>
  <c r="G9456" i="1"/>
  <c r="E9456" i="1"/>
  <c r="C9456" i="1"/>
  <c r="G9455" i="1"/>
  <c r="E9455" i="1"/>
  <c r="C9455" i="1"/>
  <c r="G9454" i="1"/>
  <c r="E9454" i="1"/>
  <c r="C9454" i="1"/>
  <c r="G9453" i="1"/>
  <c r="E9453" i="1"/>
  <c r="C9453" i="1"/>
  <c r="G9452" i="1"/>
  <c r="E9452" i="1"/>
  <c r="C9452" i="1"/>
  <c r="G9451" i="1"/>
  <c r="E9451" i="1"/>
  <c r="C9451" i="1"/>
  <c r="G9450" i="1"/>
  <c r="E9450" i="1"/>
  <c r="C9450" i="1"/>
  <c r="G9449" i="1"/>
  <c r="E9449" i="1"/>
  <c r="C9449" i="1"/>
  <c r="G9448" i="1"/>
  <c r="E9448" i="1"/>
  <c r="C9448" i="1"/>
  <c r="G9447" i="1"/>
  <c r="E9447" i="1"/>
  <c r="C9447" i="1"/>
  <c r="G9446" i="1"/>
  <c r="E9446" i="1"/>
  <c r="C9446" i="1"/>
  <c r="G9445" i="1"/>
  <c r="E9445" i="1"/>
  <c r="C9445" i="1"/>
  <c r="G9444" i="1"/>
  <c r="E9444" i="1"/>
  <c r="C9444" i="1"/>
  <c r="G9443" i="1"/>
  <c r="E9443" i="1"/>
  <c r="C9443" i="1"/>
  <c r="G9442" i="1"/>
  <c r="E9442" i="1"/>
  <c r="C9442" i="1"/>
  <c r="G9441" i="1"/>
  <c r="E9441" i="1"/>
  <c r="C9441" i="1"/>
  <c r="G9440" i="1"/>
  <c r="E9440" i="1"/>
  <c r="C9440" i="1"/>
  <c r="G9439" i="1"/>
  <c r="E9439" i="1"/>
  <c r="C9439" i="1"/>
  <c r="G9438" i="1"/>
  <c r="E9438" i="1"/>
  <c r="C9438" i="1"/>
  <c r="G9437" i="1"/>
  <c r="E9437" i="1"/>
  <c r="C9437" i="1"/>
  <c r="G9436" i="1"/>
  <c r="E9436" i="1"/>
  <c r="C9436" i="1"/>
  <c r="G9435" i="1"/>
  <c r="E9435" i="1"/>
  <c r="C9435" i="1"/>
  <c r="G9434" i="1"/>
  <c r="E9434" i="1"/>
  <c r="C9434" i="1"/>
  <c r="G9433" i="1"/>
  <c r="E9433" i="1"/>
  <c r="C9433" i="1"/>
  <c r="G9432" i="1"/>
  <c r="E9432" i="1"/>
  <c r="C9432" i="1"/>
  <c r="G9431" i="1"/>
  <c r="E9431" i="1"/>
  <c r="C9431" i="1"/>
  <c r="G9430" i="1"/>
  <c r="E9430" i="1"/>
  <c r="C9430" i="1"/>
  <c r="G9429" i="1"/>
  <c r="E9429" i="1"/>
  <c r="C9429" i="1"/>
  <c r="G9428" i="1"/>
  <c r="E9428" i="1"/>
  <c r="C9428" i="1"/>
  <c r="G9427" i="1"/>
  <c r="E9427" i="1"/>
  <c r="C9427" i="1"/>
  <c r="G9426" i="1"/>
  <c r="E9426" i="1"/>
  <c r="C9426" i="1"/>
  <c r="G9425" i="1"/>
  <c r="E9425" i="1"/>
  <c r="C9425" i="1"/>
  <c r="G9424" i="1"/>
  <c r="E9424" i="1"/>
  <c r="C9424" i="1"/>
  <c r="G9423" i="1"/>
  <c r="E9423" i="1"/>
  <c r="C9423" i="1"/>
  <c r="G9422" i="1"/>
  <c r="E9422" i="1"/>
  <c r="C9422" i="1"/>
  <c r="G9421" i="1"/>
  <c r="E9421" i="1"/>
  <c r="C9421" i="1"/>
  <c r="G9420" i="1"/>
  <c r="E9420" i="1"/>
  <c r="C9420" i="1"/>
  <c r="G9419" i="1"/>
  <c r="E9419" i="1"/>
  <c r="C9419" i="1"/>
  <c r="G9418" i="1"/>
  <c r="E9418" i="1"/>
  <c r="C9418" i="1"/>
  <c r="G9417" i="1"/>
  <c r="E9417" i="1"/>
  <c r="C9417" i="1"/>
  <c r="G9416" i="1"/>
  <c r="E9416" i="1"/>
  <c r="C9416" i="1"/>
  <c r="G9415" i="1"/>
  <c r="E9415" i="1"/>
  <c r="C9415" i="1"/>
  <c r="G9414" i="1"/>
  <c r="E9414" i="1"/>
  <c r="C9414" i="1"/>
  <c r="G9413" i="1"/>
  <c r="E9413" i="1"/>
  <c r="C9413" i="1"/>
  <c r="G9412" i="1"/>
  <c r="E9412" i="1"/>
  <c r="C9412" i="1"/>
  <c r="G9411" i="1"/>
  <c r="E9411" i="1"/>
  <c r="C9411" i="1"/>
  <c r="G9410" i="1"/>
  <c r="E9410" i="1"/>
  <c r="C9410" i="1"/>
  <c r="G9409" i="1"/>
  <c r="E9409" i="1"/>
  <c r="C9409" i="1"/>
  <c r="G9408" i="1"/>
  <c r="E9408" i="1"/>
  <c r="C9408" i="1"/>
  <c r="G9407" i="1"/>
  <c r="E9407" i="1"/>
  <c r="C9407" i="1"/>
  <c r="G9406" i="1"/>
  <c r="E9406" i="1"/>
  <c r="C9406" i="1"/>
  <c r="G9405" i="1"/>
  <c r="E9405" i="1"/>
  <c r="C9405" i="1"/>
  <c r="G9404" i="1"/>
  <c r="E9404" i="1"/>
  <c r="C9404" i="1"/>
  <c r="G9403" i="1"/>
  <c r="E9403" i="1"/>
  <c r="C9403" i="1"/>
  <c r="G9402" i="1"/>
  <c r="E9402" i="1"/>
  <c r="C9402" i="1"/>
  <c r="G9401" i="1"/>
  <c r="E9401" i="1"/>
  <c r="C9401" i="1"/>
  <c r="G9400" i="1"/>
  <c r="E9400" i="1"/>
  <c r="C9400" i="1"/>
  <c r="G9399" i="1"/>
  <c r="E9399" i="1"/>
  <c r="C9399" i="1"/>
  <c r="G9398" i="1"/>
  <c r="E9398" i="1"/>
  <c r="C9398" i="1"/>
  <c r="G9397" i="1"/>
  <c r="E9397" i="1"/>
  <c r="C9397" i="1"/>
  <c r="G9396" i="1"/>
  <c r="E9396" i="1"/>
  <c r="C9396" i="1"/>
  <c r="G9395" i="1"/>
  <c r="E9395" i="1"/>
  <c r="C9395" i="1"/>
  <c r="G9394" i="1"/>
  <c r="E9394" i="1"/>
  <c r="C9394" i="1"/>
  <c r="G9393" i="1"/>
  <c r="E9393" i="1"/>
  <c r="C9393" i="1"/>
  <c r="G9392" i="1"/>
  <c r="E9392" i="1"/>
  <c r="C9392" i="1"/>
  <c r="G9391" i="1"/>
  <c r="E9391" i="1"/>
  <c r="C9391" i="1"/>
  <c r="G9390" i="1"/>
  <c r="E9390" i="1"/>
  <c r="C9390" i="1"/>
  <c r="G9389" i="1"/>
  <c r="E9389" i="1"/>
  <c r="C9389" i="1"/>
  <c r="G9388" i="1"/>
  <c r="E9388" i="1"/>
  <c r="C9388" i="1"/>
  <c r="G9387" i="1"/>
  <c r="E9387" i="1"/>
  <c r="C9387" i="1"/>
  <c r="G9386" i="1"/>
  <c r="E9386" i="1"/>
  <c r="C9386" i="1"/>
  <c r="G9385" i="1"/>
  <c r="E9385" i="1"/>
  <c r="C9385" i="1"/>
  <c r="G9384" i="1"/>
  <c r="E9384" i="1"/>
  <c r="C9384" i="1"/>
  <c r="G9383" i="1"/>
  <c r="E9383" i="1"/>
  <c r="C9383" i="1"/>
  <c r="G9382" i="1"/>
  <c r="E9382" i="1"/>
  <c r="C9382" i="1"/>
  <c r="G9381" i="1"/>
  <c r="E9381" i="1"/>
  <c r="C9381" i="1"/>
  <c r="G9380" i="1"/>
  <c r="E9380" i="1"/>
  <c r="C9380" i="1"/>
  <c r="G9379" i="1"/>
  <c r="E9379" i="1"/>
  <c r="C9379" i="1"/>
  <c r="G9378" i="1"/>
  <c r="E9378" i="1"/>
  <c r="C9378" i="1"/>
  <c r="G9377" i="1"/>
  <c r="E9377" i="1"/>
  <c r="C9377" i="1"/>
  <c r="G9376" i="1"/>
  <c r="E9376" i="1"/>
  <c r="C9376" i="1"/>
  <c r="G9375" i="1"/>
  <c r="E9375" i="1"/>
  <c r="C9375" i="1"/>
  <c r="G9374" i="1"/>
  <c r="E9374" i="1"/>
  <c r="C9374" i="1"/>
  <c r="G9373" i="1"/>
  <c r="E9373" i="1"/>
  <c r="C9373" i="1"/>
  <c r="G9372" i="1"/>
  <c r="E9372" i="1"/>
  <c r="C9372" i="1"/>
  <c r="G9371" i="1"/>
  <c r="E9371" i="1"/>
  <c r="C9371" i="1"/>
  <c r="G9370" i="1"/>
  <c r="E9370" i="1"/>
  <c r="C9370" i="1"/>
  <c r="G9369" i="1"/>
  <c r="E9369" i="1"/>
  <c r="C9369" i="1"/>
  <c r="G9368" i="1"/>
  <c r="E9368" i="1"/>
  <c r="C9368" i="1"/>
  <c r="G9367" i="1"/>
  <c r="E9367" i="1"/>
  <c r="C9367" i="1"/>
  <c r="G9366" i="1"/>
  <c r="E9366" i="1"/>
  <c r="C9366" i="1"/>
  <c r="G9365" i="1"/>
  <c r="E9365" i="1"/>
  <c r="C9365" i="1"/>
  <c r="G9364" i="1"/>
  <c r="E9364" i="1"/>
  <c r="C9364" i="1"/>
  <c r="G9363" i="1"/>
  <c r="E9363" i="1"/>
  <c r="C9363" i="1"/>
  <c r="G9362" i="1"/>
  <c r="E9362" i="1"/>
  <c r="C9362" i="1"/>
  <c r="G9361" i="1"/>
  <c r="E9361" i="1"/>
  <c r="C9361" i="1"/>
  <c r="G9360" i="1"/>
  <c r="E9360" i="1"/>
  <c r="C9360" i="1"/>
  <c r="G9359" i="1"/>
  <c r="E9359" i="1"/>
  <c r="C9359" i="1"/>
  <c r="G9358" i="1"/>
  <c r="E9358" i="1"/>
  <c r="C9358" i="1"/>
  <c r="G9357" i="1"/>
  <c r="E9357" i="1"/>
  <c r="C9357" i="1"/>
  <c r="G9356" i="1"/>
  <c r="E9356" i="1"/>
  <c r="C9356" i="1"/>
  <c r="G9355" i="1"/>
  <c r="E9355" i="1"/>
  <c r="C9355" i="1"/>
  <c r="G9354" i="1"/>
  <c r="E9354" i="1"/>
  <c r="C9354" i="1"/>
  <c r="G9353" i="1"/>
  <c r="E9353" i="1"/>
  <c r="C9353" i="1"/>
  <c r="G9352" i="1"/>
  <c r="E9352" i="1"/>
  <c r="C9352" i="1"/>
  <c r="G9351" i="1"/>
  <c r="E9351" i="1"/>
  <c r="C9351" i="1"/>
  <c r="G9350" i="1"/>
  <c r="E9350" i="1"/>
  <c r="C9350" i="1"/>
  <c r="G9349" i="1"/>
  <c r="E9349" i="1"/>
  <c r="C9349" i="1"/>
  <c r="G9348" i="1"/>
  <c r="E9348" i="1"/>
  <c r="C9348" i="1"/>
  <c r="G9347" i="1"/>
  <c r="E9347" i="1"/>
  <c r="C9347" i="1"/>
  <c r="G9346" i="1"/>
  <c r="E9346" i="1"/>
  <c r="C9346" i="1"/>
  <c r="G9345" i="1"/>
  <c r="E9345" i="1"/>
  <c r="C9345" i="1"/>
  <c r="G9344" i="1"/>
  <c r="E9344" i="1"/>
  <c r="C9344" i="1"/>
  <c r="G9343" i="1"/>
  <c r="E9343" i="1"/>
  <c r="C9343" i="1"/>
  <c r="G9342" i="1"/>
  <c r="E9342" i="1"/>
  <c r="C9342" i="1"/>
  <c r="G9341" i="1"/>
  <c r="E9341" i="1"/>
  <c r="C9341" i="1"/>
  <c r="G9340" i="1"/>
  <c r="E9340" i="1"/>
  <c r="C9340" i="1"/>
  <c r="G9339" i="1"/>
  <c r="E9339" i="1"/>
  <c r="C9339" i="1"/>
  <c r="G9338" i="1"/>
  <c r="E9338" i="1"/>
  <c r="C9338" i="1"/>
  <c r="G9337" i="1"/>
  <c r="E9337" i="1"/>
  <c r="C9337" i="1"/>
  <c r="G9336" i="1"/>
  <c r="E9336" i="1"/>
  <c r="C9336" i="1"/>
  <c r="G9335" i="1"/>
  <c r="E9335" i="1"/>
  <c r="C9335" i="1"/>
  <c r="G9334" i="1"/>
  <c r="E9334" i="1"/>
  <c r="C9334" i="1"/>
  <c r="G9333" i="1"/>
  <c r="E9333" i="1"/>
  <c r="C9333" i="1"/>
  <c r="G9332" i="1"/>
  <c r="E9332" i="1"/>
  <c r="C9332" i="1"/>
  <c r="G9331" i="1"/>
  <c r="E9331" i="1"/>
  <c r="C9331" i="1"/>
  <c r="G9330" i="1"/>
  <c r="E9330" i="1"/>
  <c r="C9330" i="1"/>
  <c r="G9329" i="1"/>
  <c r="E9329" i="1"/>
  <c r="C9329" i="1"/>
  <c r="G9328" i="1"/>
  <c r="E9328" i="1"/>
  <c r="C9328" i="1"/>
  <c r="G9327" i="1"/>
  <c r="E9327" i="1"/>
  <c r="C9327" i="1"/>
  <c r="G9326" i="1"/>
  <c r="E9326" i="1"/>
  <c r="C9326" i="1"/>
  <c r="G9325" i="1"/>
  <c r="E9325" i="1"/>
  <c r="C9325" i="1"/>
  <c r="G9324" i="1"/>
  <c r="E9324" i="1"/>
  <c r="C9324" i="1"/>
  <c r="G9323" i="1"/>
  <c r="E9323" i="1"/>
  <c r="C9323" i="1"/>
  <c r="G9322" i="1"/>
  <c r="E9322" i="1"/>
  <c r="C9322" i="1"/>
  <c r="G9321" i="1"/>
  <c r="E9321" i="1"/>
  <c r="C9321" i="1"/>
  <c r="G9320" i="1"/>
  <c r="E9320" i="1"/>
  <c r="C9320" i="1"/>
  <c r="G9319" i="1"/>
  <c r="E9319" i="1"/>
  <c r="C9319" i="1"/>
  <c r="G9318" i="1"/>
  <c r="E9318" i="1"/>
  <c r="C9318" i="1"/>
  <c r="G9317" i="1"/>
  <c r="E9317" i="1"/>
  <c r="C9317" i="1"/>
  <c r="G9316" i="1"/>
  <c r="E9316" i="1"/>
  <c r="C9316" i="1"/>
  <c r="G9315" i="1"/>
  <c r="E9315" i="1"/>
  <c r="C9315" i="1"/>
  <c r="G9314" i="1"/>
  <c r="E9314" i="1"/>
  <c r="C9314" i="1"/>
  <c r="G9313" i="1"/>
  <c r="E9313" i="1"/>
  <c r="C9313" i="1"/>
  <c r="G9312" i="1"/>
  <c r="E9312" i="1"/>
  <c r="C9312" i="1"/>
  <c r="G9311" i="1"/>
  <c r="E9311" i="1"/>
  <c r="C9311" i="1"/>
  <c r="G9310" i="1"/>
  <c r="E9310" i="1"/>
  <c r="C9310" i="1"/>
  <c r="G9309" i="1"/>
  <c r="E9309" i="1"/>
  <c r="C9309" i="1"/>
  <c r="G9308" i="1"/>
  <c r="E9308" i="1"/>
  <c r="C9308" i="1"/>
  <c r="G9307" i="1"/>
  <c r="E9307" i="1"/>
  <c r="C9307" i="1"/>
  <c r="G9306" i="1"/>
  <c r="E9306" i="1"/>
  <c r="C9306" i="1"/>
  <c r="G9305" i="1"/>
  <c r="E9305" i="1"/>
  <c r="C9305" i="1"/>
  <c r="G9304" i="1"/>
  <c r="E9304" i="1"/>
  <c r="C9304" i="1"/>
  <c r="G9303" i="1"/>
  <c r="E9303" i="1"/>
  <c r="C9303" i="1"/>
  <c r="G9302" i="1"/>
  <c r="E9302" i="1"/>
  <c r="C9302" i="1"/>
  <c r="G9301" i="1"/>
  <c r="E9301" i="1"/>
  <c r="C9301" i="1"/>
  <c r="G9300" i="1"/>
  <c r="E9300" i="1"/>
  <c r="C9300" i="1"/>
  <c r="G9299" i="1"/>
  <c r="E9299" i="1"/>
  <c r="C9299" i="1"/>
  <c r="G9298" i="1"/>
  <c r="E9298" i="1"/>
  <c r="C9298" i="1"/>
  <c r="G9297" i="1"/>
  <c r="E9297" i="1"/>
  <c r="C9297" i="1"/>
  <c r="G9296" i="1"/>
  <c r="E9296" i="1"/>
  <c r="C9296" i="1"/>
  <c r="G9295" i="1"/>
  <c r="E9295" i="1"/>
  <c r="C9295" i="1"/>
  <c r="G9294" i="1"/>
  <c r="E9294" i="1"/>
  <c r="C9294" i="1"/>
  <c r="G9293" i="1"/>
  <c r="E9293" i="1"/>
  <c r="C9293" i="1"/>
  <c r="G9292" i="1"/>
  <c r="E9292" i="1"/>
  <c r="C9292" i="1"/>
  <c r="G9291" i="1"/>
  <c r="E9291" i="1"/>
  <c r="C9291" i="1"/>
  <c r="G9290" i="1"/>
  <c r="E9290" i="1"/>
  <c r="C9290" i="1"/>
  <c r="G9289" i="1"/>
  <c r="E9289" i="1"/>
  <c r="C9289" i="1"/>
  <c r="G9288" i="1"/>
  <c r="E9288" i="1"/>
  <c r="C9288" i="1"/>
  <c r="G9287" i="1"/>
  <c r="E9287" i="1"/>
  <c r="C9287" i="1"/>
  <c r="G9286" i="1"/>
  <c r="E9286" i="1"/>
  <c r="C9286" i="1"/>
  <c r="G9285" i="1"/>
  <c r="E9285" i="1"/>
  <c r="C9285" i="1"/>
  <c r="G9284" i="1"/>
  <c r="E9284" i="1"/>
  <c r="C9284" i="1"/>
  <c r="G9283" i="1"/>
  <c r="E9283" i="1"/>
  <c r="C9283" i="1"/>
  <c r="G9282" i="1"/>
  <c r="E9282" i="1"/>
  <c r="C9282" i="1"/>
  <c r="G9281" i="1"/>
  <c r="E9281" i="1"/>
  <c r="C9281" i="1"/>
  <c r="G9280" i="1"/>
  <c r="E9280" i="1"/>
  <c r="C9280" i="1"/>
  <c r="G9279" i="1"/>
  <c r="E9279" i="1"/>
  <c r="C9279" i="1"/>
  <c r="G9278" i="1"/>
  <c r="E9278" i="1"/>
  <c r="C9278" i="1"/>
  <c r="G9277" i="1"/>
  <c r="E9277" i="1"/>
  <c r="C9277" i="1"/>
  <c r="G9276" i="1"/>
  <c r="E9276" i="1"/>
  <c r="C9276" i="1"/>
  <c r="G9275" i="1"/>
  <c r="E9275" i="1"/>
  <c r="C9275" i="1"/>
  <c r="G9274" i="1"/>
  <c r="E9274" i="1"/>
  <c r="C9274" i="1"/>
  <c r="G9273" i="1"/>
  <c r="E9273" i="1"/>
  <c r="C9273" i="1"/>
  <c r="G9272" i="1"/>
  <c r="E9272" i="1"/>
  <c r="C9272" i="1"/>
  <c r="G9271" i="1"/>
  <c r="E9271" i="1"/>
  <c r="C9271" i="1"/>
  <c r="G9270" i="1"/>
  <c r="E9270" i="1"/>
  <c r="C9270" i="1"/>
  <c r="G9269" i="1"/>
  <c r="E9269" i="1"/>
  <c r="C9269" i="1"/>
  <c r="G9268" i="1"/>
  <c r="E9268" i="1"/>
  <c r="C9268" i="1"/>
  <c r="G9267" i="1"/>
  <c r="E9267" i="1"/>
  <c r="C9267" i="1"/>
  <c r="G9266" i="1"/>
  <c r="E9266" i="1"/>
  <c r="C9266" i="1"/>
  <c r="G9265" i="1"/>
  <c r="E9265" i="1"/>
  <c r="C9265" i="1"/>
  <c r="G9264" i="1"/>
  <c r="E9264" i="1"/>
  <c r="C9264" i="1"/>
  <c r="G9263" i="1"/>
  <c r="E9263" i="1"/>
  <c r="C9263" i="1"/>
  <c r="G9262" i="1"/>
  <c r="E9262" i="1"/>
  <c r="C9262" i="1"/>
  <c r="G9261" i="1"/>
  <c r="E9261" i="1"/>
  <c r="C9261" i="1"/>
  <c r="G9260" i="1"/>
  <c r="E9260" i="1"/>
  <c r="C9260" i="1"/>
  <c r="G9259" i="1"/>
  <c r="E9259" i="1"/>
  <c r="C9259" i="1"/>
  <c r="G9258" i="1"/>
  <c r="E9258" i="1"/>
  <c r="C9258" i="1"/>
  <c r="G9257" i="1"/>
  <c r="E9257" i="1"/>
  <c r="C9257" i="1"/>
  <c r="G9256" i="1"/>
  <c r="E9256" i="1"/>
  <c r="C9256" i="1"/>
  <c r="G9255" i="1"/>
  <c r="E9255" i="1"/>
  <c r="C9255" i="1"/>
  <c r="G9254" i="1"/>
  <c r="E9254" i="1"/>
  <c r="C9254" i="1"/>
  <c r="G9253" i="1"/>
  <c r="E9253" i="1"/>
  <c r="C9253" i="1"/>
  <c r="G9252" i="1"/>
  <c r="E9252" i="1"/>
  <c r="C9252" i="1"/>
  <c r="G9251" i="1"/>
  <c r="E9251" i="1"/>
  <c r="C9251" i="1"/>
  <c r="G9250" i="1"/>
  <c r="E9250" i="1"/>
  <c r="C9250" i="1"/>
  <c r="G9249" i="1"/>
  <c r="E9249" i="1"/>
  <c r="C9249" i="1"/>
  <c r="G9248" i="1"/>
  <c r="E9248" i="1"/>
  <c r="C9248" i="1"/>
  <c r="G9247" i="1"/>
  <c r="E9247" i="1"/>
  <c r="C9247" i="1"/>
  <c r="G9246" i="1"/>
  <c r="E9246" i="1"/>
  <c r="C9246" i="1"/>
  <c r="G9245" i="1"/>
  <c r="E9245" i="1"/>
  <c r="C9245" i="1"/>
  <c r="G9244" i="1"/>
  <c r="E9244" i="1"/>
  <c r="C9244" i="1"/>
  <c r="G9243" i="1"/>
  <c r="E9243" i="1"/>
  <c r="C9243" i="1"/>
  <c r="G9242" i="1"/>
  <c r="E9242" i="1"/>
  <c r="C9242" i="1"/>
  <c r="G9241" i="1"/>
  <c r="E9241" i="1"/>
  <c r="C9241" i="1"/>
  <c r="G9240" i="1"/>
  <c r="E9240" i="1"/>
  <c r="C9240" i="1"/>
  <c r="G9239" i="1"/>
  <c r="E9239" i="1"/>
  <c r="C9239" i="1"/>
  <c r="G9238" i="1"/>
  <c r="E9238" i="1"/>
  <c r="C9238" i="1"/>
  <c r="G9237" i="1"/>
  <c r="E9237" i="1"/>
  <c r="C9237" i="1"/>
  <c r="G9236" i="1"/>
  <c r="E9236" i="1"/>
  <c r="C9236" i="1"/>
  <c r="G9235" i="1"/>
  <c r="E9235" i="1"/>
  <c r="C9235" i="1"/>
  <c r="G9234" i="1"/>
  <c r="E9234" i="1"/>
  <c r="C9234" i="1"/>
  <c r="G9233" i="1"/>
  <c r="E9233" i="1"/>
  <c r="C9233" i="1"/>
  <c r="G9232" i="1"/>
  <c r="E9232" i="1"/>
  <c r="C9232" i="1"/>
  <c r="G9231" i="1"/>
  <c r="E9231" i="1"/>
  <c r="C9231" i="1"/>
  <c r="G9230" i="1"/>
  <c r="E9230" i="1"/>
  <c r="C9230" i="1"/>
  <c r="G9229" i="1"/>
  <c r="E9229" i="1"/>
  <c r="C9229" i="1"/>
  <c r="G9228" i="1"/>
  <c r="E9228" i="1"/>
  <c r="C9228" i="1"/>
  <c r="G9227" i="1"/>
  <c r="E9227" i="1"/>
  <c r="C9227" i="1"/>
  <c r="G9226" i="1"/>
  <c r="E9226" i="1"/>
  <c r="C9226" i="1"/>
  <c r="G9225" i="1"/>
  <c r="E9225" i="1"/>
  <c r="C9225" i="1"/>
  <c r="G9224" i="1"/>
  <c r="E9224" i="1"/>
  <c r="C9224" i="1"/>
  <c r="G9223" i="1"/>
  <c r="E9223" i="1"/>
  <c r="C9223" i="1"/>
  <c r="G9222" i="1"/>
  <c r="E9222" i="1"/>
  <c r="C9222" i="1"/>
  <c r="G9221" i="1"/>
  <c r="E9221" i="1"/>
  <c r="C9221" i="1"/>
  <c r="G9220" i="1"/>
  <c r="E9220" i="1"/>
  <c r="C9220" i="1"/>
  <c r="G9219" i="1"/>
  <c r="E9219" i="1"/>
  <c r="C9219" i="1"/>
  <c r="G9218" i="1"/>
  <c r="E9218" i="1"/>
  <c r="C9218" i="1"/>
  <c r="G9217" i="1"/>
  <c r="E9217" i="1"/>
  <c r="C9217" i="1"/>
  <c r="G9216" i="1"/>
  <c r="E9216" i="1"/>
  <c r="C9216" i="1"/>
  <c r="G9215" i="1"/>
  <c r="E9215" i="1"/>
  <c r="C9215" i="1"/>
  <c r="G9214" i="1"/>
  <c r="E9214" i="1"/>
  <c r="C9214" i="1"/>
  <c r="G9213" i="1"/>
  <c r="E9213" i="1"/>
  <c r="C9213" i="1"/>
  <c r="G9212" i="1"/>
  <c r="E9212" i="1"/>
  <c r="C9212" i="1"/>
  <c r="G9211" i="1"/>
  <c r="E9211" i="1"/>
  <c r="C9211" i="1"/>
  <c r="G9210" i="1"/>
  <c r="E9210" i="1"/>
  <c r="C9210" i="1"/>
  <c r="G9209" i="1"/>
  <c r="E9209" i="1"/>
  <c r="C9209" i="1"/>
  <c r="G9208" i="1"/>
  <c r="E9208" i="1"/>
  <c r="C9208" i="1"/>
  <c r="G9207" i="1"/>
  <c r="E9207" i="1"/>
  <c r="C9207" i="1"/>
  <c r="G9206" i="1"/>
  <c r="E9206" i="1"/>
  <c r="C9206" i="1"/>
  <c r="G9205" i="1"/>
  <c r="E9205" i="1"/>
  <c r="C9205" i="1"/>
  <c r="G9204" i="1"/>
  <c r="E9204" i="1"/>
  <c r="C9204" i="1"/>
  <c r="G9203" i="1"/>
  <c r="E9203" i="1"/>
  <c r="C9203" i="1"/>
  <c r="G9202" i="1"/>
  <c r="E9202" i="1"/>
  <c r="C9202" i="1"/>
  <c r="G9201" i="1"/>
  <c r="E9201" i="1"/>
  <c r="C9201" i="1"/>
  <c r="G9200" i="1"/>
  <c r="E9200" i="1"/>
  <c r="C9200" i="1"/>
  <c r="G9199" i="1"/>
  <c r="E9199" i="1"/>
  <c r="C9199" i="1"/>
  <c r="G9198" i="1"/>
  <c r="E9198" i="1"/>
  <c r="C9198" i="1"/>
  <c r="G9197" i="1"/>
  <c r="E9197" i="1"/>
  <c r="C9197" i="1"/>
  <c r="G9196" i="1"/>
  <c r="E9196" i="1"/>
  <c r="C9196" i="1"/>
  <c r="G9195" i="1"/>
  <c r="E9195" i="1"/>
  <c r="C9195" i="1"/>
  <c r="G9194" i="1"/>
  <c r="E9194" i="1"/>
  <c r="C9194" i="1"/>
  <c r="G9193" i="1"/>
  <c r="E9193" i="1"/>
  <c r="C9193" i="1"/>
  <c r="G9192" i="1"/>
  <c r="E9192" i="1"/>
  <c r="C9192" i="1"/>
  <c r="G9191" i="1"/>
  <c r="E9191" i="1"/>
  <c r="C9191" i="1"/>
  <c r="G9190" i="1"/>
  <c r="E9190" i="1"/>
  <c r="C9190" i="1"/>
  <c r="G9189" i="1"/>
  <c r="E9189" i="1"/>
  <c r="C9189" i="1"/>
  <c r="G9188" i="1"/>
  <c r="E9188" i="1"/>
  <c r="C9188" i="1"/>
  <c r="G9187" i="1"/>
  <c r="E9187" i="1"/>
  <c r="C9187" i="1"/>
  <c r="G9186" i="1"/>
  <c r="E9186" i="1"/>
  <c r="C9186" i="1"/>
  <c r="G9185" i="1"/>
  <c r="E9185" i="1"/>
  <c r="C9185" i="1"/>
  <c r="G9184" i="1"/>
  <c r="E9184" i="1"/>
  <c r="C9184" i="1"/>
  <c r="G9183" i="1"/>
  <c r="E9183" i="1"/>
  <c r="C9183" i="1"/>
  <c r="G9182" i="1"/>
  <c r="E9182" i="1"/>
  <c r="C9182" i="1"/>
  <c r="G9181" i="1"/>
  <c r="E9181" i="1"/>
  <c r="C9181" i="1"/>
  <c r="G9180" i="1"/>
  <c r="E9180" i="1"/>
  <c r="C9180" i="1"/>
  <c r="G9179" i="1"/>
  <c r="E9179" i="1"/>
  <c r="C9179" i="1"/>
  <c r="G9178" i="1"/>
  <c r="E9178" i="1"/>
  <c r="C9178" i="1"/>
  <c r="G9177" i="1"/>
  <c r="E9177" i="1"/>
  <c r="C9177" i="1"/>
  <c r="G9176" i="1"/>
  <c r="E9176" i="1"/>
  <c r="C9176" i="1"/>
  <c r="G9175" i="1"/>
  <c r="E9175" i="1"/>
  <c r="C9175" i="1"/>
  <c r="G9174" i="1"/>
  <c r="E9174" i="1"/>
  <c r="C9174" i="1"/>
  <c r="G9173" i="1"/>
  <c r="E9173" i="1"/>
  <c r="C9173" i="1"/>
  <c r="G9172" i="1"/>
  <c r="E9172" i="1"/>
  <c r="C9172" i="1"/>
  <c r="G9171" i="1"/>
  <c r="E9171" i="1"/>
  <c r="C9171" i="1"/>
  <c r="G9170" i="1"/>
  <c r="E9170" i="1"/>
  <c r="C9170" i="1"/>
  <c r="G9169" i="1"/>
  <c r="E9169" i="1"/>
  <c r="C9169" i="1"/>
  <c r="G9168" i="1"/>
  <c r="E9168" i="1"/>
  <c r="C9168" i="1"/>
  <c r="G9167" i="1"/>
  <c r="E9167" i="1"/>
  <c r="C9167" i="1"/>
  <c r="G9166" i="1"/>
  <c r="E9166" i="1"/>
  <c r="C9166" i="1"/>
  <c r="G9165" i="1"/>
  <c r="E9165" i="1"/>
  <c r="C9165" i="1"/>
  <c r="G9164" i="1"/>
  <c r="E9164" i="1"/>
  <c r="C9164" i="1"/>
  <c r="G9163" i="1"/>
  <c r="E9163" i="1"/>
  <c r="C9163" i="1"/>
  <c r="G9162" i="1"/>
  <c r="E9162" i="1"/>
  <c r="C9162" i="1"/>
  <c r="G9161" i="1"/>
  <c r="E9161" i="1"/>
  <c r="C9161" i="1"/>
  <c r="G9160" i="1"/>
  <c r="E9160" i="1"/>
  <c r="C9160" i="1"/>
  <c r="G9159" i="1"/>
  <c r="E9159" i="1"/>
  <c r="C9159" i="1"/>
  <c r="G9158" i="1"/>
  <c r="E9158" i="1"/>
  <c r="C9158" i="1"/>
  <c r="G9157" i="1"/>
  <c r="E9157" i="1"/>
  <c r="C9157" i="1"/>
  <c r="G9156" i="1"/>
  <c r="E9156" i="1"/>
  <c r="C9156" i="1"/>
  <c r="G9155" i="1"/>
  <c r="E9155" i="1"/>
  <c r="C9155" i="1"/>
  <c r="G9154" i="1"/>
  <c r="E9154" i="1"/>
  <c r="C9154" i="1"/>
  <c r="G9153" i="1"/>
  <c r="E9153" i="1"/>
  <c r="C9153" i="1"/>
  <c r="G9152" i="1"/>
  <c r="E9152" i="1"/>
  <c r="C9152" i="1"/>
  <c r="G9151" i="1"/>
  <c r="E9151" i="1"/>
  <c r="C9151" i="1"/>
  <c r="G9150" i="1"/>
  <c r="E9150" i="1"/>
  <c r="C9150" i="1"/>
  <c r="G9149" i="1"/>
  <c r="E9149" i="1"/>
  <c r="C9149" i="1"/>
  <c r="G9148" i="1"/>
  <c r="E9148" i="1"/>
  <c r="C9148" i="1"/>
  <c r="G9147" i="1"/>
  <c r="E9147" i="1"/>
  <c r="C9147" i="1"/>
  <c r="G9146" i="1"/>
  <c r="E9146" i="1"/>
  <c r="C9146" i="1"/>
  <c r="G9145" i="1"/>
  <c r="E9145" i="1"/>
  <c r="C9145" i="1"/>
  <c r="G9144" i="1"/>
  <c r="E9144" i="1"/>
  <c r="C9144" i="1"/>
  <c r="G9143" i="1"/>
  <c r="E9143" i="1"/>
  <c r="C9143" i="1"/>
  <c r="G9142" i="1"/>
  <c r="E9142" i="1"/>
  <c r="C9142" i="1"/>
  <c r="G9141" i="1"/>
  <c r="E9141" i="1"/>
  <c r="C9141" i="1"/>
  <c r="G9140" i="1"/>
  <c r="E9140" i="1"/>
  <c r="C9140" i="1"/>
  <c r="G9139" i="1"/>
  <c r="E9139" i="1"/>
  <c r="C9139" i="1"/>
  <c r="G9138" i="1"/>
  <c r="E9138" i="1"/>
  <c r="C9138" i="1"/>
  <c r="G9137" i="1"/>
  <c r="E9137" i="1"/>
  <c r="C9137" i="1"/>
  <c r="G9136" i="1"/>
  <c r="E9136" i="1"/>
  <c r="C9136" i="1"/>
  <c r="G9135" i="1"/>
  <c r="E9135" i="1"/>
  <c r="C9135" i="1"/>
  <c r="G9134" i="1"/>
  <c r="E9134" i="1"/>
  <c r="C9134" i="1"/>
  <c r="G9133" i="1"/>
  <c r="E9133" i="1"/>
  <c r="C9133" i="1"/>
  <c r="G9132" i="1"/>
  <c r="E9132" i="1"/>
  <c r="C9132" i="1"/>
  <c r="G9131" i="1"/>
  <c r="E9131" i="1"/>
  <c r="C9131" i="1"/>
  <c r="G9130" i="1"/>
  <c r="E9130" i="1"/>
  <c r="C9130" i="1"/>
  <c r="G9129" i="1"/>
  <c r="E9129" i="1"/>
  <c r="C9129" i="1"/>
  <c r="G9128" i="1"/>
  <c r="E9128" i="1"/>
  <c r="C9128" i="1"/>
  <c r="G9127" i="1"/>
  <c r="E9127" i="1"/>
  <c r="C9127" i="1"/>
  <c r="G9126" i="1"/>
  <c r="E9126" i="1"/>
  <c r="C9126" i="1"/>
  <c r="G9125" i="1"/>
  <c r="E9125" i="1"/>
  <c r="C9125" i="1"/>
  <c r="G9124" i="1"/>
  <c r="E9124" i="1"/>
  <c r="C9124" i="1"/>
  <c r="G9123" i="1"/>
  <c r="E9123" i="1"/>
  <c r="C9123" i="1"/>
  <c r="G9122" i="1"/>
  <c r="E9122" i="1"/>
  <c r="C9122" i="1"/>
  <c r="G9121" i="1"/>
  <c r="E9121" i="1"/>
  <c r="C9121" i="1"/>
  <c r="G9120" i="1"/>
  <c r="E9120" i="1"/>
  <c r="C9120" i="1"/>
  <c r="G9119" i="1"/>
  <c r="E9119" i="1"/>
  <c r="C9119" i="1"/>
  <c r="G9118" i="1"/>
  <c r="E9118" i="1"/>
  <c r="C9118" i="1"/>
  <c r="G9117" i="1"/>
  <c r="E9117" i="1"/>
  <c r="C9117" i="1"/>
  <c r="G9116" i="1"/>
  <c r="E9116" i="1"/>
  <c r="C9116" i="1"/>
  <c r="G9115" i="1"/>
  <c r="E9115" i="1"/>
  <c r="C9115" i="1"/>
  <c r="G9114" i="1"/>
  <c r="E9114" i="1"/>
  <c r="C9114" i="1"/>
  <c r="G9113" i="1"/>
  <c r="E9113" i="1"/>
  <c r="C9113" i="1"/>
  <c r="G9112" i="1"/>
  <c r="E9112" i="1"/>
  <c r="C9112" i="1"/>
  <c r="G9111" i="1"/>
  <c r="E9111" i="1"/>
  <c r="C9111" i="1"/>
  <c r="G9110" i="1"/>
  <c r="E9110" i="1"/>
  <c r="C9110" i="1"/>
  <c r="G9109" i="1"/>
  <c r="E9109" i="1"/>
  <c r="C9109" i="1"/>
  <c r="G9108" i="1"/>
  <c r="E9108" i="1"/>
  <c r="C9108" i="1"/>
  <c r="G9107" i="1"/>
  <c r="E9107" i="1"/>
  <c r="C9107" i="1"/>
  <c r="G9106" i="1"/>
  <c r="E9106" i="1"/>
  <c r="C9106" i="1"/>
  <c r="G9105" i="1"/>
  <c r="E9105" i="1"/>
  <c r="C9105" i="1"/>
  <c r="G9104" i="1"/>
  <c r="E9104" i="1"/>
  <c r="C9104" i="1"/>
  <c r="G9103" i="1"/>
  <c r="E9103" i="1"/>
  <c r="C9103" i="1"/>
  <c r="G9102" i="1"/>
  <c r="E9102" i="1"/>
  <c r="C9102" i="1"/>
  <c r="G9101" i="1"/>
  <c r="E9101" i="1"/>
  <c r="C9101" i="1"/>
  <c r="G9100" i="1"/>
  <c r="E9100" i="1"/>
  <c r="C9100" i="1"/>
  <c r="G9099" i="1"/>
  <c r="E9099" i="1"/>
  <c r="C9099" i="1"/>
  <c r="G9098" i="1"/>
  <c r="E9098" i="1"/>
  <c r="C9098" i="1"/>
  <c r="G9097" i="1"/>
  <c r="E9097" i="1"/>
  <c r="C9097" i="1"/>
  <c r="G9096" i="1"/>
  <c r="E9096" i="1"/>
  <c r="C9096" i="1"/>
  <c r="G9095" i="1"/>
  <c r="E9095" i="1"/>
  <c r="C9095" i="1"/>
  <c r="G9094" i="1"/>
  <c r="E9094" i="1"/>
  <c r="C9094" i="1"/>
  <c r="G9093" i="1"/>
  <c r="E9093" i="1"/>
  <c r="C9093" i="1"/>
  <c r="G9092" i="1"/>
  <c r="E9092" i="1"/>
  <c r="C9092" i="1"/>
  <c r="G9091" i="1"/>
  <c r="E9091" i="1"/>
  <c r="C9091" i="1"/>
  <c r="G9090" i="1"/>
  <c r="E9090" i="1"/>
  <c r="C9090" i="1"/>
  <c r="G9089" i="1"/>
  <c r="E9089" i="1"/>
  <c r="C9089" i="1"/>
  <c r="G9088" i="1"/>
  <c r="E9088" i="1"/>
  <c r="C9088" i="1"/>
  <c r="G9087" i="1"/>
  <c r="E9087" i="1"/>
  <c r="C9087" i="1"/>
  <c r="G9086" i="1"/>
  <c r="E9086" i="1"/>
  <c r="C9086" i="1"/>
  <c r="G9085" i="1"/>
  <c r="E9085" i="1"/>
  <c r="C9085" i="1"/>
  <c r="G9084" i="1"/>
  <c r="E9084" i="1"/>
  <c r="C9084" i="1"/>
  <c r="G9083" i="1"/>
  <c r="E9083" i="1"/>
  <c r="C9083" i="1"/>
  <c r="G9082" i="1"/>
  <c r="E9082" i="1"/>
  <c r="C9082" i="1"/>
  <c r="G9081" i="1"/>
  <c r="E9081" i="1"/>
  <c r="C9081" i="1"/>
  <c r="G9080" i="1"/>
  <c r="E9080" i="1"/>
  <c r="C9080" i="1"/>
  <c r="G9079" i="1"/>
  <c r="E9079" i="1"/>
  <c r="C9079" i="1"/>
  <c r="G9078" i="1"/>
  <c r="E9078" i="1"/>
  <c r="C9078" i="1"/>
  <c r="G9077" i="1"/>
  <c r="E9077" i="1"/>
  <c r="C9077" i="1"/>
  <c r="G9076" i="1"/>
  <c r="E9076" i="1"/>
  <c r="C9076" i="1"/>
  <c r="G9075" i="1"/>
  <c r="E9075" i="1"/>
  <c r="C9075" i="1"/>
  <c r="G9074" i="1"/>
  <c r="E9074" i="1"/>
  <c r="C9074" i="1"/>
  <c r="G9073" i="1"/>
  <c r="E9073" i="1"/>
  <c r="C9073" i="1"/>
  <c r="G9072" i="1"/>
  <c r="E9072" i="1"/>
  <c r="C9072" i="1"/>
  <c r="G9071" i="1"/>
  <c r="E9071" i="1"/>
  <c r="C9071" i="1"/>
  <c r="G9070" i="1"/>
  <c r="E9070" i="1"/>
  <c r="C9070" i="1"/>
  <c r="G9069" i="1"/>
  <c r="E9069" i="1"/>
  <c r="C9069" i="1"/>
  <c r="G9068" i="1"/>
  <c r="E9068" i="1"/>
  <c r="C9068" i="1"/>
  <c r="G9067" i="1"/>
  <c r="E9067" i="1"/>
  <c r="C9067" i="1"/>
  <c r="G9066" i="1"/>
  <c r="E9066" i="1"/>
  <c r="C9066" i="1"/>
  <c r="G9065" i="1"/>
  <c r="E9065" i="1"/>
  <c r="C9065" i="1"/>
  <c r="G9064" i="1"/>
  <c r="E9064" i="1"/>
  <c r="C9064" i="1"/>
  <c r="G9063" i="1"/>
  <c r="E9063" i="1"/>
  <c r="C9063" i="1"/>
  <c r="G9062" i="1"/>
  <c r="E9062" i="1"/>
  <c r="C9062" i="1"/>
  <c r="G9061" i="1"/>
  <c r="E9061" i="1"/>
  <c r="C9061" i="1"/>
  <c r="G9060" i="1"/>
  <c r="E9060" i="1"/>
  <c r="C9060" i="1"/>
  <c r="G9059" i="1"/>
  <c r="E9059" i="1"/>
  <c r="C9059" i="1"/>
  <c r="G9058" i="1"/>
  <c r="E9058" i="1"/>
  <c r="C9058" i="1"/>
  <c r="G9057" i="1"/>
  <c r="E9057" i="1"/>
  <c r="C9057" i="1"/>
  <c r="G9056" i="1"/>
  <c r="E9056" i="1"/>
  <c r="C9056" i="1"/>
  <c r="G9055" i="1"/>
  <c r="E9055" i="1"/>
  <c r="C9055" i="1"/>
  <c r="G9054" i="1"/>
  <c r="E9054" i="1"/>
  <c r="C9054" i="1"/>
  <c r="G9053" i="1"/>
  <c r="E9053" i="1"/>
  <c r="C9053" i="1"/>
  <c r="G9052" i="1"/>
  <c r="E9052" i="1"/>
  <c r="C9052" i="1"/>
  <c r="G9051" i="1"/>
  <c r="E9051" i="1"/>
  <c r="C9051" i="1"/>
  <c r="G9050" i="1"/>
  <c r="E9050" i="1"/>
  <c r="C9050" i="1"/>
  <c r="G9049" i="1"/>
  <c r="E9049" i="1"/>
  <c r="C9049" i="1"/>
  <c r="G9048" i="1"/>
  <c r="E9048" i="1"/>
  <c r="C9048" i="1"/>
  <c r="G9047" i="1"/>
  <c r="E9047" i="1"/>
  <c r="C9047" i="1"/>
  <c r="G9046" i="1"/>
  <c r="E9046" i="1"/>
  <c r="C9046" i="1"/>
  <c r="G9045" i="1"/>
  <c r="E9045" i="1"/>
  <c r="C9045" i="1"/>
  <c r="G9044" i="1"/>
  <c r="E9044" i="1"/>
  <c r="C9044" i="1"/>
  <c r="G9043" i="1"/>
  <c r="E9043" i="1"/>
  <c r="C9043" i="1"/>
  <c r="G9042" i="1"/>
  <c r="E9042" i="1"/>
  <c r="C9042" i="1"/>
  <c r="G9041" i="1"/>
  <c r="E9041" i="1"/>
  <c r="C9041" i="1"/>
  <c r="G9040" i="1"/>
  <c r="E9040" i="1"/>
  <c r="C9040" i="1"/>
  <c r="G9039" i="1"/>
  <c r="E9039" i="1"/>
  <c r="C9039" i="1"/>
  <c r="G9038" i="1"/>
  <c r="E9038" i="1"/>
  <c r="C9038" i="1"/>
  <c r="G9037" i="1"/>
  <c r="E9037" i="1"/>
  <c r="C9037" i="1"/>
  <c r="G9036" i="1"/>
  <c r="E9036" i="1"/>
  <c r="C9036" i="1"/>
  <c r="G9035" i="1"/>
  <c r="E9035" i="1"/>
  <c r="C9035" i="1"/>
  <c r="G9034" i="1"/>
  <c r="E9034" i="1"/>
  <c r="C9034" i="1"/>
  <c r="G9033" i="1"/>
  <c r="E9033" i="1"/>
  <c r="C9033" i="1"/>
  <c r="G9032" i="1"/>
  <c r="E9032" i="1"/>
  <c r="C9032" i="1"/>
  <c r="G9031" i="1"/>
  <c r="E9031" i="1"/>
  <c r="C9031" i="1"/>
  <c r="G9030" i="1"/>
  <c r="E9030" i="1"/>
  <c r="C9030" i="1"/>
  <c r="G9029" i="1"/>
  <c r="E9029" i="1"/>
  <c r="C9029" i="1"/>
  <c r="G9028" i="1"/>
  <c r="E9028" i="1"/>
  <c r="C9028" i="1"/>
  <c r="G9027" i="1"/>
  <c r="E9027" i="1"/>
  <c r="C9027" i="1"/>
  <c r="G9026" i="1"/>
  <c r="E9026" i="1"/>
  <c r="C9026" i="1"/>
  <c r="G9025" i="1"/>
  <c r="E9025" i="1"/>
  <c r="C9025" i="1"/>
  <c r="G9024" i="1"/>
  <c r="E9024" i="1"/>
  <c r="C9024" i="1"/>
  <c r="G9023" i="1"/>
  <c r="E9023" i="1"/>
  <c r="C9023" i="1"/>
  <c r="G9022" i="1"/>
  <c r="E9022" i="1"/>
  <c r="C9022" i="1"/>
  <c r="G9021" i="1"/>
  <c r="E9021" i="1"/>
  <c r="C9021" i="1"/>
  <c r="G9020" i="1"/>
  <c r="E9020" i="1"/>
  <c r="C9020" i="1"/>
  <c r="G9019" i="1"/>
  <c r="E9019" i="1"/>
  <c r="C9019" i="1"/>
  <c r="G9018" i="1"/>
  <c r="E9018" i="1"/>
  <c r="C9018" i="1"/>
  <c r="G9017" i="1"/>
  <c r="E9017" i="1"/>
  <c r="C9017" i="1"/>
  <c r="G9016" i="1"/>
  <c r="E9016" i="1"/>
  <c r="C9016" i="1"/>
  <c r="G9015" i="1"/>
  <c r="E9015" i="1"/>
  <c r="C9015" i="1"/>
  <c r="G9014" i="1"/>
  <c r="E9014" i="1"/>
  <c r="C9014" i="1"/>
  <c r="G9013" i="1"/>
  <c r="E9013" i="1"/>
  <c r="C9013" i="1"/>
  <c r="G9012" i="1"/>
  <c r="E9012" i="1"/>
  <c r="C9012" i="1"/>
  <c r="G9011" i="1"/>
  <c r="E9011" i="1"/>
  <c r="C9011" i="1"/>
  <c r="G9010" i="1"/>
  <c r="E9010" i="1"/>
  <c r="C9010" i="1"/>
  <c r="G9009" i="1"/>
  <c r="E9009" i="1"/>
  <c r="C9009" i="1"/>
  <c r="G9008" i="1"/>
  <c r="E9008" i="1"/>
  <c r="C9008" i="1"/>
  <c r="G9007" i="1"/>
  <c r="E9007" i="1"/>
  <c r="C9007" i="1"/>
  <c r="G9006" i="1"/>
  <c r="E9006" i="1"/>
  <c r="C9006" i="1"/>
  <c r="G9005" i="1"/>
  <c r="E9005" i="1"/>
  <c r="C9005" i="1"/>
  <c r="G9004" i="1"/>
  <c r="E9004" i="1"/>
  <c r="C9004" i="1"/>
  <c r="G9003" i="1"/>
  <c r="E9003" i="1"/>
  <c r="C9003" i="1"/>
  <c r="G9002" i="1"/>
  <c r="E9002" i="1"/>
  <c r="C9002" i="1"/>
  <c r="G9001" i="1"/>
  <c r="E9001" i="1"/>
  <c r="C9001" i="1"/>
  <c r="G9000" i="1"/>
  <c r="E9000" i="1"/>
  <c r="C9000" i="1"/>
  <c r="G8999" i="1"/>
  <c r="E8999" i="1"/>
  <c r="C8999" i="1"/>
  <c r="G8998" i="1"/>
  <c r="E8998" i="1"/>
  <c r="C8998" i="1"/>
  <c r="G8997" i="1"/>
  <c r="E8997" i="1"/>
  <c r="C8997" i="1"/>
  <c r="G8996" i="1"/>
  <c r="E8996" i="1"/>
  <c r="C8996" i="1"/>
  <c r="G8995" i="1"/>
  <c r="E8995" i="1"/>
  <c r="C8995" i="1"/>
  <c r="G8994" i="1"/>
  <c r="E8994" i="1"/>
  <c r="C8994" i="1"/>
  <c r="G8993" i="1"/>
  <c r="E8993" i="1"/>
  <c r="C8993" i="1"/>
  <c r="G8992" i="1"/>
  <c r="E8992" i="1"/>
  <c r="C8992" i="1"/>
  <c r="G8991" i="1"/>
  <c r="E8991" i="1"/>
  <c r="C8991" i="1"/>
  <c r="G8990" i="1"/>
  <c r="E8990" i="1"/>
  <c r="C8990" i="1"/>
  <c r="G8989" i="1"/>
  <c r="E8989" i="1"/>
  <c r="C8989" i="1"/>
  <c r="G8988" i="1"/>
  <c r="E8988" i="1"/>
  <c r="C8988" i="1"/>
  <c r="G8987" i="1"/>
  <c r="E8987" i="1"/>
  <c r="C8987" i="1"/>
  <c r="G8986" i="1"/>
  <c r="E8986" i="1"/>
  <c r="C8986" i="1"/>
  <c r="G8985" i="1"/>
  <c r="E8985" i="1"/>
  <c r="C8985" i="1"/>
  <c r="G8984" i="1"/>
  <c r="E8984" i="1"/>
  <c r="C8984" i="1"/>
  <c r="G8983" i="1"/>
  <c r="E8983" i="1"/>
  <c r="C8983" i="1"/>
  <c r="G8982" i="1"/>
  <c r="E8982" i="1"/>
  <c r="C8982" i="1"/>
  <c r="G8981" i="1"/>
  <c r="E8981" i="1"/>
  <c r="C8981" i="1"/>
  <c r="G8980" i="1"/>
  <c r="E8980" i="1"/>
  <c r="C8980" i="1"/>
  <c r="G8979" i="1"/>
  <c r="E8979" i="1"/>
  <c r="C8979" i="1"/>
  <c r="G8978" i="1"/>
  <c r="E8978" i="1"/>
  <c r="C8978" i="1"/>
  <c r="G8977" i="1"/>
  <c r="E8977" i="1"/>
  <c r="C8977" i="1"/>
  <c r="G8976" i="1"/>
  <c r="E8976" i="1"/>
  <c r="C8976" i="1"/>
  <c r="G8975" i="1"/>
  <c r="E8975" i="1"/>
  <c r="C8975" i="1"/>
  <c r="G8974" i="1"/>
  <c r="E8974" i="1"/>
  <c r="C8974" i="1"/>
  <c r="G8973" i="1"/>
  <c r="E8973" i="1"/>
  <c r="C8973" i="1"/>
  <c r="G8972" i="1"/>
  <c r="E8972" i="1"/>
  <c r="C8972" i="1"/>
  <c r="G8971" i="1"/>
  <c r="E8971" i="1"/>
  <c r="C8971" i="1"/>
  <c r="G8970" i="1"/>
  <c r="E8970" i="1"/>
  <c r="C8970" i="1"/>
  <c r="G8969" i="1"/>
  <c r="E8969" i="1"/>
  <c r="C8969" i="1"/>
  <c r="G8968" i="1"/>
  <c r="E8968" i="1"/>
  <c r="C8968" i="1"/>
  <c r="G8967" i="1"/>
  <c r="E8967" i="1"/>
  <c r="C8967" i="1"/>
  <c r="G8966" i="1"/>
  <c r="E8966" i="1"/>
  <c r="C8966" i="1"/>
  <c r="G8965" i="1"/>
  <c r="E8965" i="1"/>
  <c r="C8965" i="1"/>
  <c r="G8964" i="1"/>
  <c r="E8964" i="1"/>
  <c r="C8964" i="1"/>
  <c r="G8963" i="1"/>
  <c r="E8963" i="1"/>
  <c r="C8963" i="1"/>
  <c r="G8962" i="1"/>
  <c r="E8962" i="1"/>
  <c r="C8962" i="1"/>
  <c r="G8961" i="1"/>
  <c r="E8961" i="1"/>
  <c r="C8961" i="1"/>
  <c r="G8960" i="1"/>
  <c r="E8960" i="1"/>
  <c r="C8960" i="1"/>
  <c r="G8959" i="1"/>
  <c r="E8959" i="1"/>
  <c r="C8959" i="1"/>
  <c r="G8958" i="1"/>
  <c r="E8958" i="1"/>
  <c r="C8958" i="1"/>
  <c r="G8957" i="1"/>
  <c r="E8957" i="1"/>
  <c r="C8957" i="1"/>
  <c r="G8956" i="1"/>
  <c r="E8956" i="1"/>
  <c r="C8956" i="1"/>
  <c r="G8955" i="1"/>
  <c r="E8955" i="1"/>
  <c r="C8955" i="1"/>
  <c r="G8954" i="1"/>
  <c r="E8954" i="1"/>
  <c r="C8954" i="1"/>
  <c r="G8953" i="1"/>
  <c r="E8953" i="1"/>
  <c r="C8953" i="1"/>
  <c r="G8952" i="1"/>
  <c r="E8952" i="1"/>
  <c r="C8952" i="1"/>
  <c r="G8951" i="1"/>
  <c r="E8951" i="1"/>
  <c r="C8951" i="1"/>
  <c r="G8950" i="1"/>
  <c r="E8950" i="1"/>
  <c r="C8950" i="1"/>
  <c r="G8949" i="1"/>
  <c r="E8949" i="1"/>
  <c r="C8949" i="1"/>
  <c r="G8948" i="1"/>
  <c r="E8948" i="1"/>
  <c r="C8948" i="1"/>
  <c r="G8947" i="1"/>
  <c r="E8947" i="1"/>
  <c r="C8947" i="1"/>
  <c r="G8946" i="1"/>
  <c r="E8946" i="1"/>
  <c r="C8946" i="1"/>
  <c r="G8945" i="1"/>
  <c r="E8945" i="1"/>
  <c r="C8945" i="1"/>
  <c r="G8944" i="1"/>
  <c r="E8944" i="1"/>
  <c r="C8944" i="1"/>
  <c r="G8943" i="1"/>
  <c r="E8943" i="1"/>
  <c r="C8943" i="1"/>
  <c r="G8942" i="1"/>
  <c r="E8942" i="1"/>
  <c r="C8942" i="1"/>
  <c r="G8941" i="1"/>
  <c r="E8941" i="1"/>
  <c r="C8941" i="1"/>
  <c r="G8940" i="1"/>
  <c r="E8940" i="1"/>
  <c r="C8940" i="1"/>
  <c r="G8939" i="1"/>
  <c r="E8939" i="1"/>
  <c r="C8939" i="1"/>
  <c r="G8938" i="1"/>
  <c r="E8938" i="1"/>
  <c r="C8938" i="1"/>
  <c r="G8937" i="1"/>
  <c r="E8937" i="1"/>
  <c r="C8937" i="1"/>
  <c r="G8936" i="1"/>
  <c r="E8936" i="1"/>
  <c r="C8936" i="1"/>
  <c r="G8935" i="1"/>
  <c r="E8935" i="1"/>
  <c r="C8935" i="1"/>
  <c r="G8934" i="1"/>
  <c r="E8934" i="1"/>
  <c r="C8934" i="1"/>
  <c r="G8933" i="1"/>
  <c r="E8933" i="1"/>
  <c r="C8933" i="1"/>
  <c r="G8932" i="1"/>
  <c r="E8932" i="1"/>
  <c r="C8932" i="1"/>
  <c r="G8931" i="1"/>
  <c r="E8931" i="1"/>
  <c r="C8931" i="1"/>
  <c r="G8930" i="1"/>
  <c r="E8930" i="1"/>
  <c r="C8930" i="1"/>
  <c r="G8929" i="1"/>
  <c r="E8929" i="1"/>
  <c r="C8929" i="1"/>
  <c r="G8928" i="1"/>
  <c r="E8928" i="1"/>
  <c r="C8928" i="1"/>
  <c r="G8927" i="1"/>
  <c r="E8927" i="1"/>
  <c r="C8927" i="1"/>
  <c r="G8926" i="1"/>
  <c r="E8926" i="1"/>
  <c r="C8926" i="1"/>
  <c r="G8925" i="1"/>
  <c r="E8925" i="1"/>
  <c r="C8925" i="1"/>
  <c r="G8924" i="1"/>
  <c r="E8924" i="1"/>
  <c r="C8924" i="1"/>
  <c r="G8923" i="1"/>
  <c r="E8923" i="1"/>
  <c r="C8923" i="1"/>
  <c r="G8922" i="1"/>
  <c r="E8922" i="1"/>
  <c r="C8922" i="1"/>
  <c r="G8921" i="1"/>
  <c r="E8921" i="1"/>
  <c r="C8921" i="1"/>
  <c r="G8920" i="1"/>
  <c r="E8920" i="1"/>
  <c r="C8920" i="1"/>
  <c r="G8919" i="1"/>
  <c r="E8919" i="1"/>
  <c r="C8919" i="1"/>
  <c r="G8918" i="1"/>
  <c r="E8918" i="1"/>
  <c r="C8918" i="1"/>
  <c r="G8917" i="1"/>
  <c r="E8917" i="1"/>
  <c r="C8917" i="1"/>
  <c r="G8916" i="1"/>
  <c r="E8916" i="1"/>
  <c r="C8916" i="1"/>
  <c r="G8915" i="1"/>
  <c r="E8915" i="1"/>
  <c r="C8915" i="1"/>
  <c r="G8914" i="1"/>
  <c r="E8914" i="1"/>
  <c r="C8914" i="1"/>
  <c r="G8913" i="1"/>
  <c r="E8913" i="1"/>
  <c r="C8913" i="1"/>
  <c r="G8912" i="1"/>
  <c r="E8912" i="1"/>
  <c r="C8912" i="1"/>
  <c r="G8911" i="1"/>
  <c r="E8911" i="1"/>
  <c r="C8911" i="1"/>
  <c r="G8910" i="1"/>
  <c r="E8910" i="1"/>
  <c r="C8910" i="1"/>
  <c r="G8909" i="1"/>
  <c r="E8909" i="1"/>
  <c r="C8909" i="1"/>
  <c r="G8908" i="1"/>
  <c r="E8908" i="1"/>
  <c r="C8908" i="1"/>
  <c r="G8907" i="1"/>
  <c r="E8907" i="1"/>
  <c r="C8907" i="1"/>
  <c r="G8906" i="1"/>
  <c r="E8906" i="1"/>
  <c r="C8906" i="1"/>
  <c r="G8905" i="1"/>
  <c r="E8905" i="1"/>
  <c r="C8905" i="1"/>
  <c r="G8904" i="1"/>
  <c r="E8904" i="1"/>
  <c r="C8904" i="1"/>
  <c r="G8903" i="1"/>
  <c r="E8903" i="1"/>
  <c r="C8903" i="1"/>
  <c r="G8902" i="1"/>
  <c r="E8902" i="1"/>
  <c r="C8902" i="1"/>
  <c r="G8901" i="1"/>
  <c r="E8901" i="1"/>
  <c r="C8901" i="1"/>
  <c r="G8900" i="1"/>
  <c r="E8900" i="1"/>
  <c r="C8900" i="1"/>
  <c r="G8899" i="1"/>
  <c r="E8899" i="1"/>
  <c r="C8899" i="1"/>
  <c r="G8898" i="1"/>
  <c r="E8898" i="1"/>
  <c r="C8898" i="1"/>
  <c r="G8897" i="1"/>
  <c r="E8897" i="1"/>
  <c r="C8897" i="1"/>
  <c r="G8896" i="1"/>
  <c r="E8896" i="1"/>
  <c r="C8896" i="1"/>
  <c r="G8895" i="1"/>
  <c r="E8895" i="1"/>
  <c r="C8895" i="1"/>
  <c r="G8894" i="1"/>
  <c r="E8894" i="1"/>
  <c r="C8894" i="1"/>
  <c r="G8893" i="1"/>
  <c r="E8893" i="1"/>
  <c r="C8893" i="1"/>
  <c r="G8892" i="1"/>
  <c r="E8892" i="1"/>
  <c r="C8892" i="1"/>
  <c r="G8891" i="1"/>
  <c r="E8891" i="1"/>
  <c r="C8891" i="1"/>
  <c r="G8890" i="1"/>
  <c r="E8890" i="1"/>
  <c r="C8890" i="1"/>
  <c r="G8889" i="1"/>
  <c r="E8889" i="1"/>
  <c r="C8889" i="1"/>
  <c r="G8888" i="1"/>
  <c r="E8888" i="1"/>
  <c r="C8888" i="1"/>
  <c r="G8887" i="1"/>
  <c r="E8887" i="1"/>
  <c r="C8887" i="1"/>
  <c r="G8886" i="1"/>
  <c r="E8886" i="1"/>
  <c r="C8886" i="1"/>
  <c r="G8885" i="1"/>
  <c r="E8885" i="1"/>
  <c r="C8885" i="1"/>
  <c r="G8884" i="1"/>
  <c r="E8884" i="1"/>
  <c r="C8884" i="1"/>
  <c r="G8883" i="1"/>
  <c r="E8883" i="1"/>
  <c r="C8883" i="1"/>
  <c r="G8882" i="1"/>
  <c r="E8882" i="1"/>
  <c r="C8882" i="1"/>
  <c r="G8881" i="1"/>
  <c r="E8881" i="1"/>
  <c r="C8881" i="1"/>
  <c r="G8880" i="1"/>
  <c r="E8880" i="1"/>
  <c r="C8880" i="1"/>
  <c r="G8879" i="1"/>
  <c r="E8879" i="1"/>
  <c r="C8879" i="1"/>
  <c r="G8878" i="1"/>
  <c r="E8878" i="1"/>
  <c r="C8878" i="1"/>
  <c r="G8877" i="1"/>
  <c r="E8877" i="1"/>
  <c r="C8877" i="1"/>
  <c r="G8876" i="1"/>
  <c r="E8876" i="1"/>
  <c r="C8876" i="1"/>
  <c r="G8875" i="1"/>
  <c r="E8875" i="1"/>
  <c r="C8875" i="1"/>
  <c r="G8874" i="1"/>
  <c r="E8874" i="1"/>
  <c r="C8874" i="1"/>
  <c r="G8873" i="1"/>
  <c r="E8873" i="1"/>
  <c r="C8873" i="1"/>
  <c r="G8872" i="1"/>
  <c r="E8872" i="1"/>
  <c r="C8872" i="1"/>
  <c r="G8871" i="1"/>
  <c r="E8871" i="1"/>
  <c r="C8871" i="1"/>
  <c r="G8870" i="1"/>
  <c r="E8870" i="1"/>
  <c r="C8870" i="1"/>
  <c r="G8869" i="1"/>
  <c r="E8869" i="1"/>
  <c r="C8869" i="1"/>
  <c r="G8868" i="1"/>
  <c r="E8868" i="1"/>
  <c r="C8868" i="1"/>
  <c r="G8867" i="1"/>
  <c r="E8867" i="1"/>
  <c r="C8867" i="1"/>
  <c r="G8866" i="1"/>
  <c r="E8866" i="1"/>
  <c r="C8866" i="1"/>
  <c r="G8865" i="1"/>
  <c r="E8865" i="1"/>
  <c r="C8865" i="1"/>
  <c r="G8864" i="1"/>
  <c r="E8864" i="1"/>
  <c r="C8864" i="1"/>
  <c r="G8863" i="1"/>
  <c r="E8863" i="1"/>
  <c r="C8863" i="1"/>
  <c r="G8862" i="1"/>
  <c r="E8862" i="1"/>
  <c r="C8862" i="1"/>
  <c r="G8861" i="1"/>
  <c r="E8861" i="1"/>
  <c r="C8861" i="1"/>
  <c r="G8860" i="1"/>
  <c r="E8860" i="1"/>
  <c r="C8860" i="1"/>
  <c r="G8859" i="1"/>
  <c r="E8859" i="1"/>
  <c r="C8859" i="1"/>
  <c r="G8858" i="1"/>
  <c r="E8858" i="1"/>
  <c r="C8858" i="1"/>
  <c r="G8857" i="1"/>
  <c r="E8857" i="1"/>
  <c r="C8857" i="1"/>
  <c r="G8856" i="1"/>
  <c r="E8856" i="1"/>
  <c r="C8856" i="1"/>
  <c r="G8855" i="1"/>
  <c r="E8855" i="1"/>
  <c r="C8855" i="1"/>
  <c r="G8854" i="1"/>
  <c r="E8854" i="1"/>
  <c r="C8854" i="1"/>
  <c r="G8853" i="1"/>
  <c r="E8853" i="1"/>
  <c r="C8853" i="1"/>
  <c r="G8852" i="1"/>
  <c r="E8852" i="1"/>
  <c r="C8852" i="1"/>
  <c r="G8851" i="1"/>
  <c r="E8851" i="1"/>
  <c r="C8851" i="1"/>
  <c r="G8850" i="1"/>
  <c r="E8850" i="1"/>
  <c r="C8850" i="1"/>
  <c r="G8849" i="1"/>
  <c r="E8849" i="1"/>
  <c r="C8849" i="1"/>
  <c r="G8848" i="1"/>
  <c r="E8848" i="1"/>
  <c r="C8848" i="1"/>
  <c r="G8847" i="1"/>
  <c r="E8847" i="1"/>
  <c r="C8847" i="1"/>
  <c r="G8846" i="1"/>
  <c r="E8846" i="1"/>
  <c r="C8846" i="1"/>
  <c r="G8845" i="1"/>
  <c r="E8845" i="1"/>
  <c r="C8845" i="1"/>
  <c r="G8844" i="1"/>
  <c r="E8844" i="1"/>
  <c r="C8844" i="1"/>
  <c r="G8843" i="1"/>
  <c r="E8843" i="1"/>
  <c r="C8843" i="1"/>
  <c r="G8842" i="1"/>
  <c r="E8842" i="1"/>
  <c r="C8842" i="1"/>
  <c r="G8841" i="1"/>
  <c r="E8841" i="1"/>
  <c r="C8841" i="1"/>
  <c r="G8840" i="1"/>
  <c r="E8840" i="1"/>
  <c r="C8840" i="1"/>
  <c r="G8839" i="1"/>
  <c r="E8839" i="1"/>
  <c r="C8839" i="1"/>
  <c r="G8838" i="1"/>
  <c r="E8838" i="1"/>
  <c r="C8838" i="1"/>
  <c r="G8837" i="1"/>
  <c r="E8837" i="1"/>
  <c r="C8837" i="1"/>
  <c r="G8836" i="1"/>
  <c r="E8836" i="1"/>
  <c r="C8836" i="1"/>
  <c r="G8835" i="1"/>
  <c r="E8835" i="1"/>
  <c r="C8835" i="1"/>
  <c r="G8834" i="1"/>
  <c r="E8834" i="1"/>
  <c r="C8834" i="1"/>
  <c r="G8833" i="1"/>
  <c r="E8833" i="1"/>
  <c r="C8833" i="1"/>
  <c r="G8832" i="1"/>
  <c r="E8832" i="1"/>
  <c r="C8832" i="1"/>
  <c r="G8831" i="1"/>
  <c r="E8831" i="1"/>
  <c r="C8831" i="1"/>
  <c r="G8830" i="1"/>
  <c r="E8830" i="1"/>
  <c r="C8830" i="1"/>
  <c r="G8829" i="1"/>
  <c r="E8829" i="1"/>
  <c r="C8829" i="1"/>
  <c r="G8828" i="1"/>
  <c r="E8828" i="1"/>
  <c r="C8828" i="1"/>
  <c r="G8827" i="1"/>
  <c r="E8827" i="1"/>
  <c r="C8827" i="1"/>
  <c r="G8826" i="1"/>
  <c r="E8826" i="1"/>
  <c r="C8826" i="1"/>
  <c r="G8825" i="1"/>
  <c r="E8825" i="1"/>
  <c r="C8825" i="1"/>
  <c r="G8824" i="1"/>
  <c r="E8824" i="1"/>
  <c r="C8824" i="1"/>
  <c r="G8823" i="1"/>
  <c r="E8823" i="1"/>
  <c r="C8823" i="1"/>
  <c r="G8822" i="1"/>
  <c r="E8822" i="1"/>
  <c r="C8822" i="1"/>
  <c r="G8821" i="1"/>
  <c r="E8821" i="1"/>
  <c r="C8821" i="1"/>
  <c r="G8820" i="1"/>
  <c r="E8820" i="1"/>
  <c r="C8820" i="1"/>
  <c r="G8819" i="1"/>
  <c r="E8819" i="1"/>
  <c r="C8819" i="1"/>
  <c r="G8818" i="1"/>
  <c r="E8818" i="1"/>
  <c r="C8818" i="1"/>
  <c r="G8817" i="1"/>
  <c r="E8817" i="1"/>
  <c r="C8817" i="1"/>
  <c r="G8816" i="1"/>
  <c r="E8816" i="1"/>
  <c r="C8816" i="1"/>
  <c r="G8815" i="1"/>
  <c r="E8815" i="1"/>
  <c r="C8815" i="1"/>
  <c r="G8814" i="1"/>
  <c r="E8814" i="1"/>
  <c r="C8814" i="1"/>
  <c r="G8813" i="1"/>
  <c r="E8813" i="1"/>
  <c r="C8813" i="1"/>
  <c r="G8812" i="1"/>
  <c r="E8812" i="1"/>
  <c r="C8812" i="1"/>
  <c r="G8811" i="1"/>
  <c r="E8811" i="1"/>
  <c r="C8811" i="1"/>
  <c r="G8810" i="1"/>
  <c r="E8810" i="1"/>
  <c r="C8810" i="1"/>
  <c r="G8809" i="1"/>
  <c r="E8809" i="1"/>
  <c r="C8809" i="1"/>
  <c r="G8808" i="1"/>
  <c r="E8808" i="1"/>
  <c r="C8808" i="1"/>
  <c r="G8807" i="1"/>
  <c r="E8807" i="1"/>
  <c r="C8807" i="1"/>
  <c r="G8806" i="1"/>
  <c r="E8806" i="1"/>
  <c r="C8806" i="1"/>
  <c r="G8805" i="1"/>
  <c r="E8805" i="1"/>
  <c r="C8805" i="1"/>
  <c r="G8804" i="1"/>
  <c r="E8804" i="1"/>
  <c r="C8804" i="1"/>
  <c r="G8803" i="1"/>
  <c r="E8803" i="1"/>
  <c r="C8803" i="1"/>
  <c r="G8802" i="1"/>
  <c r="E8802" i="1"/>
  <c r="C8802" i="1"/>
  <c r="G8801" i="1"/>
  <c r="E8801" i="1"/>
  <c r="C8801" i="1"/>
  <c r="G8800" i="1"/>
  <c r="E8800" i="1"/>
  <c r="C8800" i="1"/>
  <c r="G8799" i="1"/>
  <c r="E8799" i="1"/>
  <c r="C8799" i="1"/>
  <c r="G8798" i="1"/>
  <c r="E8798" i="1"/>
  <c r="C8798" i="1"/>
  <c r="G8797" i="1"/>
  <c r="E8797" i="1"/>
  <c r="C8797" i="1"/>
  <c r="G8796" i="1"/>
  <c r="E8796" i="1"/>
  <c r="C8796" i="1"/>
  <c r="G8795" i="1"/>
  <c r="E8795" i="1"/>
  <c r="C8795" i="1"/>
  <c r="G8794" i="1"/>
  <c r="E8794" i="1"/>
  <c r="C8794" i="1"/>
  <c r="G8793" i="1"/>
  <c r="E8793" i="1"/>
  <c r="C8793" i="1"/>
  <c r="G8792" i="1"/>
  <c r="E8792" i="1"/>
  <c r="C8792" i="1"/>
  <c r="G8791" i="1"/>
  <c r="E8791" i="1"/>
  <c r="C8791" i="1"/>
  <c r="G8790" i="1"/>
  <c r="E8790" i="1"/>
  <c r="C8790" i="1"/>
  <c r="G8789" i="1"/>
  <c r="E8789" i="1"/>
  <c r="C8789" i="1"/>
  <c r="G8788" i="1"/>
  <c r="E8788" i="1"/>
  <c r="C8788" i="1"/>
  <c r="G8787" i="1"/>
  <c r="E8787" i="1"/>
  <c r="C8787" i="1"/>
  <c r="G8786" i="1"/>
  <c r="E8786" i="1"/>
  <c r="C8786" i="1"/>
  <c r="G8785" i="1"/>
  <c r="E8785" i="1"/>
  <c r="C8785" i="1"/>
  <c r="G8784" i="1"/>
  <c r="E8784" i="1"/>
  <c r="C8784" i="1"/>
  <c r="G8783" i="1"/>
  <c r="E8783" i="1"/>
  <c r="C8783" i="1"/>
  <c r="G8782" i="1"/>
  <c r="E8782" i="1"/>
  <c r="C8782" i="1"/>
  <c r="G8781" i="1"/>
  <c r="E8781" i="1"/>
  <c r="C8781" i="1"/>
  <c r="G8780" i="1"/>
  <c r="E8780" i="1"/>
  <c r="C8780" i="1"/>
  <c r="G8779" i="1"/>
  <c r="E8779" i="1"/>
  <c r="C8779" i="1"/>
  <c r="G8778" i="1"/>
  <c r="E8778" i="1"/>
  <c r="C8778" i="1"/>
  <c r="G8777" i="1"/>
  <c r="E8777" i="1"/>
  <c r="C8777" i="1"/>
  <c r="G8776" i="1"/>
  <c r="E8776" i="1"/>
  <c r="C8776" i="1"/>
  <c r="G8775" i="1"/>
  <c r="E8775" i="1"/>
  <c r="C8775" i="1"/>
  <c r="G8774" i="1"/>
  <c r="E8774" i="1"/>
  <c r="C8774" i="1"/>
  <c r="G8773" i="1"/>
  <c r="E8773" i="1"/>
  <c r="C8773" i="1"/>
  <c r="G8772" i="1"/>
  <c r="E8772" i="1"/>
  <c r="C8772" i="1"/>
  <c r="G8771" i="1"/>
  <c r="E8771" i="1"/>
  <c r="C8771" i="1"/>
  <c r="G8770" i="1"/>
  <c r="E8770" i="1"/>
  <c r="C8770" i="1"/>
  <c r="G8769" i="1"/>
  <c r="E8769" i="1"/>
  <c r="C8769" i="1"/>
  <c r="G8768" i="1"/>
  <c r="E8768" i="1"/>
  <c r="C8768" i="1"/>
  <c r="G8767" i="1"/>
  <c r="E8767" i="1"/>
  <c r="C8767" i="1"/>
  <c r="G8766" i="1"/>
  <c r="E8766" i="1"/>
  <c r="C8766" i="1"/>
  <c r="G8765" i="1"/>
  <c r="E8765" i="1"/>
  <c r="C8765" i="1"/>
  <c r="G8764" i="1"/>
  <c r="E8764" i="1"/>
  <c r="C8764" i="1"/>
  <c r="G8763" i="1"/>
  <c r="E8763" i="1"/>
  <c r="C8763" i="1"/>
  <c r="G8762" i="1"/>
  <c r="E8762" i="1"/>
  <c r="C8762" i="1"/>
  <c r="G8761" i="1"/>
  <c r="E8761" i="1"/>
  <c r="C8761" i="1"/>
  <c r="G8760" i="1"/>
  <c r="E8760" i="1"/>
  <c r="C8760" i="1"/>
  <c r="G8759" i="1"/>
  <c r="E8759" i="1"/>
  <c r="C8759" i="1"/>
  <c r="G8758" i="1"/>
  <c r="E8758" i="1"/>
  <c r="C8758" i="1"/>
  <c r="G8757" i="1"/>
  <c r="E8757" i="1"/>
  <c r="C8757" i="1"/>
  <c r="G8756" i="1"/>
  <c r="E8756" i="1"/>
  <c r="C8756" i="1"/>
  <c r="G8755" i="1"/>
  <c r="E8755" i="1"/>
  <c r="C8755" i="1"/>
  <c r="G8754" i="1"/>
  <c r="E8754" i="1"/>
  <c r="C8754" i="1"/>
  <c r="G8753" i="1"/>
  <c r="E8753" i="1"/>
  <c r="C8753" i="1"/>
  <c r="G8752" i="1"/>
  <c r="E8752" i="1"/>
  <c r="C8752" i="1"/>
  <c r="G8751" i="1"/>
  <c r="E8751" i="1"/>
  <c r="C8751" i="1"/>
  <c r="G8750" i="1"/>
  <c r="E8750" i="1"/>
  <c r="C8750" i="1"/>
  <c r="G8749" i="1"/>
  <c r="E8749" i="1"/>
  <c r="C8749" i="1"/>
  <c r="G8748" i="1"/>
  <c r="E8748" i="1"/>
  <c r="C8748" i="1"/>
  <c r="G8747" i="1"/>
  <c r="E8747" i="1"/>
  <c r="C8747" i="1"/>
  <c r="G8746" i="1"/>
  <c r="E8746" i="1"/>
  <c r="C8746" i="1"/>
  <c r="G8745" i="1"/>
  <c r="E8745" i="1"/>
  <c r="C8745" i="1"/>
  <c r="G8744" i="1"/>
  <c r="E8744" i="1"/>
  <c r="C8744" i="1"/>
  <c r="G8743" i="1"/>
  <c r="E8743" i="1"/>
  <c r="C8743" i="1"/>
  <c r="G8742" i="1"/>
  <c r="E8742" i="1"/>
  <c r="C8742" i="1"/>
  <c r="G8741" i="1"/>
  <c r="E8741" i="1"/>
  <c r="C8741" i="1"/>
  <c r="G8740" i="1"/>
  <c r="E8740" i="1"/>
  <c r="C8740" i="1"/>
  <c r="G8739" i="1"/>
  <c r="E8739" i="1"/>
  <c r="C8739" i="1"/>
  <c r="G8738" i="1"/>
  <c r="E8738" i="1"/>
  <c r="C8738" i="1"/>
  <c r="G8737" i="1"/>
  <c r="E8737" i="1"/>
  <c r="C8737" i="1"/>
  <c r="G8736" i="1"/>
  <c r="E8736" i="1"/>
  <c r="C8736" i="1"/>
  <c r="G8735" i="1"/>
  <c r="E8735" i="1"/>
  <c r="C8735" i="1"/>
  <c r="G8734" i="1"/>
  <c r="E8734" i="1"/>
  <c r="C8734" i="1"/>
  <c r="G8733" i="1"/>
  <c r="E8733" i="1"/>
  <c r="C8733" i="1"/>
  <c r="G8732" i="1"/>
  <c r="E8732" i="1"/>
  <c r="C8732" i="1"/>
  <c r="G8731" i="1"/>
  <c r="E8731" i="1"/>
  <c r="C8731" i="1"/>
  <c r="G8730" i="1"/>
  <c r="E8730" i="1"/>
  <c r="C8730" i="1"/>
  <c r="G8729" i="1"/>
  <c r="E8729" i="1"/>
  <c r="C8729" i="1"/>
  <c r="G8728" i="1"/>
  <c r="E8728" i="1"/>
  <c r="C8728" i="1"/>
  <c r="G8727" i="1"/>
  <c r="E8727" i="1"/>
  <c r="C8727" i="1"/>
  <c r="G8726" i="1"/>
  <c r="E8726" i="1"/>
  <c r="C8726" i="1"/>
  <c r="G8725" i="1"/>
  <c r="E8725" i="1"/>
  <c r="C8725" i="1"/>
  <c r="G8724" i="1"/>
  <c r="E8724" i="1"/>
  <c r="C8724" i="1"/>
  <c r="G8723" i="1"/>
  <c r="E8723" i="1"/>
  <c r="C8723" i="1"/>
  <c r="G8722" i="1"/>
  <c r="E8722" i="1"/>
  <c r="C8722" i="1"/>
  <c r="G8721" i="1"/>
  <c r="E8721" i="1"/>
  <c r="C8721" i="1"/>
  <c r="G8720" i="1"/>
  <c r="E8720" i="1"/>
  <c r="C8720" i="1"/>
  <c r="G8719" i="1"/>
  <c r="E8719" i="1"/>
  <c r="C8719" i="1"/>
  <c r="G8718" i="1"/>
  <c r="E8718" i="1"/>
  <c r="C8718" i="1"/>
  <c r="G8717" i="1"/>
  <c r="E8717" i="1"/>
  <c r="C8717" i="1"/>
  <c r="G8716" i="1"/>
  <c r="E8716" i="1"/>
  <c r="C8716" i="1"/>
  <c r="G8715" i="1"/>
  <c r="E8715" i="1"/>
  <c r="C8715" i="1"/>
  <c r="G8714" i="1"/>
  <c r="E8714" i="1"/>
  <c r="C8714" i="1"/>
  <c r="G8713" i="1"/>
  <c r="E8713" i="1"/>
  <c r="C8713" i="1"/>
  <c r="G8712" i="1"/>
  <c r="E8712" i="1"/>
  <c r="C8712" i="1"/>
  <c r="G8711" i="1"/>
  <c r="E8711" i="1"/>
  <c r="C8711" i="1"/>
  <c r="G8710" i="1"/>
  <c r="E8710" i="1"/>
  <c r="C8710" i="1"/>
  <c r="G8709" i="1"/>
  <c r="E8709" i="1"/>
  <c r="C8709" i="1"/>
  <c r="G8708" i="1"/>
  <c r="E8708" i="1"/>
  <c r="C8708" i="1"/>
  <c r="G8707" i="1"/>
  <c r="E8707" i="1"/>
  <c r="C8707" i="1"/>
  <c r="G8706" i="1"/>
  <c r="E8706" i="1"/>
  <c r="C8706" i="1"/>
  <c r="G8705" i="1"/>
  <c r="E8705" i="1"/>
  <c r="C8705" i="1"/>
  <c r="G8704" i="1"/>
  <c r="E8704" i="1"/>
  <c r="C8704" i="1"/>
  <c r="G8703" i="1"/>
  <c r="E8703" i="1"/>
  <c r="C8703" i="1"/>
  <c r="G8702" i="1"/>
  <c r="E8702" i="1"/>
  <c r="C8702" i="1"/>
  <c r="G8701" i="1"/>
  <c r="E8701" i="1"/>
  <c r="C8701" i="1"/>
  <c r="G8700" i="1"/>
  <c r="E8700" i="1"/>
  <c r="C8700" i="1"/>
  <c r="G8699" i="1"/>
  <c r="E8699" i="1"/>
  <c r="C8699" i="1"/>
  <c r="G8698" i="1"/>
  <c r="E8698" i="1"/>
  <c r="C8698" i="1"/>
  <c r="G8697" i="1"/>
  <c r="E8697" i="1"/>
  <c r="C8697" i="1"/>
  <c r="G8696" i="1"/>
  <c r="E8696" i="1"/>
  <c r="C8696" i="1"/>
  <c r="G8695" i="1"/>
  <c r="E8695" i="1"/>
  <c r="C8695" i="1"/>
  <c r="G8694" i="1"/>
  <c r="E8694" i="1"/>
  <c r="C8694" i="1"/>
  <c r="G8693" i="1"/>
  <c r="E8693" i="1"/>
  <c r="C8693" i="1"/>
  <c r="G8692" i="1"/>
  <c r="E8692" i="1"/>
  <c r="C8692" i="1"/>
  <c r="G8691" i="1"/>
  <c r="E8691" i="1"/>
  <c r="C8691" i="1"/>
  <c r="G8690" i="1"/>
  <c r="E8690" i="1"/>
  <c r="C8690" i="1"/>
  <c r="G8689" i="1"/>
  <c r="E8689" i="1"/>
  <c r="C8689" i="1"/>
  <c r="G8688" i="1"/>
  <c r="E8688" i="1"/>
  <c r="C8688" i="1"/>
  <c r="G8687" i="1"/>
  <c r="E8687" i="1"/>
  <c r="C8687" i="1"/>
  <c r="G8686" i="1"/>
  <c r="E8686" i="1"/>
  <c r="C8686" i="1"/>
  <c r="G8685" i="1"/>
  <c r="E8685" i="1"/>
  <c r="C8685" i="1"/>
  <c r="G8684" i="1"/>
  <c r="E8684" i="1"/>
  <c r="C8684" i="1"/>
  <c r="G8683" i="1"/>
  <c r="E8683" i="1"/>
  <c r="C8683" i="1"/>
  <c r="G8682" i="1"/>
  <c r="E8682" i="1"/>
  <c r="C8682" i="1"/>
  <c r="G8681" i="1"/>
  <c r="E8681" i="1"/>
  <c r="C8681" i="1"/>
  <c r="G8680" i="1"/>
  <c r="E8680" i="1"/>
  <c r="C8680" i="1"/>
  <c r="G8679" i="1"/>
  <c r="E8679" i="1"/>
  <c r="C8679" i="1"/>
  <c r="G8678" i="1"/>
  <c r="E8678" i="1"/>
  <c r="C8678" i="1"/>
  <c r="G8677" i="1"/>
  <c r="E8677" i="1"/>
  <c r="C8677" i="1"/>
  <c r="G8676" i="1"/>
  <c r="E8676" i="1"/>
  <c r="C8676" i="1"/>
  <c r="G8675" i="1"/>
  <c r="E8675" i="1"/>
  <c r="C8675" i="1"/>
  <c r="G8674" i="1"/>
  <c r="E8674" i="1"/>
  <c r="C8674" i="1"/>
  <c r="G8673" i="1"/>
  <c r="E8673" i="1"/>
  <c r="C8673" i="1"/>
  <c r="G8672" i="1"/>
  <c r="E8672" i="1"/>
  <c r="C8672" i="1"/>
  <c r="G8671" i="1"/>
  <c r="E8671" i="1"/>
  <c r="C8671" i="1"/>
  <c r="G8670" i="1"/>
  <c r="E8670" i="1"/>
  <c r="C8670" i="1"/>
  <c r="G8669" i="1"/>
  <c r="E8669" i="1"/>
  <c r="C8669" i="1"/>
  <c r="G8668" i="1"/>
  <c r="E8668" i="1"/>
  <c r="C8668" i="1"/>
  <c r="G8667" i="1"/>
  <c r="E8667" i="1"/>
  <c r="C8667" i="1"/>
  <c r="G8666" i="1"/>
  <c r="E8666" i="1"/>
  <c r="C8666" i="1"/>
  <c r="G8665" i="1"/>
  <c r="E8665" i="1"/>
  <c r="C8665" i="1"/>
  <c r="G8664" i="1"/>
  <c r="E8664" i="1"/>
  <c r="C8664" i="1"/>
  <c r="G8663" i="1"/>
  <c r="E8663" i="1"/>
  <c r="C8663" i="1"/>
  <c r="G8662" i="1"/>
  <c r="E8662" i="1"/>
  <c r="C8662" i="1"/>
  <c r="G8661" i="1"/>
  <c r="E8661" i="1"/>
  <c r="C8661" i="1"/>
  <c r="G8660" i="1"/>
  <c r="E8660" i="1"/>
  <c r="C8660" i="1"/>
  <c r="G8659" i="1"/>
  <c r="E8659" i="1"/>
  <c r="C8659" i="1"/>
  <c r="G8658" i="1"/>
  <c r="E8658" i="1"/>
  <c r="C8658" i="1"/>
  <c r="G8657" i="1"/>
  <c r="E8657" i="1"/>
  <c r="C8657" i="1"/>
  <c r="G8656" i="1"/>
  <c r="E8656" i="1"/>
  <c r="C8656" i="1"/>
  <c r="G8655" i="1"/>
  <c r="E8655" i="1"/>
  <c r="C8655" i="1"/>
  <c r="G8654" i="1"/>
  <c r="E8654" i="1"/>
  <c r="C8654" i="1"/>
  <c r="G8653" i="1"/>
  <c r="E8653" i="1"/>
  <c r="C8653" i="1"/>
  <c r="G8652" i="1"/>
  <c r="E8652" i="1"/>
  <c r="C8652" i="1"/>
  <c r="G8651" i="1"/>
  <c r="E8651" i="1"/>
  <c r="C8651" i="1"/>
  <c r="G8650" i="1"/>
  <c r="E8650" i="1"/>
  <c r="C8650" i="1"/>
  <c r="G8649" i="1"/>
  <c r="E8649" i="1"/>
  <c r="C8649" i="1"/>
  <c r="G8648" i="1"/>
  <c r="E8648" i="1"/>
  <c r="C8648" i="1"/>
  <c r="G8647" i="1"/>
  <c r="E8647" i="1"/>
  <c r="C8647" i="1"/>
  <c r="G8646" i="1"/>
  <c r="E8646" i="1"/>
  <c r="C8646" i="1"/>
  <c r="G8645" i="1"/>
  <c r="E8645" i="1"/>
  <c r="C8645" i="1"/>
  <c r="G8644" i="1"/>
  <c r="E8644" i="1"/>
  <c r="C8644" i="1"/>
  <c r="G8643" i="1"/>
  <c r="E8643" i="1"/>
  <c r="C8643" i="1"/>
  <c r="G8642" i="1"/>
  <c r="E8642" i="1"/>
  <c r="C8642" i="1"/>
  <c r="G8641" i="1"/>
  <c r="E8641" i="1"/>
  <c r="C8641" i="1"/>
  <c r="G8640" i="1"/>
  <c r="E8640" i="1"/>
  <c r="C8640" i="1"/>
  <c r="G8639" i="1"/>
  <c r="E8639" i="1"/>
  <c r="C8639" i="1"/>
  <c r="G8638" i="1"/>
  <c r="E8638" i="1"/>
  <c r="C8638" i="1"/>
  <c r="G8637" i="1"/>
  <c r="E8637" i="1"/>
  <c r="C8637" i="1"/>
  <c r="G8636" i="1"/>
  <c r="E8636" i="1"/>
  <c r="C8636" i="1"/>
  <c r="G8635" i="1"/>
  <c r="E8635" i="1"/>
  <c r="C8635" i="1"/>
  <c r="G8634" i="1"/>
  <c r="E8634" i="1"/>
  <c r="C8634" i="1"/>
  <c r="G8633" i="1"/>
  <c r="E8633" i="1"/>
  <c r="C8633" i="1"/>
  <c r="G8632" i="1"/>
  <c r="E8632" i="1"/>
  <c r="C8632" i="1"/>
  <c r="G8631" i="1"/>
  <c r="E8631" i="1"/>
  <c r="C8631" i="1"/>
  <c r="G8630" i="1"/>
  <c r="E8630" i="1"/>
  <c r="C8630" i="1"/>
  <c r="G8629" i="1"/>
  <c r="E8629" i="1"/>
  <c r="C8629" i="1"/>
  <c r="G8628" i="1"/>
  <c r="E8628" i="1"/>
  <c r="C8628" i="1"/>
  <c r="G8627" i="1"/>
  <c r="E8627" i="1"/>
  <c r="C8627" i="1"/>
  <c r="G8626" i="1"/>
  <c r="E8626" i="1"/>
  <c r="C8626" i="1"/>
  <c r="G8625" i="1"/>
  <c r="E8625" i="1"/>
  <c r="C8625" i="1"/>
  <c r="G8624" i="1"/>
  <c r="E8624" i="1"/>
  <c r="C8624" i="1"/>
  <c r="G8623" i="1"/>
  <c r="E8623" i="1"/>
  <c r="C8623" i="1"/>
  <c r="G8622" i="1"/>
  <c r="E8622" i="1"/>
  <c r="C8622" i="1"/>
  <c r="G8621" i="1"/>
  <c r="E8621" i="1"/>
  <c r="C8621" i="1"/>
  <c r="G8620" i="1"/>
  <c r="E8620" i="1"/>
  <c r="C8620" i="1"/>
  <c r="G8619" i="1"/>
  <c r="E8619" i="1"/>
  <c r="C8619" i="1"/>
  <c r="G8618" i="1"/>
  <c r="E8618" i="1"/>
  <c r="C8618" i="1"/>
  <c r="G8617" i="1"/>
  <c r="E8617" i="1"/>
  <c r="C8617" i="1"/>
  <c r="G8616" i="1"/>
  <c r="E8616" i="1"/>
  <c r="C8616" i="1"/>
  <c r="G8615" i="1"/>
  <c r="E8615" i="1"/>
  <c r="C8615" i="1"/>
  <c r="G8614" i="1"/>
  <c r="E8614" i="1"/>
  <c r="C8614" i="1"/>
  <c r="G8613" i="1"/>
  <c r="E8613" i="1"/>
  <c r="C8613" i="1"/>
  <c r="G8612" i="1"/>
  <c r="E8612" i="1"/>
  <c r="C8612" i="1"/>
  <c r="G8611" i="1"/>
  <c r="E8611" i="1"/>
  <c r="C8611" i="1"/>
  <c r="G8610" i="1"/>
  <c r="E8610" i="1"/>
  <c r="C8610" i="1"/>
  <c r="G8609" i="1"/>
  <c r="E8609" i="1"/>
  <c r="C8609" i="1"/>
  <c r="G8608" i="1"/>
  <c r="E8608" i="1"/>
  <c r="C8608" i="1"/>
  <c r="G8607" i="1"/>
  <c r="E8607" i="1"/>
  <c r="C8607" i="1"/>
  <c r="G8606" i="1"/>
  <c r="E8606" i="1"/>
  <c r="C8606" i="1"/>
  <c r="G8605" i="1"/>
  <c r="E8605" i="1"/>
  <c r="C8605" i="1"/>
  <c r="G8604" i="1"/>
  <c r="E8604" i="1"/>
  <c r="C8604" i="1"/>
  <c r="G8603" i="1"/>
  <c r="E8603" i="1"/>
  <c r="C8603" i="1"/>
  <c r="G8602" i="1"/>
  <c r="E8602" i="1"/>
  <c r="C8602" i="1"/>
  <c r="G8601" i="1"/>
  <c r="E8601" i="1"/>
  <c r="C8601" i="1"/>
  <c r="G8600" i="1"/>
  <c r="E8600" i="1"/>
  <c r="C8600" i="1"/>
  <c r="G8599" i="1"/>
  <c r="E8599" i="1"/>
  <c r="C8599" i="1"/>
  <c r="G8598" i="1"/>
  <c r="E8598" i="1"/>
  <c r="C8598" i="1"/>
  <c r="G8597" i="1"/>
  <c r="E8597" i="1"/>
  <c r="C8597" i="1"/>
  <c r="G8596" i="1"/>
  <c r="E8596" i="1"/>
  <c r="C8596" i="1"/>
  <c r="G8595" i="1"/>
  <c r="E8595" i="1"/>
  <c r="C8595" i="1"/>
  <c r="G8594" i="1"/>
  <c r="E8594" i="1"/>
  <c r="C8594" i="1"/>
  <c r="G8593" i="1"/>
  <c r="E8593" i="1"/>
  <c r="C8593" i="1"/>
  <c r="G8592" i="1"/>
  <c r="E8592" i="1"/>
  <c r="C8592" i="1"/>
  <c r="G8591" i="1"/>
  <c r="E8591" i="1"/>
  <c r="C8591" i="1"/>
  <c r="G8590" i="1"/>
  <c r="E8590" i="1"/>
  <c r="C8590" i="1"/>
  <c r="G8589" i="1"/>
  <c r="E8589" i="1"/>
  <c r="C8589" i="1"/>
  <c r="G8588" i="1"/>
  <c r="E8588" i="1"/>
  <c r="C8588" i="1"/>
  <c r="G8587" i="1"/>
  <c r="E8587" i="1"/>
  <c r="C8587" i="1"/>
  <c r="G8586" i="1"/>
  <c r="E8586" i="1"/>
  <c r="C8586" i="1"/>
  <c r="G8585" i="1"/>
  <c r="E8585" i="1"/>
  <c r="C8585" i="1"/>
  <c r="G8584" i="1"/>
  <c r="E8584" i="1"/>
  <c r="C8584" i="1"/>
  <c r="G8583" i="1"/>
  <c r="E8583" i="1"/>
  <c r="C8583" i="1"/>
  <c r="G8582" i="1"/>
  <c r="E8582" i="1"/>
  <c r="C8582" i="1"/>
  <c r="G8581" i="1"/>
  <c r="E8581" i="1"/>
  <c r="C8581" i="1"/>
  <c r="G8580" i="1"/>
  <c r="E8580" i="1"/>
  <c r="C8580" i="1"/>
  <c r="G8579" i="1"/>
  <c r="E8579" i="1"/>
  <c r="C8579" i="1"/>
  <c r="G8578" i="1"/>
  <c r="E8578" i="1"/>
  <c r="C8578" i="1"/>
  <c r="G8577" i="1"/>
  <c r="E8577" i="1"/>
  <c r="C8577" i="1"/>
  <c r="G8576" i="1"/>
  <c r="E8576" i="1"/>
  <c r="C8576" i="1"/>
  <c r="G8575" i="1"/>
  <c r="E8575" i="1"/>
  <c r="C8575" i="1"/>
  <c r="G8574" i="1"/>
  <c r="E8574" i="1"/>
  <c r="C8574" i="1"/>
  <c r="G8573" i="1"/>
  <c r="E8573" i="1"/>
  <c r="C8573" i="1"/>
  <c r="G8572" i="1"/>
  <c r="E8572" i="1"/>
  <c r="C8572" i="1"/>
  <c r="G8571" i="1"/>
  <c r="E8571" i="1"/>
  <c r="C8571" i="1"/>
  <c r="G8570" i="1"/>
  <c r="E8570" i="1"/>
  <c r="C8570" i="1"/>
  <c r="G8569" i="1"/>
  <c r="E8569" i="1"/>
  <c r="C8569" i="1"/>
  <c r="G8568" i="1"/>
  <c r="E8568" i="1"/>
  <c r="C8568" i="1"/>
  <c r="G8567" i="1"/>
  <c r="E8567" i="1"/>
  <c r="C8567" i="1"/>
  <c r="G8566" i="1"/>
  <c r="E8566" i="1"/>
  <c r="C8566" i="1"/>
  <c r="G8565" i="1"/>
  <c r="E8565" i="1"/>
  <c r="C8565" i="1"/>
  <c r="G8564" i="1"/>
  <c r="E8564" i="1"/>
  <c r="C8564" i="1"/>
  <c r="G8563" i="1"/>
  <c r="E8563" i="1"/>
  <c r="C8563" i="1"/>
  <c r="G8562" i="1"/>
  <c r="E8562" i="1"/>
  <c r="C8562" i="1"/>
  <c r="G8561" i="1"/>
  <c r="E8561" i="1"/>
  <c r="C8561" i="1"/>
  <c r="G8560" i="1"/>
  <c r="E8560" i="1"/>
  <c r="C8560" i="1"/>
  <c r="G8559" i="1"/>
  <c r="E8559" i="1"/>
  <c r="C8559" i="1"/>
  <c r="G8558" i="1"/>
  <c r="E8558" i="1"/>
  <c r="C8558" i="1"/>
  <c r="G8557" i="1"/>
  <c r="E8557" i="1"/>
  <c r="C8557" i="1"/>
  <c r="G8556" i="1"/>
  <c r="E8556" i="1"/>
  <c r="C8556" i="1"/>
  <c r="G8555" i="1"/>
  <c r="E8555" i="1"/>
  <c r="C8555" i="1"/>
  <c r="G8554" i="1"/>
  <c r="E8554" i="1"/>
  <c r="C8554" i="1"/>
  <c r="G8553" i="1"/>
  <c r="E8553" i="1"/>
  <c r="C8553" i="1"/>
  <c r="G8552" i="1"/>
  <c r="E8552" i="1"/>
  <c r="C8552" i="1"/>
  <c r="G8551" i="1"/>
  <c r="E8551" i="1"/>
  <c r="C8551" i="1"/>
  <c r="G8550" i="1"/>
  <c r="E8550" i="1"/>
  <c r="C8550" i="1"/>
  <c r="G8549" i="1"/>
  <c r="E8549" i="1"/>
  <c r="C8549" i="1"/>
  <c r="G8548" i="1"/>
  <c r="E8548" i="1"/>
  <c r="C8548" i="1"/>
  <c r="G8547" i="1"/>
  <c r="E8547" i="1"/>
  <c r="C8547" i="1"/>
  <c r="G8546" i="1"/>
  <c r="E8546" i="1"/>
  <c r="C8546" i="1"/>
  <c r="G8545" i="1"/>
  <c r="E8545" i="1"/>
  <c r="C8545" i="1"/>
  <c r="G8544" i="1"/>
  <c r="E8544" i="1"/>
  <c r="C8544" i="1"/>
  <c r="G8543" i="1"/>
  <c r="E8543" i="1"/>
  <c r="C8543" i="1"/>
  <c r="G8542" i="1"/>
  <c r="E8542" i="1"/>
  <c r="C8542" i="1"/>
  <c r="G8541" i="1"/>
  <c r="E8541" i="1"/>
  <c r="C8541" i="1"/>
  <c r="G8540" i="1"/>
  <c r="E8540" i="1"/>
  <c r="C8540" i="1"/>
  <c r="G8539" i="1"/>
  <c r="E8539" i="1"/>
  <c r="C8539" i="1"/>
  <c r="G8538" i="1"/>
  <c r="E8538" i="1"/>
  <c r="C8538" i="1"/>
  <c r="G8537" i="1"/>
  <c r="E8537" i="1"/>
  <c r="C8537" i="1"/>
  <c r="G8536" i="1"/>
  <c r="E8536" i="1"/>
  <c r="C8536" i="1"/>
  <c r="G8535" i="1"/>
  <c r="E8535" i="1"/>
  <c r="C8535" i="1"/>
  <c r="G8534" i="1"/>
  <c r="E8534" i="1"/>
  <c r="C8534" i="1"/>
  <c r="G8533" i="1"/>
  <c r="E8533" i="1"/>
  <c r="C8533" i="1"/>
  <c r="G8532" i="1"/>
  <c r="E8532" i="1"/>
  <c r="C8532" i="1"/>
  <c r="G8531" i="1"/>
  <c r="E8531" i="1"/>
  <c r="C8531" i="1"/>
  <c r="G8530" i="1"/>
  <c r="E8530" i="1"/>
  <c r="C8530" i="1"/>
  <c r="G8529" i="1"/>
  <c r="E8529" i="1"/>
  <c r="C8529" i="1"/>
  <c r="G8528" i="1"/>
  <c r="E8528" i="1"/>
  <c r="C8528" i="1"/>
  <c r="G8527" i="1"/>
  <c r="E8527" i="1"/>
  <c r="C8527" i="1"/>
  <c r="G8526" i="1"/>
  <c r="E8526" i="1"/>
  <c r="C8526" i="1"/>
  <c r="G8525" i="1"/>
  <c r="E8525" i="1"/>
  <c r="C8525" i="1"/>
  <c r="G8524" i="1"/>
  <c r="E8524" i="1"/>
  <c r="C8524" i="1"/>
  <c r="G8523" i="1"/>
  <c r="E8523" i="1"/>
  <c r="C8523" i="1"/>
  <c r="G8522" i="1"/>
  <c r="E8522" i="1"/>
  <c r="C8522" i="1"/>
  <c r="G8521" i="1"/>
  <c r="E8521" i="1"/>
  <c r="C8521" i="1"/>
  <c r="G8520" i="1"/>
  <c r="E8520" i="1"/>
  <c r="C8520" i="1"/>
  <c r="G8519" i="1"/>
  <c r="E8519" i="1"/>
  <c r="C8519" i="1"/>
  <c r="G8518" i="1"/>
  <c r="E8518" i="1"/>
  <c r="C8518" i="1"/>
  <c r="G8517" i="1"/>
  <c r="E8517" i="1"/>
  <c r="C8517" i="1"/>
  <c r="G8516" i="1"/>
  <c r="E8516" i="1"/>
  <c r="C8516" i="1"/>
  <c r="G8515" i="1"/>
  <c r="E8515" i="1"/>
  <c r="C8515" i="1"/>
  <c r="G8514" i="1"/>
  <c r="E8514" i="1"/>
  <c r="C8514" i="1"/>
  <c r="G8513" i="1"/>
  <c r="E8513" i="1"/>
  <c r="C8513" i="1"/>
  <c r="G8512" i="1"/>
  <c r="E8512" i="1"/>
  <c r="C8512" i="1"/>
  <c r="G8511" i="1"/>
  <c r="E8511" i="1"/>
  <c r="C8511" i="1"/>
  <c r="G8510" i="1"/>
  <c r="E8510" i="1"/>
  <c r="C8510" i="1"/>
  <c r="G8509" i="1"/>
  <c r="E8509" i="1"/>
  <c r="C8509" i="1"/>
  <c r="G8508" i="1"/>
  <c r="E8508" i="1"/>
  <c r="C8508" i="1"/>
  <c r="G8507" i="1"/>
  <c r="E8507" i="1"/>
  <c r="C8507" i="1"/>
  <c r="G8506" i="1"/>
  <c r="E8506" i="1"/>
  <c r="C8506" i="1"/>
  <c r="G8505" i="1"/>
  <c r="E8505" i="1"/>
  <c r="C8505" i="1"/>
  <c r="G8504" i="1"/>
  <c r="E8504" i="1"/>
  <c r="C8504" i="1"/>
  <c r="G8503" i="1"/>
  <c r="E8503" i="1"/>
  <c r="C8503" i="1"/>
  <c r="G8502" i="1"/>
  <c r="E8502" i="1"/>
  <c r="C8502" i="1"/>
  <c r="G8501" i="1"/>
  <c r="E8501" i="1"/>
  <c r="C8501" i="1"/>
  <c r="G8500" i="1"/>
  <c r="E8500" i="1"/>
  <c r="C8500" i="1"/>
  <c r="G8499" i="1"/>
  <c r="E8499" i="1"/>
  <c r="C8499" i="1"/>
  <c r="G8498" i="1"/>
  <c r="E8498" i="1"/>
  <c r="C8498" i="1"/>
  <c r="G8497" i="1"/>
  <c r="E8497" i="1"/>
  <c r="C8497" i="1"/>
  <c r="G8496" i="1"/>
  <c r="E8496" i="1"/>
  <c r="C8496" i="1"/>
  <c r="G8495" i="1"/>
  <c r="E8495" i="1"/>
  <c r="C8495" i="1"/>
  <c r="G8494" i="1"/>
  <c r="E8494" i="1"/>
  <c r="C8494" i="1"/>
  <c r="G8493" i="1"/>
  <c r="E8493" i="1"/>
  <c r="C8493" i="1"/>
  <c r="G8492" i="1"/>
  <c r="E8492" i="1"/>
  <c r="C8492" i="1"/>
  <c r="G8491" i="1"/>
  <c r="E8491" i="1"/>
  <c r="C8491" i="1"/>
  <c r="G8490" i="1"/>
  <c r="E8490" i="1"/>
  <c r="C8490" i="1"/>
  <c r="G8489" i="1"/>
  <c r="E8489" i="1"/>
  <c r="C8489" i="1"/>
  <c r="G8488" i="1"/>
  <c r="E8488" i="1"/>
  <c r="C8488" i="1"/>
  <c r="G8487" i="1"/>
  <c r="E8487" i="1"/>
  <c r="C8487" i="1"/>
  <c r="G8486" i="1"/>
  <c r="E8486" i="1"/>
  <c r="C8486" i="1"/>
  <c r="G8485" i="1"/>
  <c r="E8485" i="1"/>
  <c r="C8485" i="1"/>
  <c r="G8484" i="1"/>
  <c r="E8484" i="1"/>
  <c r="C8484" i="1"/>
  <c r="G8483" i="1"/>
  <c r="E8483" i="1"/>
  <c r="C8483" i="1"/>
  <c r="G8482" i="1"/>
  <c r="E8482" i="1"/>
  <c r="C8482" i="1"/>
  <c r="G8481" i="1"/>
  <c r="E8481" i="1"/>
  <c r="C8481" i="1"/>
  <c r="G8480" i="1"/>
  <c r="E8480" i="1"/>
  <c r="C8480" i="1"/>
  <c r="G8479" i="1"/>
  <c r="E8479" i="1"/>
  <c r="C8479" i="1"/>
  <c r="G8478" i="1"/>
  <c r="E8478" i="1"/>
  <c r="C8478" i="1"/>
  <c r="G8477" i="1"/>
  <c r="E8477" i="1"/>
  <c r="C8477" i="1"/>
  <c r="G8476" i="1"/>
  <c r="E8476" i="1"/>
  <c r="C8476" i="1"/>
  <c r="G8475" i="1"/>
  <c r="E8475" i="1"/>
  <c r="C8475" i="1"/>
  <c r="G8474" i="1"/>
  <c r="E8474" i="1"/>
  <c r="C8474" i="1"/>
  <c r="G8473" i="1"/>
  <c r="E8473" i="1"/>
  <c r="C8473" i="1"/>
  <c r="G8472" i="1"/>
  <c r="E8472" i="1"/>
  <c r="C8472" i="1"/>
  <c r="G8471" i="1"/>
  <c r="E8471" i="1"/>
  <c r="C8471" i="1"/>
  <c r="G8470" i="1"/>
  <c r="E8470" i="1"/>
  <c r="C8470" i="1"/>
  <c r="G8469" i="1"/>
  <c r="E8469" i="1"/>
  <c r="C8469" i="1"/>
  <c r="G8468" i="1"/>
  <c r="E8468" i="1"/>
  <c r="C8468" i="1"/>
  <c r="G8467" i="1"/>
  <c r="E8467" i="1"/>
  <c r="C8467" i="1"/>
  <c r="G8466" i="1"/>
  <c r="E8466" i="1"/>
  <c r="C8466" i="1"/>
  <c r="G8465" i="1"/>
  <c r="E8465" i="1"/>
  <c r="C8465" i="1"/>
  <c r="G8464" i="1"/>
  <c r="E8464" i="1"/>
  <c r="C8464" i="1"/>
  <c r="G8463" i="1"/>
  <c r="E8463" i="1"/>
  <c r="C8463" i="1"/>
  <c r="G8462" i="1"/>
  <c r="E8462" i="1"/>
  <c r="C8462" i="1"/>
  <c r="G8461" i="1"/>
  <c r="E8461" i="1"/>
  <c r="C8461" i="1"/>
  <c r="G8460" i="1"/>
  <c r="E8460" i="1"/>
  <c r="C8460" i="1"/>
  <c r="G8459" i="1"/>
  <c r="E8459" i="1"/>
  <c r="C8459" i="1"/>
  <c r="G8458" i="1"/>
  <c r="E8458" i="1"/>
  <c r="C8458" i="1"/>
  <c r="G8457" i="1"/>
  <c r="E8457" i="1"/>
  <c r="C8457" i="1"/>
  <c r="G8456" i="1"/>
  <c r="E8456" i="1"/>
  <c r="C8456" i="1"/>
  <c r="G8455" i="1"/>
  <c r="E8455" i="1"/>
  <c r="C8455" i="1"/>
  <c r="G8454" i="1"/>
  <c r="E8454" i="1"/>
  <c r="C8454" i="1"/>
  <c r="G8453" i="1"/>
  <c r="E8453" i="1"/>
  <c r="C8453" i="1"/>
  <c r="G8452" i="1"/>
  <c r="E8452" i="1"/>
  <c r="C8452" i="1"/>
  <c r="G8451" i="1"/>
  <c r="E8451" i="1"/>
  <c r="C8451" i="1"/>
  <c r="G8450" i="1"/>
  <c r="E8450" i="1"/>
  <c r="C8450" i="1"/>
  <c r="G8449" i="1"/>
  <c r="E8449" i="1"/>
  <c r="C8449" i="1"/>
  <c r="G8448" i="1"/>
  <c r="E8448" i="1"/>
  <c r="C8448" i="1"/>
  <c r="G8447" i="1"/>
  <c r="E8447" i="1"/>
  <c r="C8447" i="1"/>
  <c r="G8446" i="1"/>
  <c r="E8446" i="1"/>
  <c r="C8446" i="1"/>
  <c r="G8445" i="1"/>
  <c r="E8445" i="1"/>
  <c r="C8445" i="1"/>
  <c r="G8444" i="1"/>
  <c r="E8444" i="1"/>
  <c r="C8444" i="1"/>
  <c r="G8443" i="1"/>
  <c r="E8443" i="1"/>
  <c r="C8443" i="1"/>
  <c r="G8442" i="1"/>
  <c r="E8442" i="1"/>
  <c r="C8442" i="1"/>
  <c r="G8441" i="1"/>
  <c r="E8441" i="1"/>
  <c r="C8441" i="1"/>
  <c r="G8440" i="1"/>
  <c r="E8440" i="1"/>
  <c r="C8440" i="1"/>
  <c r="G8439" i="1"/>
  <c r="E8439" i="1"/>
  <c r="C8439" i="1"/>
  <c r="G8438" i="1"/>
  <c r="E8438" i="1"/>
  <c r="C8438" i="1"/>
  <c r="G8437" i="1"/>
  <c r="E8437" i="1"/>
  <c r="C8437" i="1"/>
  <c r="G8436" i="1"/>
  <c r="E8436" i="1"/>
  <c r="C8436" i="1"/>
  <c r="G8435" i="1"/>
  <c r="E8435" i="1"/>
  <c r="C8435" i="1"/>
  <c r="G8434" i="1"/>
  <c r="E8434" i="1"/>
  <c r="C8434" i="1"/>
  <c r="G8433" i="1"/>
  <c r="E8433" i="1"/>
  <c r="C8433" i="1"/>
  <c r="G8432" i="1"/>
  <c r="E8432" i="1"/>
  <c r="C8432" i="1"/>
  <c r="G8431" i="1"/>
  <c r="E8431" i="1"/>
  <c r="C8431" i="1"/>
  <c r="G8430" i="1"/>
  <c r="E8430" i="1"/>
  <c r="C8430" i="1"/>
  <c r="G8429" i="1"/>
  <c r="E8429" i="1"/>
  <c r="C8429" i="1"/>
  <c r="G8428" i="1"/>
  <c r="E8428" i="1"/>
  <c r="C8428" i="1"/>
  <c r="G8427" i="1"/>
  <c r="E8427" i="1"/>
  <c r="C8427" i="1"/>
  <c r="G8426" i="1"/>
  <c r="E8426" i="1"/>
  <c r="C8426" i="1"/>
  <c r="G8425" i="1"/>
  <c r="E8425" i="1"/>
  <c r="C8425" i="1"/>
  <c r="G8424" i="1"/>
  <c r="E8424" i="1"/>
  <c r="C8424" i="1"/>
  <c r="G8423" i="1"/>
  <c r="E8423" i="1"/>
  <c r="C8423" i="1"/>
  <c r="G8422" i="1"/>
  <c r="E8422" i="1"/>
  <c r="C8422" i="1"/>
  <c r="G8421" i="1"/>
  <c r="E8421" i="1"/>
  <c r="C8421" i="1"/>
  <c r="G8420" i="1"/>
  <c r="E8420" i="1"/>
  <c r="C8420" i="1"/>
  <c r="G8419" i="1"/>
  <c r="E8419" i="1"/>
  <c r="C8419" i="1"/>
  <c r="G8418" i="1"/>
  <c r="E8418" i="1"/>
  <c r="C8418" i="1"/>
  <c r="G8417" i="1"/>
  <c r="E8417" i="1"/>
  <c r="C8417" i="1"/>
  <c r="G8416" i="1"/>
  <c r="E8416" i="1"/>
  <c r="C8416" i="1"/>
  <c r="G8415" i="1"/>
  <c r="E8415" i="1"/>
  <c r="C8415" i="1"/>
  <c r="G8414" i="1"/>
  <c r="E8414" i="1"/>
  <c r="C8414" i="1"/>
  <c r="G8413" i="1"/>
  <c r="E8413" i="1"/>
  <c r="C8413" i="1"/>
  <c r="G8412" i="1"/>
  <c r="E8412" i="1"/>
  <c r="C8412" i="1"/>
  <c r="G8411" i="1"/>
  <c r="E8411" i="1"/>
  <c r="C8411" i="1"/>
  <c r="G8410" i="1"/>
  <c r="E8410" i="1"/>
  <c r="C8410" i="1"/>
  <c r="G8409" i="1"/>
  <c r="E8409" i="1"/>
  <c r="C8409" i="1"/>
  <c r="G8408" i="1"/>
  <c r="E8408" i="1"/>
  <c r="C8408" i="1"/>
  <c r="G8407" i="1"/>
  <c r="E8407" i="1"/>
  <c r="C8407" i="1"/>
  <c r="G8406" i="1"/>
  <c r="E8406" i="1"/>
  <c r="C8406" i="1"/>
  <c r="G8405" i="1"/>
  <c r="E8405" i="1"/>
  <c r="C8405" i="1"/>
  <c r="G8404" i="1"/>
  <c r="E8404" i="1"/>
  <c r="C8404" i="1"/>
  <c r="G8403" i="1"/>
  <c r="E8403" i="1"/>
  <c r="C8403" i="1"/>
  <c r="G8402" i="1"/>
  <c r="E8402" i="1"/>
  <c r="C8402" i="1"/>
  <c r="G8401" i="1"/>
  <c r="E8401" i="1"/>
  <c r="C8401" i="1"/>
  <c r="G8400" i="1"/>
  <c r="E8400" i="1"/>
  <c r="C8400" i="1"/>
  <c r="G8399" i="1"/>
  <c r="E8399" i="1"/>
  <c r="C8399" i="1"/>
  <c r="G8398" i="1"/>
  <c r="E8398" i="1"/>
  <c r="C8398" i="1"/>
  <c r="G8397" i="1"/>
  <c r="E8397" i="1"/>
  <c r="C8397" i="1"/>
  <c r="G8396" i="1"/>
  <c r="E8396" i="1"/>
  <c r="C8396" i="1"/>
  <c r="G8395" i="1"/>
  <c r="E8395" i="1"/>
  <c r="C8395" i="1"/>
  <c r="G8394" i="1"/>
  <c r="E8394" i="1"/>
  <c r="C8394" i="1"/>
  <c r="G8393" i="1"/>
  <c r="E8393" i="1"/>
  <c r="C8393" i="1"/>
  <c r="G8392" i="1"/>
  <c r="E8392" i="1"/>
  <c r="C8392" i="1"/>
  <c r="G8391" i="1"/>
  <c r="E8391" i="1"/>
  <c r="C8391" i="1"/>
  <c r="G8390" i="1"/>
  <c r="E8390" i="1"/>
  <c r="C8390" i="1"/>
  <c r="G8389" i="1"/>
  <c r="E8389" i="1"/>
  <c r="C8389" i="1"/>
  <c r="G8388" i="1"/>
  <c r="E8388" i="1"/>
  <c r="C8388" i="1"/>
  <c r="G8387" i="1"/>
  <c r="E8387" i="1"/>
  <c r="C8387" i="1"/>
  <c r="G8386" i="1"/>
  <c r="E8386" i="1"/>
  <c r="C8386" i="1"/>
  <c r="G8385" i="1"/>
  <c r="E8385" i="1"/>
  <c r="C8385" i="1"/>
  <c r="G8384" i="1"/>
  <c r="E8384" i="1"/>
  <c r="C8384" i="1"/>
  <c r="G8383" i="1"/>
  <c r="E8383" i="1"/>
  <c r="C8383" i="1"/>
  <c r="G8382" i="1"/>
  <c r="E8382" i="1"/>
  <c r="C8382" i="1"/>
  <c r="G8381" i="1"/>
  <c r="E8381" i="1"/>
  <c r="C8381" i="1"/>
  <c r="G8380" i="1"/>
  <c r="E8380" i="1"/>
  <c r="C8380" i="1"/>
  <c r="G8379" i="1"/>
  <c r="E8379" i="1"/>
  <c r="C8379" i="1"/>
  <c r="G8378" i="1"/>
  <c r="E8378" i="1"/>
  <c r="C8378" i="1"/>
  <c r="G8377" i="1"/>
  <c r="E8377" i="1"/>
  <c r="C8377" i="1"/>
  <c r="G8376" i="1"/>
  <c r="E8376" i="1"/>
  <c r="C8376" i="1"/>
  <c r="G8375" i="1"/>
  <c r="E8375" i="1"/>
  <c r="C8375" i="1"/>
  <c r="G8374" i="1"/>
  <c r="E8374" i="1"/>
  <c r="C8374" i="1"/>
  <c r="G8373" i="1"/>
  <c r="E8373" i="1"/>
  <c r="C8373" i="1"/>
  <c r="G8372" i="1"/>
  <c r="E8372" i="1"/>
  <c r="C8372" i="1"/>
  <c r="G8371" i="1"/>
  <c r="E8371" i="1"/>
  <c r="C8371" i="1"/>
  <c r="G8370" i="1"/>
  <c r="E8370" i="1"/>
  <c r="C8370" i="1"/>
  <c r="G8369" i="1"/>
  <c r="E8369" i="1"/>
  <c r="C8369" i="1"/>
  <c r="G8368" i="1"/>
  <c r="E8368" i="1"/>
  <c r="C8368" i="1"/>
  <c r="G8367" i="1"/>
  <c r="E8367" i="1"/>
  <c r="C8367" i="1"/>
  <c r="G8366" i="1"/>
  <c r="E8366" i="1"/>
  <c r="C8366" i="1"/>
  <c r="G8365" i="1"/>
  <c r="E8365" i="1"/>
  <c r="C8365" i="1"/>
  <c r="G8364" i="1"/>
  <c r="E8364" i="1"/>
  <c r="C8364" i="1"/>
  <c r="G8363" i="1"/>
  <c r="E8363" i="1"/>
  <c r="C8363" i="1"/>
  <c r="G8362" i="1"/>
  <c r="E8362" i="1"/>
  <c r="C8362" i="1"/>
  <c r="G8361" i="1"/>
  <c r="E8361" i="1"/>
  <c r="C8361" i="1"/>
  <c r="G8360" i="1"/>
  <c r="E8360" i="1"/>
  <c r="C8360" i="1"/>
  <c r="G8359" i="1"/>
  <c r="E8359" i="1"/>
  <c r="C8359" i="1"/>
  <c r="G8358" i="1"/>
  <c r="E8358" i="1"/>
  <c r="C8358" i="1"/>
  <c r="G8357" i="1"/>
  <c r="E8357" i="1"/>
  <c r="C8357" i="1"/>
  <c r="G8356" i="1"/>
  <c r="E8356" i="1"/>
  <c r="C8356" i="1"/>
  <c r="G8355" i="1"/>
  <c r="E8355" i="1"/>
  <c r="C8355" i="1"/>
  <c r="G8354" i="1"/>
  <c r="E8354" i="1"/>
  <c r="C8354" i="1"/>
  <c r="G8353" i="1"/>
  <c r="E8353" i="1"/>
  <c r="C8353" i="1"/>
  <c r="G8352" i="1"/>
  <c r="E8352" i="1"/>
  <c r="C8352" i="1"/>
  <c r="G8351" i="1"/>
  <c r="E8351" i="1"/>
  <c r="C8351" i="1"/>
  <c r="G8350" i="1"/>
  <c r="E8350" i="1"/>
  <c r="C8350" i="1"/>
  <c r="G8349" i="1"/>
  <c r="E8349" i="1"/>
  <c r="C8349" i="1"/>
  <c r="G8348" i="1"/>
  <c r="E8348" i="1"/>
  <c r="C8348" i="1"/>
  <c r="G8347" i="1"/>
  <c r="E8347" i="1"/>
  <c r="C8347" i="1"/>
  <c r="G8346" i="1"/>
  <c r="E8346" i="1"/>
  <c r="C8346" i="1"/>
  <c r="G8345" i="1"/>
  <c r="E8345" i="1"/>
  <c r="C8345" i="1"/>
  <c r="G8344" i="1"/>
  <c r="E8344" i="1"/>
  <c r="C8344" i="1"/>
  <c r="G8343" i="1"/>
  <c r="E8343" i="1"/>
  <c r="C8343" i="1"/>
  <c r="G8342" i="1"/>
  <c r="E8342" i="1"/>
  <c r="C8342" i="1"/>
  <c r="G8341" i="1"/>
  <c r="E8341" i="1"/>
  <c r="C8341" i="1"/>
  <c r="G8340" i="1"/>
  <c r="E8340" i="1"/>
  <c r="C8340" i="1"/>
  <c r="G8339" i="1"/>
  <c r="E8339" i="1"/>
  <c r="C8339" i="1"/>
  <c r="G8338" i="1"/>
  <c r="E8338" i="1"/>
  <c r="C8338" i="1"/>
  <c r="G8337" i="1"/>
  <c r="E8337" i="1"/>
  <c r="C8337" i="1"/>
  <c r="G8336" i="1"/>
  <c r="E8336" i="1"/>
  <c r="C8336" i="1"/>
  <c r="G8335" i="1"/>
  <c r="E8335" i="1"/>
  <c r="C8335" i="1"/>
  <c r="G8334" i="1"/>
  <c r="E8334" i="1"/>
  <c r="C8334" i="1"/>
  <c r="G8333" i="1"/>
  <c r="E8333" i="1"/>
  <c r="C8333" i="1"/>
  <c r="G8332" i="1"/>
  <c r="E8332" i="1"/>
  <c r="C8332" i="1"/>
  <c r="G8331" i="1"/>
  <c r="E8331" i="1"/>
  <c r="C8331" i="1"/>
  <c r="G8330" i="1"/>
  <c r="E8330" i="1"/>
  <c r="C8330" i="1"/>
  <c r="G8329" i="1"/>
  <c r="E8329" i="1"/>
  <c r="C8329" i="1"/>
  <c r="G8328" i="1"/>
  <c r="E8328" i="1"/>
  <c r="C8328" i="1"/>
  <c r="G8327" i="1"/>
  <c r="E8327" i="1"/>
  <c r="C8327" i="1"/>
  <c r="G8326" i="1"/>
  <c r="E8326" i="1"/>
  <c r="C8326" i="1"/>
  <c r="G8325" i="1"/>
  <c r="E8325" i="1"/>
  <c r="C8325" i="1"/>
  <c r="G8324" i="1"/>
  <c r="E8324" i="1"/>
  <c r="C8324" i="1"/>
  <c r="G8323" i="1"/>
  <c r="E8323" i="1"/>
  <c r="C8323" i="1"/>
  <c r="G8322" i="1"/>
  <c r="E8322" i="1"/>
  <c r="C8322" i="1"/>
  <c r="G8321" i="1"/>
  <c r="E8321" i="1"/>
  <c r="C8321" i="1"/>
  <c r="G8320" i="1"/>
  <c r="E8320" i="1"/>
  <c r="C8320" i="1"/>
  <c r="G8319" i="1"/>
  <c r="E8319" i="1"/>
  <c r="C8319" i="1"/>
  <c r="G8318" i="1"/>
  <c r="E8318" i="1"/>
  <c r="C8318" i="1"/>
  <c r="G8317" i="1"/>
  <c r="E8317" i="1"/>
  <c r="C8317" i="1"/>
  <c r="G8316" i="1"/>
  <c r="E8316" i="1"/>
  <c r="C8316" i="1"/>
  <c r="G8315" i="1"/>
  <c r="E8315" i="1"/>
  <c r="C8315" i="1"/>
  <c r="G8314" i="1"/>
  <c r="E8314" i="1"/>
  <c r="C8314" i="1"/>
  <c r="G8313" i="1"/>
  <c r="E8313" i="1"/>
  <c r="C8313" i="1"/>
  <c r="G8312" i="1"/>
  <c r="E8312" i="1"/>
  <c r="C8312" i="1"/>
  <c r="G8311" i="1"/>
  <c r="E8311" i="1"/>
  <c r="C8311" i="1"/>
  <c r="G8310" i="1"/>
  <c r="E8310" i="1"/>
  <c r="C8310" i="1"/>
  <c r="G8309" i="1"/>
  <c r="E8309" i="1"/>
  <c r="C8309" i="1"/>
  <c r="G8308" i="1"/>
  <c r="E8308" i="1"/>
  <c r="C8308" i="1"/>
  <c r="G8307" i="1"/>
  <c r="E8307" i="1"/>
  <c r="C8307" i="1"/>
  <c r="G8306" i="1"/>
  <c r="E8306" i="1"/>
  <c r="C8306" i="1"/>
  <c r="G8305" i="1"/>
  <c r="E8305" i="1"/>
  <c r="C8305" i="1"/>
  <c r="G8304" i="1"/>
  <c r="E8304" i="1"/>
  <c r="C8304" i="1"/>
  <c r="G8303" i="1"/>
  <c r="E8303" i="1"/>
  <c r="C8303" i="1"/>
  <c r="G8302" i="1"/>
  <c r="E8302" i="1"/>
  <c r="C8302" i="1"/>
  <c r="G8301" i="1"/>
  <c r="E8301" i="1"/>
  <c r="C8301" i="1"/>
  <c r="G8300" i="1"/>
  <c r="E8300" i="1"/>
  <c r="C8300" i="1"/>
  <c r="G8299" i="1"/>
  <c r="E8299" i="1"/>
  <c r="C8299" i="1"/>
  <c r="G8298" i="1"/>
  <c r="E8298" i="1"/>
  <c r="C8298" i="1"/>
  <c r="G8297" i="1"/>
  <c r="E8297" i="1"/>
  <c r="C8297" i="1"/>
  <c r="G8296" i="1"/>
  <c r="E8296" i="1"/>
  <c r="C8296" i="1"/>
  <c r="G8295" i="1"/>
  <c r="E8295" i="1"/>
  <c r="C8295" i="1"/>
  <c r="G8294" i="1"/>
  <c r="E8294" i="1"/>
  <c r="C8294" i="1"/>
  <c r="G8293" i="1"/>
  <c r="E8293" i="1"/>
  <c r="C8293" i="1"/>
  <c r="G8292" i="1"/>
  <c r="E8292" i="1"/>
  <c r="C8292" i="1"/>
  <c r="G8291" i="1"/>
  <c r="E8291" i="1"/>
  <c r="C8291" i="1"/>
  <c r="G8290" i="1"/>
  <c r="E8290" i="1"/>
  <c r="C8290" i="1"/>
  <c r="G8289" i="1"/>
  <c r="E8289" i="1"/>
  <c r="C8289" i="1"/>
  <c r="G8288" i="1"/>
  <c r="E8288" i="1"/>
  <c r="C8288" i="1"/>
  <c r="G8287" i="1"/>
  <c r="E8287" i="1"/>
  <c r="C8287" i="1"/>
  <c r="G8286" i="1"/>
  <c r="E8286" i="1"/>
  <c r="C8286" i="1"/>
  <c r="G8285" i="1"/>
  <c r="E8285" i="1"/>
  <c r="C8285" i="1"/>
  <c r="G8284" i="1"/>
  <c r="E8284" i="1"/>
  <c r="C8284" i="1"/>
  <c r="G8283" i="1"/>
  <c r="E8283" i="1"/>
  <c r="C8283" i="1"/>
  <c r="G8282" i="1"/>
  <c r="E8282" i="1"/>
  <c r="C8282" i="1"/>
  <c r="G8281" i="1"/>
  <c r="E8281" i="1"/>
  <c r="C8281" i="1"/>
  <c r="G8280" i="1"/>
  <c r="E8280" i="1"/>
  <c r="C8280" i="1"/>
  <c r="G8279" i="1"/>
  <c r="E8279" i="1"/>
  <c r="C8279" i="1"/>
  <c r="G8278" i="1"/>
  <c r="E8278" i="1"/>
  <c r="C8278" i="1"/>
  <c r="G8277" i="1"/>
  <c r="E8277" i="1"/>
  <c r="C8277" i="1"/>
  <c r="G8276" i="1"/>
  <c r="E8276" i="1"/>
  <c r="C8276" i="1"/>
  <c r="G8275" i="1"/>
  <c r="E8275" i="1"/>
  <c r="C8275" i="1"/>
  <c r="G8274" i="1"/>
  <c r="E8274" i="1"/>
  <c r="C8274" i="1"/>
  <c r="G8273" i="1"/>
  <c r="E8273" i="1"/>
  <c r="C8273" i="1"/>
  <c r="G8272" i="1"/>
  <c r="E8272" i="1"/>
  <c r="C8272" i="1"/>
  <c r="G8271" i="1"/>
  <c r="E8271" i="1"/>
  <c r="C8271" i="1"/>
  <c r="G8270" i="1"/>
  <c r="E8270" i="1"/>
  <c r="C8270" i="1"/>
  <c r="G8269" i="1"/>
  <c r="E8269" i="1"/>
  <c r="C8269" i="1"/>
  <c r="G8268" i="1"/>
  <c r="E8268" i="1"/>
  <c r="C8268" i="1"/>
  <c r="G8267" i="1"/>
  <c r="E8267" i="1"/>
  <c r="C8267" i="1"/>
  <c r="G8266" i="1"/>
  <c r="E8266" i="1"/>
  <c r="C8266" i="1"/>
  <c r="G8265" i="1"/>
  <c r="E8265" i="1"/>
  <c r="C8265" i="1"/>
  <c r="G8264" i="1"/>
  <c r="E8264" i="1"/>
  <c r="C8264" i="1"/>
  <c r="G8263" i="1"/>
  <c r="E8263" i="1"/>
  <c r="C8263" i="1"/>
  <c r="G8262" i="1"/>
  <c r="E8262" i="1"/>
  <c r="C8262" i="1"/>
  <c r="G8261" i="1"/>
  <c r="E8261" i="1"/>
  <c r="C8261" i="1"/>
  <c r="G8260" i="1"/>
  <c r="E8260" i="1"/>
  <c r="C8260" i="1"/>
  <c r="G8259" i="1"/>
  <c r="E8259" i="1"/>
  <c r="C8259" i="1"/>
  <c r="G8258" i="1"/>
  <c r="E8258" i="1"/>
  <c r="C8258" i="1"/>
  <c r="G8257" i="1"/>
  <c r="E8257" i="1"/>
  <c r="C8257" i="1"/>
  <c r="G8256" i="1"/>
  <c r="E8256" i="1"/>
  <c r="C8256" i="1"/>
  <c r="G8255" i="1"/>
  <c r="E8255" i="1"/>
  <c r="C8255" i="1"/>
  <c r="G8254" i="1"/>
  <c r="E8254" i="1"/>
  <c r="C8254" i="1"/>
  <c r="G8253" i="1"/>
  <c r="E8253" i="1"/>
  <c r="C8253" i="1"/>
  <c r="G8252" i="1"/>
  <c r="E8252" i="1"/>
  <c r="C8252" i="1"/>
  <c r="G8251" i="1"/>
  <c r="E8251" i="1"/>
  <c r="C8251" i="1"/>
  <c r="G8250" i="1"/>
  <c r="E8250" i="1"/>
  <c r="C8250" i="1"/>
  <c r="G8249" i="1"/>
  <c r="E8249" i="1"/>
  <c r="C8249" i="1"/>
  <c r="G8248" i="1"/>
  <c r="E8248" i="1"/>
  <c r="C8248" i="1"/>
  <c r="G8247" i="1"/>
  <c r="E8247" i="1"/>
  <c r="C8247" i="1"/>
  <c r="G8246" i="1"/>
  <c r="E8246" i="1"/>
  <c r="C8246" i="1"/>
  <c r="G8245" i="1"/>
  <c r="E8245" i="1"/>
  <c r="C8245" i="1"/>
  <c r="G8244" i="1"/>
  <c r="E8244" i="1"/>
  <c r="C8244" i="1"/>
  <c r="G8243" i="1"/>
  <c r="E8243" i="1"/>
  <c r="C8243" i="1"/>
  <c r="G8242" i="1"/>
  <c r="E8242" i="1"/>
  <c r="C8242" i="1"/>
  <c r="G8241" i="1"/>
  <c r="E8241" i="1"/>
  <c r="C8241" i="1"/>
  <c r="G8240" i="1"/>
  <c r="E8240" i="1"/>
  <c r="C8240" i="1"/>
  <c r="G8239" i="1"/>
  <c r="E8239" i="1"/>
  <c r="C8239" i="1"/>
  <c r="G8238" i="1"/>
  <c r="E8238" i="1"/>
  <c r="C8238" i="1"/>
  <c r="G8237" i="1"/>
  <c r="E8237" i="1"/>
  <c r="C8237" i="1"/>
  <c r="G8236" i="1"/>
  <c r="E8236" i="1"/>
  <c r="C8236" i="1"/>
  <c r="G8235" i="1"/>
  <c r="E8235" i="1"/>
  <c r="C8235" i="1"/>
  <c r="G8234" i="1"/>
  <c r="E8234" i="1"/>
  <c r="C8234" i="1"/>
  <c r="G8233" i="1"/>
  <c r="E8233" i="1"/>
  <c r="C8233" i="1"/>
  <c r="G8232" i="1"/>
  <c r="E8232" i="1"/>
  <c r="C8232" i="1"/>
  <c r="G8231" i="1"/>
  <c r="E8231" i="1"/>
  <c r="C8231" i="1"/>
  <c r="G8230" i="1"/>
  <c r="E8230" i="1"/>
  <c r="C8230" i="1"/>
  <c r="G8229" i="1"/>
  <c r="E8229" i="1"/>
  <c r="C8229" i="1"/>
  <c r="G8228" i="1"/>
  <c r="E8228" i="1"/>
  <c r="C8228" i="1"/>
  <c r="G8227" i="1"/>
  <c r="E8227" i="1"/>
  <c r="C8227" i="1"/>
  <c r="G8226" i="1"/>
  <c r="E8226" i="1"/>
  <c r="C8226" i="1"/>
  <c r="G8225" i="1"/>
  <c r="E8225" i="1"/>
  <c r="C8225" i="1"/>
  <c r="G8224" i="1"/>
  <c r="E8224" i="1"/>
  <c r="C8224" i="1"/>
  <c r="G8223" i="1"/>
  <c r="E8223" i="1"/>
  <c r="C8223" i="1"/>
  <c r="G8222" i="1"/>
  <c r="E8222" i="1"/>
  <c r="C8222" i="1"/>
  <c r="G8221" i="1"/>
  <c r="E8221" i="1"/>
  <c r="C8221" i="1"/>
  <c r="G8220" i="1"/>
  <c r="E8220" i="1"/>
  <c r="C8220" i="1"/>
  <c r="G8219" i="1"/>
  <c r="E8219" i="1"/>
  <c r="C8219" i="1"/>
  <c r="G8218" i="1"/>
  <c r="E8218" i="1"/>
  <c r="C8218" i="1"/>
  <c r="G8217" i="1"/>
  <c r="E8217" i="1"/>
  <c r="C8217" i="1"/>
  <c r="G8216" i="1"/>
  <c r="E8216" i="1"/>
  <c r="C8216" i="1"/>
  <c r="G8215" i="1"/>
  <c r="E8215" i="1"/>
  <c r="C8215" i="1"/>
  <c r="G8214" i="1"/>
  <c r="E8214" i="1"/>
  <c r="C8214" i="1"/>
  <c r="G8213" i="1"/>
  <c r="E8213" i="1"/>
  <c r="C8213" i="1"/>
  <c r="G8212" i="1"/>
  <c r="E8212" i="1"/>
  <c r="C8212" i="1"/>
  <c r="G8211" i="1"/>
  <c r="E8211" i="1"/>
  <c r="C8211" i="1"/>
  <c r="G8210" i="1"/>
  <c r="E8210" i="1"/>
  <c r="C8210" i="1"/>
  <c r="G8209" i="1"/>
  <c r="E8209" i="1"/>
  <c r="C8209" i="1"/>
  <c r="G8208" i="1"/>
  <c r="E8208" i="1"/>
  <c r="C8208" i="1"/>
  <c r="G8207" i="1"/>
  <c r="E8207" i="1"/>
  <c r="C8207" i="1"/>
  <c r="G8206" i="1"/>
  <c r="E8206" i="1"/>
  <c r="C8206" i="1"/>
  <c r="G8205" i="1"/>
  <c r="E8205" i="1"/>
  <c r="C8205" i="1"/>
  <c r="G8204" i="1"/>
  <c r="E8204" i="1"/>
  <c r="C8204" i="1"/>
  <c r="G8203" i="1"/>
  <c r="E8203" i="1"/>
  <c r="C8203" i="1"/>
  <c r="G8202" i="1"/>
  <c r="E8202" i="1"/>
  <c r="C8202" i="1"/>
  <c r="G8201" i="1"/>
  <c r="E8201" i="1"/>
  <c r="C8201" i="1"/>
  <c r="G8200" i="1"/>
  <c r="E8200" i="1"/>
  <c r="C8200" i="1"/>
  <c r="G8199" i="1"/>
  <c r="E8199" i="1"/>
  <c r="C8199" i="1"/>
  <c r="G8198" i="1"/>
  <c r="E8198" i="1"/>
  <c r="C8198" i="1"/>
  <c r="G8197" i="1"/>
  <c r="E8197" i="1"/>
  <c r="C8197" i="1"/>
  <c r="G8196" i="1"/>
  <c r="E8196" i="1"/>
  <c r="C8196" i="1"/>
  <c r="G8195" i="1"/>
  <c r="E8195" i="1"/>
  <c r="C8195" i="1"/>
  <c r="G8194" i="1"/>
  <c r="E8194" i="1"/>
  <c r="C8194" i="1"/>
  <c r="G8193" i="1"/>
  <c r="E8193" i="1"/>
  <c r="C8193" i="1"/>
  <c r="G8192" i="1"/>
  <c r="E8192" i="1"/>
  <c r="C8192" i="1"/>
  <c r="G8191" i="1"/>
  <c r="E8191" i="1"/>
  <c r="C8191" i="1"/>
  <c r="G8190" i="1"/>
  <c r="E8190" i="1"/>
  <c r="C8190" i="1"/>
  <c r="G8189" i="1"/>
  <c r="E8189" i="1"/>
  <c r="C8189" i="1"/>
  <c r="G8188" i="1"/>
  <c r="E8188" i="1"/>
  <c r="C8188" i="1"/>
  <c r="G8187" i="1"/>
  <c r="E8187" i="1"/>
  <c r="C8187" i="1"/>
  <c r="G8186" i="1"/>
  <c r="E8186" i="1"/>
  <c r="C8186" i="1"/>
  <c r="G8185" i="1"/>
  <c r="E8185" i="1"/>
  <c r="C8185" i="1"/>
  <c r="G8184" i="1"/>
  <c r="E8184" i="1"/>
  <c r="C8184" i="1"/>
  <c r="G8183" i="1"/>
  <c r="E8183" i="1"/>
  <c r="C8183" i="1"/>
  <c r="G8182" i="1"/>
  <c r="E8182" i="1"/>
  <c r="C8182" i="1"/>
  <c r="G8181" i="1"/>
  <c r="E8181" i="1"/>
  <c r="C8181" i="1"/>
  <c r="G8180" i="1"/>
  <c r="E8180" i="1"/>
  <c r="C8180" i="1"/>
  <c r="G8179" i="1"/>
  <c r="E8179" i="1"/>
  <c r="C8179" i="1"/>
  <c r="G8178" i="1"/>
  <c r="E8178" i="1"/>
  <c r="C8178" i="1"/>
  <c r="G8177" i="1"/>
  <c r="E8177" i="1"/>
  <c r="C8177" i="1"/>
  <c r="G8176" i="1"/>
  <c r="E8176" i="1"/>
  <c r="C8176" i="1"/>
  <c r="G8175" i="1"/>
  <c r="E8175" i="1"/>
  <c r="C8175" i="1"/>
  <c r="G8174" i="1"/>
  <c r="E8174" i="1"/>
  <c r="C8174" i="1"/>
  <c r="G8173" i="1"/>
  <c r="E8173" i="1"/>
  <c r="C8173" i="1"/>
  <c r="G8172" i="1"/>
  <c r="E8172" i="1"/>
  <c r="C8172" i="1"/>
  <c r="G8171" i="1"/>
  <c r="E8171" i="1"/>
  <c r="C8171" i="1"/>
  <c r="G8170" i="1"/>
  <c r="E8170" i="1"/>
  <c r="C8170" i="1"/>
  <c r="G8169" i="1"/>
  <c r="E8169" i="1"/>
  <c r="C8169" i="1"/>
  <c r="G8168" i="1"/>
  <c r="E8168" i="1"/>
  <c r="C8168" i="1"/>
  <c r="G8167" i="1"/>
  <c r="E8167" i="1"/>
  <c r="C8167" i="1"/>
  <c r="G8166" i="1"/>
  <c r="E8166" i="1"/>
  <c r="C8166" i="1"/>
  <c r="G8165" i="1"/>
  <c r="E8165" i="1"/>
  <c r="C8165" i="1"/>
  <c r="G8164" i="1"/>
  <c r="E8164" i="1"/>
  <c r="C8164" i="1"/>
  <c r="G8163" i="1"/>
  <c r="E8163" i="1"/>
  <c r="C8163" i="1"/>
  <c r="G8162" i="1"/>
  <c r="E8162" i="1"/>
  <c r="C8162" i="1"/>
  <c r="G8161" i="1"/>
  <c r="E8161" i="1"/>
  <c r="C8161" i="1"/>
  <c r="G8160" i="1"/>
  <c r="E8160" i="1"/>
  <c r="C8160" i="1"/>
  <c r="G8159" i="1"/>
  <c r="E8159" i="1"/>
  <c r="C8159" i="1"/>
  <c r="G8158" i="1"/>
  <c r="E8158" i="1"/>
  <c r="C8158" i="1"/>
  <c r="G8157" i="1"/>
  <c r="E8157" i="1"/>
  <c r="C8157" i="1"/>
  <c r="G8156" i="1"/>
  <c r="E8156" i="1"/>
  <c r="C8156" i="1"/>
  <c r="G8155" i="1"/>
  <c r="E8155" i="1"/>
  <c r="C8155" i="1"/>
  <c r="G8154" i="1"/>
  <c r="E8154" i="1"/>
  <c r="C8154" i="1"/>
  <c r="G8153" i="1"/>
  <c r="E8153" i="1"/>
  <c r="C8153" i="1"/>
  <c r="G8152" i="1"/>
  <c r="E8152" i="1"/>
  <c r="C8152" i="1"/>
  <c r="G8151" i="1"/>
  <c r="E8151" i="1"/>
  <c r="C8151" i="1"/>
  <c r="G8150" i="1"/>
  <c r="E8150" i="1"/>
  <c r="C8150" i="1"/>
  <c r="G8149" i="1"/>
  <c r="E8149" i="1"/>
  <c r="C8149" i="1"/>
  <c r="G8148" i="1"/>
  <c r="E8148" i="1"/>
  <c r="C8148" i="1"/>
  <c r="G8147" i="1"/>
  <c r="E8147" i="1"/>
  <c r="C8147" i="1"/>
  <c r="G8146" i="1"/>
  <c r="E8146" i="1"/>
  <c r="C8146" i="1"/>
  <c r="G8145" i="1"/>
  <c r="E8145" i="1"/>
  <c r="C8145" i="1"/>
  <c r="G8144" i="1"/>
  <c r="E8144" i="1"/>
  <c r="C8144" i="1"/>
  <c r="G8143" i="1"/>
  <c r="E8143" i="1"/>
  <c r="C8143" i="1"/>
  <c r="G8142" i="1"/>
  <c r="E8142" i="1"/>
  <c r="C8142" i="1"/>
  <c r="G8141" i="1"/>
  <c r="E8141" i="1"/>
  <c r="C8141" i="1"/>
  <c r="G8140" i="1"/>
  <c r="E8140" i="1"/>
  <c r="C8140" i="1"/>
  <c r="G8139" i="1"/>
  <c r="E8139" i="1"/>
  <c r="C8139" i="1"/>
  <c r="G8138" i="1"/>
  <c r="E8138" i="1"/>
  <c r="C8138" i="1"/>
  <c r="G8137" i="1"/>
  <c r="E8137" i="1"/>
  <c r="C8137" i="1"/>
  <c r="G8136" i="1"/>
  <c r="E8136" i="1"/>
  <c r="C8136" i="1"/>
  <c r="G8135" i="1"/>
  <c r="E8135" i="1"/>
  <c r="C8135" i="1"/>
  <c r="G8134" i="1"/>
  <c r="E8134" i="1"/>
  <c r="C8134" i="1"/>
  <c r="G8133" i="1"/>
  <c r="E8133" i="1"/>
  <c r="C8133" i="1"/>
  <c r="G8132" i="1"/>
  <c r="E8132" i="1"/>
  <c r="C8132" i="1"/>
  <c r="G8131" i="1"/>
  <c r="E8131" i="1"/>
  <c r="C8131" i="1"/>
  <c r="G8130" i="1"/>
  <c r="E8130" i="1"/>
  <c r="C8130" i="1"/>
  <c r="G8129" i="1"/>
  <c r="E8129" i="1"/>
  <c r="C8129" i="1"/>
  <c r="G8128" i="1"/>
  <c r="E8128" i="1"/>
  <c r="C8128" i="1"/>
  <c r="G8127" i="1"/>
  <c r="E8127" i="1"/>
  <c r="C8127" i="1"/>
  <c r="G8126" i="1"/>
  <c r="E8126" i="1"/>
  <c r="C8126" i="1"/>
  <c r="G8125" i="1"/>
  <c r="E8125" i="1"/>
  <c r="C8125" i="1"/>
  <c r="G8124" i="1"/>
  <c r="E8124" i="1"/>
  <c r="C8124" i="1"/>
  <c r="G8123" i="1"/>
  <c r="E8123" i="1"/>
  <c r="C8123" i="1"/>
  <c r="G8122" i="1"/>
  <c r="E8122" i="1"/>
  <c r="C8122" i="1"/>
  <c r="G8121" i="1"/>
  <c r="E8121" i="1"/>
  <c r="C8121" i="1"/>
  <c r="G8120" i="1"/>
  <c r="E8120" i="1"/>
  <c r="C8120" i="1"/>
  <c r="G8119" i="1"/>
  <c r="E8119" i="1"/>
  <c r="C8119" i="1"/>
  <c r="G8118" i="1"/>
  <c r="E8118" i="1"/>
  <c r="C8118" i="1"/>
  <c r="G8117" i="1"/>
  <c r="E8117" i="1"/>
  <c r="C8117" i="1"/>
  <c r="G8116" i="1"/>
  <c r="E8116" i="1"/>
  <c r="C8116" i="1"/>
  <c r="G8115" i="1"/>
  <c r="E8115" i="1"/>
  <c r="C8115" i="1"/>
  <c r="G8114" i="1"/>
  <c r="E8114" i="1"/>
  <c r="C8114" i="1"/>
  <c r="G8113" i="1"/>
  <c r="E8113" i="1"/>
  <c r="C8113" i="1"/>
  <c r="G8112" i="1"/>
  <c r="E8112" i="1"/>
  <c r="C8112" i="1"/>
  <c r="G8111" i="1"/>
  <c r="E8111" i="1"/>
  <c r="C8111" i="1"/>
  <c r="G8110" i="1"/>
  <c r="E8110" i="1"/>
  <c r="C8110" i="1"/>
  <c r="G8109" i="1"/>
  <c r="E8109" i="1"/>
  <c r="C8109" i="1"/>
  <c r="G8108" i="1"/>
  <c r="E8108" i="1"/>
  <c r="C8108" i="1"/>
  <c r="G8107" i="1"/>
  <c r="E8107" i="1"/>
  <c r="C8107" i="1"/>
  <c r="G8106" i="1"/>
  <c r="E8106" i="1"/>
  <c r="C8106" i="1"/>
  <c r="G8105" i="1"/>
  <c r="E8105" i="1"/>
  <c r="C8105" i="1"/>
  <c r="G8104" i="1"/>
  <c r="E8104" i="1"/>
  <c r="C8104" i="1"/>
  <c r="G8103" i="1"/>
  <c r="E8103" i="1"/>
  <c r="C8103" i="1"/>
  <c r="G8102" i="1"/>
  <c r="E8102" i="1"/>
  <c r="C8102" i="1"/>
  <c r="G8101" i="1"/>
  <c r="E8101" i="1"/>
  <c r="C8101" i="1"/>
  <c r="G8100" i="1"/>
  <c r="E8100" i="1"/>
  <c r="C8100" i="1"/>
  <c r="G8099" i="1"/>
  <c r="E8099" i="1"/>
  <c r="C8099" i="1"/>
  <c r="G8098" i="1"/>
  <c r="E8098" i="1"/>
  <c r="C8098" i="1"/>
  <c r="G8097" i="1"/>
  <c r="E8097" i="1"/>
  <c r="C8097" i="1"/>
  <c r="G8096" i="1"/>
  <c r="E8096" i="1"/>
  <c r="C8096" i="1"/>
  <c r="G8095" i="1"/>
  <c r="E8095" i="1"/>
  <c r="C8095" i="1"/>
  <c r="G8094" i="1"/>
  <c r="E8094" i="1"/>
  <c r="C8094" i="1"/>
  <c r="G8093" i="1"/>
  <c r="E8093" i="1"/>
  <c r="C8093" i="1"/>
  <c r="G8092" i="1"/>
  <c r="E8092" i="1"/>
  <c r="C8092" i="1"/>
  <c r="G8091" i="1"/>
  <c r="E8091" i="1"/>
  <c r="C8091" i="1"/>
  <c r="G8090" i="1"/>
  <c r="E8090" i="1"/>
  <c r="C8090" i="1"/>
  <c r="G8089" i="1"/>
  <c r="E8089" i="1"/>
  <c r="C8089" i="1"/>
  <c r="G8088" i="1"/>
  <c r="E8088" i="1"/>
  <c r="C8088" i="1"/>
  <c r="G8087" i="1"/>
  <c r="E8087" i="1"/>
  <c r="C8087" i="1"/>
  <c r="G8086" i="1"/>
  <c r="E8086" i="1"/>
  <c r="C8086" i="1"/>
  <c r="G8085" i="1"/>
  <c r="E8085" i="1"/>
  <c r="C8085" i="1"/>
  <c r="G8084" i="1"/>
  <c r="E8084" i="1"/>
  <c r="C8084" i="1"/>
  <c r="G8083" i="1"/>
  <c r="E8083" i="1"/>
  <c r="C8083" i="1"/>
  <c r="G8082" i="1"/>
  <c r="E8082" i="1"/>
  <c r="C8082" i="1"/>
  <c r="G8081" i="1"/>
  <c r="E8081" i="1"/>
  <c r="C8081" i="1"/>
  <c r="G8080" i="1"/>
  <c r="E8080" i="1"/>
  <c r="C8080" i="1"/>
  <c r="G8079" i="1"/>
  <c r="E8079" i="1"/>
  <c r="C8079" i="1"/>
  <c r="G8078" i="1"/>
  <c r="E8078" i="1"/>
  <c r="C8078" i="1"/>
  <c r="G8077" i="1"/>
  <c r="E8077" i="1"/>
  <c r="C8077" i="1"/>
  <c r="G8076" i="1"/>
  <c r="E8076" i="1"/>
  <c r="C8076" i="1"/>
  <c r="G8075" i="1"/>
  <c r="E8075" i="1"/>
  <c r="C8075" i="1"/>
  <c r="G8074" i="1"/>
  <c r="E8074" i="1"/>
  <c r="C8074" i="1"/>
  <c r="G8073" i="1"/>
  <c r="E8073" i="1"/>
  <c r="C8073" i="1"/>
  <c r="G8072" i="1"/>
  <c r="E8072" i="1"/>
  <c r="C8072" i="1"/>
  <c r="G8071" i="1"/>
  <c r="E8071" i="1"/>
  <c r="C8071" i="1"/>
  <c r="G8070" i="1"/>
  <c r="E8070" i="1"/>
  <c r="C8070" i="1"/>
  <c r="G8069" i="1"/>
  <c r="E8069" i="1"/>
  <c r="C8069" i="1"/>
  <c r="G8068" i="1"/>
  <c r="E8068" i="1"/>
  <c r="C8068" i="1"/>
  <c r="G8067" i="1"/>
  <c r="E8067" i="1"/>
  <c r="C8067" i="1"/>
  <c r="G8066" i="1"/>
  <c r="E8066" i="1"/>
  <c r="C8066" i="1"/>
  <c r="G8065" i="1"/>
  <c r="E8065" i="1"/>
  <c r="C8065" i="1"/>
  <c r="G8064" i="1"/>
  <c r="E8064" i="1"/>
  <c r="C8064" i="1"/>
  <c r="G8063" i="1"/>
  <c r="E8063" i="1"/>
  <c r="C8063" i="1"/>
  <c r="G8062" i="1"/>
  <c r="E8062" i="1"/>
  <c r="C8062" i="1"/>
  <c r="G8061" i="1"/>
  <c r="E8061" i="1"/>
  <c r="C8061" i="1"/>
  <c r="G8060" i="1"/>
  <c r="E8060" i="1"/>
  <c r="C8060" i="1"/>
  <c r="G8059" i="1"/>
  <c r="E8059" i="1"/>
  <c r="C8059" i="1"/>
  <c r="G8058" i="1"/>
  <c r="E8058" i="1"/>
  <c r="C8058" i="1"/>
  <c r="G8057" i="1"/>
  <c r="E8057" i="1"/>
  <c r="C8057" i="1"/>
  <c r="G8056" i="1"/>
  <c r="E8056" i="1"/>
  <c r="C8056" i="1"/>
  <c r="G8055" i="1"/>
  <c r="E8055" i="1"/>
  <c r="C8055" i="1"/>
  <c r="G8054" i="1"/>
  <c r="E8054" i="1"/>
  <c r="C8054" i="1"/>
  <c r="G8053" i="1"/>
  <c r="E8053" i="1"/>
  <c r="C8053" i="1"/>
  <c r="G8052" i="1"/>
  <c r="E8052" i="1"/>
  <c r="C8052" i="1"/>
  <c r="G8051" i="1"/>
  <c r="E8051" i="1"/>
  <c r="C8051" i="1"/>
  <c r="G8050" i="1"/>
  <c r="E8050" i="1"/>
  <c r="C8050" i="1"/>
  <c r="G8049" i="1"/>
  <c r="E8049" i="1"/>
  <c r="C8049" i="1"/>
  <c r="G8048" i="1"/>
  <c r="E8048" i="1"/>
  <c r="C8048" i="1"/>
  <c r="G8047" i="1"/>
  <c r="E8047" i="1"/>
  <c r="C8047" i="1"/>
  <c r="G8046" i="1"/>
  <c r="E8046" i="1"/>
  <c r="C8046" i="1"/>
  <c r="G8045" i="1"/>
  <c r="E8045" i="1"/>
  <c r="C8045" i="1"/>
  <c r="G8044" i="1"/>
  <c r="E8044" i="1"/>
  <c r="C8044" i="1"/>
  <c r="G8043" i="1"/>
  <c r="E8043" i="1"/>
  <c r="C8043" i="1"/>
  <c r="G8042" i="1"/>
  <c r="E8042" i="1"/>
  <c r="C8042" i="1"/>
  <c r="G8041" i="1"/>
  <c r="E8041" i="1"/>
  <c r="C8041" i="1"/>
  <c r="G8040" i="1"/>
  <c r="E8040" i="1"/>
  <c r="C8040" i="1"/>
  <c r="G8039" i="1"/>
  <c r="E8039" i="1"/>
  <c r="C8039" i="1"/>
  <c r="G8038" i="1"/>
  <c r="E8038" i="1"/>
  <c r="C8038" i="1"/>
  <c r="G8037" i="1"/>
  <c r="E8037" i="1"/>
  <c r="C8037" i="1"/>
  <c r="G8036" i="1"/>
  <c r="E8036" i="1"/>
  <c r="C8036" i="1"/>
  <c r="G8035" i="1"/>
  <c r="E8035" i="1"/>
  <c r="C8035" i="1"/>
  <c r="G8034" i="1"/>
  <c r="E8034" i="1"/>
  <c r="C8034" i="1"/>
  <c r="G8033" i="1"/>
  <c r="E8033" i="1"/>
  <c r="C8033" i="1"/>
  <c r="G8032" i="1"/>
  <c r="E8032" i="1"/>
  <c r="C8032" i="1"/>
  <c r="G8031" i="1"/>
  <c r="E8031" i="1"/>
  <c r="C8031" i="1"/>
  <c r="G8030" i="1"/>
  <c r="E8030" i="1"/>
  <c r="C8030" i="1"/>
  <c r="G8029" i="1"/>
  <c r="E8029" i="1"/>
  <c r="C8029" i="1"/>
  <c r="G8028" i="1"/>
  <c r="E8028" i="1"/>
  <c r="C8028" i="1"/>
  <c r="G8027" i="1"/>
  <c r="E8027" i="1"/>
  <c r="C8027" i="1"/>
  <c r="G8026" i="1"/>
  <c r="E8026" i="1"/>
  <c r="C8026" i="1"/>
  <c r="G8025" i="1"/>
  <c r="E8025" i="1"/>
  <c r="C8025" i="1"/>
  <c r="G8024" i="1"/>
  <c r="E8024" i="1"/>
  <c r="C8024" i="1"/>
  <c r="G8023" i="1"/>
  <c r="E8023" i="1"/>
  <c r="C8023" i="1"/>
  <c r="G8022" i="1"/>
  <c r="E8022" i="1"/>
  <c r="C8022" i="1"/>
  <c r="G8021" i="1"/>
  <c r="E8021" i="1"/>
  <c r="C8021" i="1"/>
  <c r="G8020" i="1"/>
  <c r="E8020" i="1"/>
  <c r="C8020" i="1"/>
  <c r="G8019" i="1"/>
  <c r="E8019" i="1"/>
  <c r="C8019" i="1"/>
  <c r="G8018" i="1"/>
  <c r="E8018" i="1"/>
  <c r="C8018" i="1"/>
  <c r="G8017" i="1"/>
  <c r="E8017" i="1"/>
  <c r="C8017" i="1"/>
  <c r="G8016" i="1"/>
  <c r="E8016" i="1"/>
  <c r="C8016" i="1"/>
  <c r="G8015" i="1"/>
  <c r="E8015" i="1"/>
  <c r="C8015" i="1"/>
  <c r="G8014" i="1"/>
  <c r="E8014" i="1"/>
  <c r="C8014" i="1"/>
  <c r="G8013" i="1"/>
  <c r="E8013" i="1"/>
  <c r="C8013" i="1"/>
  <c r="G8012" i="1"/>
  <c r="E8012" i="1"/>
  <c r="C8012" i="1"/>
  <c r="G8011" i="1"/>
  <c r="E8011" i="1"/>
  <c r="C8011" i="1"/>
  <c r="G8010" i="1"/>
  <c r="E8010" i="1"/>
  <c r="C8010" i="1"/>
  <c r="G8009" i="1"/>
  <c r="E8009" i="1"/>
  <c r="C8009" i="1"/>
  <c r="G8008" i="1"/>
  <c r="E8008" i="1"/>
  <c r="C8008" i="1"/>
  <c r="G8007" i="1"/>
  <c r="E8007" i="1"/>
  <c r="C8007" i="1"/>
  <c r="G8006" i="1"/>
  <c r="E8006" i="1"/>
  <c r="C8006" i="1"/>
  <c r="G8005" i="1"/>
  <c r="E8005" i="1"/>
  <c r="C8005" i="1"/>
  <c r="G8004" i="1"/>
  <c r="E8004" i="1"/>
  <c r="C8004" i="1"/>
  <c r="G8003" i="1"/>
  <c r="E8003" i="1"/>
  <c r="C8003" i="1"/>
  <c r="G8002" i="1"/>
  <c r="E8002" i="1"/>
  <c r="C8002" i="1"/>
  <c r="G8001" i="1"/>
  <c r="E8001" i="1"/>
  <c r="C8001" i="1"/>
  <c r="G8000" i="1"/>
  <c r="E8000" i="1"/>
  <c r="C8000" i="1"/>
  <c r="G7999" i="1"/>
  <c r="E7999" i="1"/>
  <c r="C7999" i="1"/>
  <c r="G7998" i="1"/>
  <c r="E7998" i="1"/>
  <c r="C7998" i="1"/>
  <c r="G7997" i="1"/>
  <c r="E7997" i="1"/>
  <c r="C7997" i="1"/>
  <c r="G7996" i="1"/>
  <c r="E7996" i="1"/>
  <c r="C7996" i="1"/>
  <c r="G7995" i="1"/>
  <c r="E7995" i="1"/>
  <c r="C7995" i="1"/>
  <c r="G7994" i="1"/>
  <c r="E7994" i="1"/>
  <c r="C7994" i="1"/>
  <c r="G7993" i="1"/>
  <c r="E7993" i="1"/>
  <c r="C7993" i="1"/>
  <c r="G7992" i="1"/>
  <c r="E7992" i="1"/>
  <c r="C7992" i="1"/>
  <c r="G7991" i="1"/>
  <c r="E7991" i="1"/>
  <c r="C7991" i="1"/>
  <c r="G7990" i="1"/>
  <c r="E7990" i="1"/>
  <c r="C7990" i="1"/>
  <c r="G7989" i="1"/>
  <c r="E7989" i="1"/>
  <c r="C7989" i="1"/>
  <c r="G7988" i="1"/>
  <c r="E7988" i="1"/>
  <c r="C7988" i="1"/>
  <c r="G7987" i="1"/>
  <c r="E7987" i="1"/>
  <c r="C7987" i="1"/>
  <c r="G7986" i="1"/>
  <c r="E7986" i="1"/>
  <c r="C7986" i="1"/>
  <c r="G7985" i="1"/>
  <c r="E7985" i="1"/>
  <c r="C7985" i="1"/>
  <c r="G7984" i="1"/>
  <c r="E7984" i="1"/>
  <c r="C7984" i="1"/>
  <c r="G7983" i="1"/>
  <c r="E7983" i="1"/>
  <c r="C7983" i="1"/>
  <c r="G7982" i="1"/>
  <c r="E7982" i="1"/>
  <c r="C7982" i="1"/>
  <c r="G7981" i="1"/>
  <c r="E7981" i="1"/>
  <c r="C7981" i="1"/>
  <c r="G7980" i="1"/>
  <c r="E7980" i="1"/>
  <c r="C7980" i="1"/>
  <c r="G7979" i="1"/>
  <c r="E7979" i="1"/>
  <c r="C7979" i="1"/>
  <c r="G7978" i="1"/>
  <c r="E7978" i="1"/>
  <c r="C7978" i="1"/>
  <c r="G7977" i="1"/>
  <c r="E7977" i="1"/>
  <c r="C7977" i="1"/>
  <c r="G7976" i="1"/>
  <c r="E7976" i="1"/>
  <c r="C7976" i="1"/>
  <c r="G7975" i="1"/>
  <c r="E7975" i="1"/>
  <c r="C7975" i="1"/>
  <c r="G7974" i="1"/>
  <c r="E7974" i="1"/>
  <c r="C7974" i="1"/>
  <c r="G7973" i="1"/>
  <c r="E7973" i="1"/>
  <c r="C7973" i="1"/>
  <c r="G7972" i="1"/>
  <c r="E7972" i="1"/>
  <c r="C7972" i="1"/>
  <c r="G7971" i="1"/>
  <c r="E7971" i="1"/>
  <c r="C7971" i="1"/>
  <c r="G7970" i="1"/>
  <c r="E7970" i="1"/>
  <c r="C7970" i="1"/>
  <c r="G7969" i="1"/>
  <c r="E7969" i="1"/>
  <c r="C7969" i="1"/>
  <c r="G7968" i="1"/>
  <c r="E7968" i="1"/>
  <c r="C7968" i="1"/>
  <c r="G7967" i="1"/>
  <c r="E7967" i="1"/>
  <c r="C7967" i="1"/>
  <c r="G7966" i="1"/>
  <c r="E7966" i="1"/>
  <c r="C7966" i="1"/>
  <c r="G7965" i="1"/>
  <c r="E7965" i="1"/>
  <c r="C7965" i="1"/>
  <c r="G7964" i="1"/>
  <c r="E7964" i="1"/>
  <c r="C7964" i="1"/>
  <c r="G7963" i="1"/>
  <c r="E7963" i="1"/>
  <c r="C7963" i="1"/>
  <c r="G7962" i="1"/>
  <c r="E7962" i="1"/>
  <c r="C7962" i="1"/>
  <c r="G7961" i="1"/>
  <c r="E7961" i="1"/>
  <c r="C7961" i="1"/>
  <c r="G7960" i="1"/>
  <c r="E7960" i="1"/>
  <c r="C7960" i="1"/>
  <c r="G7959" i="1"/>
  <c r="E7959" i="1"/>
  <c r="C7959" i="1"/>
  <c r="G7958" i="1"/>
  <c r="E7958" i="1"/>
  <c r="C7958" i="1"/>
  <c r="G7957" i="1"/>
  <c r="E7957" i="1"/>
  <c r="C7957" i="1"/>
  <c r="G7956" i="1"/>
  <c r="E7956" i="1"/>
  <c r="C7956" i="1"/>
  <c r="G7955" i="1"/>
  <c r="E7955" i="1"/>
  <c r="C7955" i="1"/>
  <c r="G7954" i="1"/>
  <c r="E7954" i="1"/>
  <c r="C7954" i="1"/>
  <c r="G7953" i="1"/>
  <c r="E7953" i="1"/>
  <c r="C7953" i="1"/>
  <c r="G7952" i="1"/>
  <c r="E7952" i="1"/>
  <c r="C7952" i="1"/>
  <c r="G7951" i="1"/>
  <c r="E7951" i="1"/>
  <c r="C7951" i="1"/>
  <c r="G7950" i="1"/>
  <c r="E7950" i="1"/>
  <c r="C7950" i="1"/>
  <c r="G7949" i="1"/>
  <c r="E7949" i="1"/>
  <c r="C7949" i="1"/>
  <c r="G7948" i="1"/>
  <c r="E7948" i="1"/>
  <c r="C7948" i="1"/>
  <c r="G7947" i="1"/>
  <c r="E7947" i="1"/>
  <c r="C7947" i="1"/>
  <c r="G7946" i="1"/>
  <c r="E7946" i="1"/>
  <c r="C7946" i="1"/>
  <c r="G7945" i="1"/>
  <c r="E7945" i="1"/>
  <c r="C7945" i="1"/>
  <c r="G7944" i="1"/>
  <c r="E7944" i="1"/>
  <c r="C7944" i="1"/>
  <c r="G7943" i="1"/>
  <c r="E7943" i="1"/>
  <c r="C7943" i="1"/>
  <c r="G7942" i="1"/>
  <c r="E7942" i="1"/>
  <c r="C7942" i="1"/>
  <c r="G7941" i="1"/>
  <c r="E7941" i="1"/>
  <c r="C7941" i="1"/>
  <c r="G7940" i="1"/>
  <c r="E7940" i="1"/>
  <c r="C7940" i="1"/>
  <c r="G7939" i="1"/>
  <c r="E7939" i="1"/>
  <c r="C7939" i="1"/>
  <c r="G7938" i="1"/>
  <c r="E7938" i="1"/>
  <c r="C7938" i="1"/>
  <c r="G7937" i="1"/>
  <c r="E7937" i="1"/>
  <c r="C7937" i="1"/>
  <c r="G7936" i="1"/>
  <c r="E7936" i="1"/>
  <c r="C7936" i="1"/>
  <c r="G7935" i="1"/>
  <c r="E7935" i="1"/>
  <c r="C7935" i="1"/>
  <c r="G7934" i="1"/>
  <c r="E7934" i="1"/>
  <c r="C7934" i="1"/>
  <c r="G7933" i="1"/>
  <c r="E7933" i="1"/>
  <c r="C7933" i="1"/>
  <c r="G7932" i="1"/>
  <c r="E7932" i="1"/>
  <c r="C7932" i="1"/>
  <c r="G7931" i="1"/>
  <c r="E7931" i="1"/>
  <c r="C7931" i="1"/>
  <c r="G7930" i="1"/>
  <c r="E7930" i="1"/>
  <c r="C7930" i="1"/>
  <c r="G7929" i="1"/>
  <c r="E7929" i="1"/>
  <c r="C7929" i="1"/>
  <c r="G7928" i="1"/>
  <c r="E7928" i="1"/>
  <c r="C7928" i="1"/>
  <c r="G7927" i="1"/>
  <c r="E7927" i="1"/>
  <c r="C7927" i="1"/>
  <c r="G7926" i="1"/>
  <c r="E7926" i="1"/>
  <c r="C7926" i="1"/>
  <c r="G7925" i="1"/>
  <c r="E7925" i="1"/>
  <c r="C7925" i="1"/>
  <c r="G7924" i="1"/>
  <c r="E7924" i="1"/>
  <c r="C7924" i="1"/>
  <c r="G7923" i="1"/>
  <c r="E7923" i="1"/>
  <c r="C7923" i="1"/>
  <c r="G7922" i="1"/>
  <c r="E7922" i="1"/>
  <c r="C7922" i="1"/>
  <c r="G7921" i="1"/>
  <c r="E7921" i="1"/>
  <c r="C7921" i="1"/>
  <c r="G7920" i="1"/>
  <c r="E7920" i="1"/>
  <c r="C7920" i="1"/>
  <c r="G7919" i="1"/>
  <c r="E7919" i="1"/>
  <c r="C7919" i="1"/>
  <c r="G7918" i="1"/>
  <c r="E7918" i="1"/>
  <c r="C7918" i="1"/>
  <c r="G7917" i="1"/>
  <c r="E7917" i="1"/>
  <c r="C7917" i="1"/>
  <c r="G7916" i="1"/>
  <c r="E7916" i="1"/>
  <c r="C7916" i="1"/>
  <c r="G7915" i="1"/>
  <c r="E7915" i="1"/>
  <c r="C7915" i="1"/>
  <c r="G7914" i="1"/>
  <c r="E7914" i="1"/>
  <c r="C7914" i="1"/>
  <c r="G7913" i="1"/>
  <c r="E7913" i="1"/>
  <c r="C7913" i="1"/>
  <c r="G7912" i="1"/>
  <c r="E7912" i="1"/>
  <c r="C7912" i="1"/>
  <c r="G7911" i="1"/>
  <c r="E7911" i="1"/>
  <c r="C7911" i="1"/>
  <c r="G7910" i="1"/>
  <c r="E7910" i="1"/>
  <c r="C7910" i="1"/>
  <c r="G7909" i="1"/>
  <c r="E7909" i="1"/>
  <c r="C7909" i="1"/>
  <c r="G7908" i="1"/>
  <c r="E7908" i="1"/>
  <c r="C7908" i="1"/>
  <c r="G7907" i="1"/>
  <c r="E7907" i="1"/>
  <c r="C7907" i="1"/>
  <c r="G7906" i="1"/>
  <c r="E7906" i="1"/>
  <c r="C7906" i="1"/>
  <c r="G7905" i="1"/>
  <c r="E7905" i="1"/>
  <c r="C7905" i="1"/>
  <c r="G7904" i="1"/>
  <c r="E7904" i="1"/>
  <c r="C7904" i="1"/>
  <c r="G7903" i="1"/>
  <c r="E7903" i="1"/>
  <c r="C7903" i="1"/>
  <c r="G7902" i="1"/>
  <c r="E7902" i="1"/>
  <c r="C7902" i="1"/>
  <c r="G7901" i="1"/>
  <c r="E7901" i="1"/>
  <c r="C7901" i="1"/>
  <c r="G7900" i="1"/>
  <c r="E7900" i="1"/>
  <c r="C7900" i="1"/>
  <c r="G7899" i="1"/>
  <c r="E7899" i="1"/>
  <c r="C7899" i="1"/>
  <c r="G7898" i="1"/>
  <c r="E7898" i="1"/>
  <c r="C7898" i="1"/>
  <c r="G7897" i="1"/>
  <c r="E7897" i="1"/>
  <c r="C7897" i="1"/>
  <c r="G7896" i="1"/>
  <c r="E7896" i="1"/>
  <c r="C7896" i="1"/>
  <c r="G7895" i="1"/>
  <c r="E7895" i="1"/>
  <c r="C7895" i="1"/>
  <c r="G7894" i="1"/>
  <c r="E7894" i="1"/>
  <c r="C7894" i="1"/>
  <c r="G7893" i="1"/>
  <c r="E7893" i="1"/>
  <c r="C7893" i="1"/>
  <c r="G7892" i="1"/>
  <c r="E7892" i="1"/>
  <c r="C7892" i="1"/>
  <c r="G7891" i="1"/>
  <c r="E7891" i="1"/>
  <c r="C7891" i="1"/>
  <c r="G7890" i="1"/>
  <c r="E7890" i="1"/>
  <c r="C7890" i="1"/>
  <c r="G7889" i="1"/>
  <c r="E7889" i="1"/>
  <c r="C7889" i="1"/>
  <c r="G7888" i="1"/>
  <c r="E7888" i="1"/>
  <c r="C7888" i="1"/>
  <c r="G7887" i="1"/>
  <c r="E7887" i="1"/>
  <c r="C7887" i="1"/>
  <c r="G7886" i="1"/>
  <c r="E7886" i="1"/>
  <c r="C7886" i="1"/>
  <c r="G7885" i="1"/>
  <c r="E7885" i="1"/>
  <c r="C7885" i="1"/>
  <c r="G7884" i="1"/>
  <c r="E7884" i="1"/>
  <c r="C7884" i="1"/>
  <c r="G7883" i="1"/>
  <c r="E7883" i="1"/>
  <c r="C7883" i="1"/>
  <c r="G7882" i="1"/>
  <c r="E7882" i="1"/>
  <c r="C7882" i="1"/>
  <c r="G7881" i="1"/>
  <c r="E7881" i="1"/>
  <c r="C7881" i="1"/>
  <c r="G7880" i="1"/>
  <c r="E7880" i="1"/>
  <c r="C7880" i="1"/>
  <c r="G7879" i="1"/>
  <c r="E7879" i="1"/>
  <c r="C7879" i="1"/>
  <c r="G7878" i="1"/>
  <c r="E7878" i="1"/>
  <c r="C7878" i="1"/>
  <c r="G7877" i="1"/>
  <c r="E7877" i="1"/>
  <c r="C7877" i="1"/>
  <c r="G7876" i="1"/>
  <c r="E7876" i="1"/>
  <c r="C7876" i="1"/>
  <c r="G7875" i="1"/>
  <c r="E7875" i="1"/>
  <c r="C7875" i="1"/>
  <c r="G7874" i="1"/>
  <c r="E7874" i="1"/>
  <c r="C7874" i="1"/>
  <c r="G7873" i="1"/>
  <c r="E7873" i="1"/>
  <c r="C7873" i="1"/>
  <c r="G7872" i="1"/>
  <c r="E7872" i="1"/>
  <c r="C7872" i="1"/>
  <c r="G7871" i="1"/>
  <c r="E7871" i="1"/>
  <c r="C7871" i="1"/>
  <c r="G7870" i="1"/>
  <c r="E7870" i="1"/>
  <c r="C7870" i="1"/>
  <c r="G7869" i="1"/>
  <c r="E7869" i="1"/>
  <c r="C7869" i="1"/>
  <c r="G7868" i="1"/>
  <c r="E7868" i="1"/>
  <c r="C7868" i="1"/>
  <c r="G7867" i="1"/>
  <c r="E7867" i="1"/>
  <c r="C7867" i="1"/>
  <c r="G7866" i="1"/>
  <c r="E7866" i="1"/>
  <c r="C7866" i="1"/>
  <c r="G7865" i="1"/>
  <c r="E7865" i="1"/>
  <c r="C7865" i="1"/>
  <c r="G7864" i="1"/>
  <c r="E7864" i="1"/>
  <c r="C7864" i="1"/>
  <c r="G7863" i="1"/>
  <c r="E7863" i="1"/>
  <c r="C7863" i="1"/>
  <c r="G7862" i="1"/>
  <c r="E7862" i="1"/>
  <c r="C7862" i="1"/>
  <c r="G7861" i="1"/>
  <c r="E7861" i="1"/>
  <c r="C7861" i="1"/>
  <c r="G7860" i="1"/>
  <c r="E7860" i="1"/>
  <c r="C7860" i="1"/>
  <c r="G7859" i="1"/>
  <c r="E7859" i="1"/>
  <c r="C7859" i="1"/>
  <c r="G7858" i="1"/>
  <c r="E7858" i="1"/>
  <c r="C7858" i="1"/>
  <c r="G7857" i="1"/>
  <c r="E7857" i="1"/>
  <c r="C7857" i="1"/>
  <c r="G7856" i="1"/>
  <c r="E7856" i="1"/>
  <c r="C7856" i="1"/>
  <c r="G7855" i="1"/>
  <c r="E7855" i="1"/>
  <c r="C7855" i="1"/>
  <c r="G7854" i="1"/>
  <c r="E7854" i="1"/>
  <c r="C7854" i="1"/>
  <c r="G7853" i="1"/>
  <c r="E7853" i="1"/>
  <c r="C7853" i="1"/>
  <c r="G7852" i="1"/>
  <c r="E7852" i="1"/>
  <c r="C7852" i="1"/>
  <c r="G7851" i="1"/>
  <c r="E7851" i="1"/>
  <c r="C7851" i="1"/>
  <c r="G7850" i="1"/>
  <c r="E7850" i="1"/>
  <c r="C7850" i="1"/>
  <c r="G7849" i="1"/>
  <c r="E7849" i="1"/>
  <c r="C7849" i="1"/>
  <c r="G7848" i="1"/>
  <c r="E7848" i="1"/>
  <c r="C7848" i="1"/>
  <c r="G7847" i="1"/>
  <c r="E7847" i="1"/>
  <c r="C7847" i="1"/>
  <c r="G7846" i="1"/>
  <c r="E7846" i="1"/>
  <c r="C7846" i="1"/>
  <c r="G7845" i="1"/>
  <c r="E7845" i="1"/>
  <c r="C7845" i="1"/>
  <c r="G7844" i="1"/>
  <c r="E7844" i="1"/>
  <c r="C7844" i="1"/>
  <c r="G7843" i="1"/>
  <c r="E7843" i="1"/>
  <c r="C7843" i="1"/>
  <c r="G7842" i="1"/>
  <c r="E7842" i="1"/>
  <c r="C7842" i="1"/>
  <c r="G7841" i="1"/>
  <c r="E7841" i="1"/>
  <c r="C7841" i="1"/>
  <c r="G7840" i="1"/>
  <c r="E7840" i="1"/>
  <c r="C7840" i="1"/>
  <c r="G7839" i="1"/>
  <c r="E7839" i="1"/>
  <c r="C7839" i="1"/>
  <c r="G7838" i="1"/>
  <c r="E7838" i="1"/>
  <c r="C7838" i="1"/>
  <c r="G7837" i="1"/>
  <c r="E7837" i="1"/>
  <c r="C7837" i="1"/>
  <c r="G7836" i="1"/>
  <c r="E7836" i="1"/>
  <c r="C7836" i="1"/>
  <c r="G7835" i="1"/>
  <c r="E7835" i="1"/>
  <c r="C7835" i="1"/>
  <c r="G7834" i="1"/>
  <c r="E7834" i="1"/>
  <c r="C7834" i="1"/>
  <c r="G7833" i="1"/>
  <c r="E7833" i="1"/>
  <c r="C7833" i="1"/>
  <c r="G7832" i="1"/>
  <c r="E7832" i="1"/>
  <c r="C7832" i="1"/>
  <c r="G7831" i="1"/>
  <c r="E7831" i="1"/>
  <c r="C7831" i="1"/>
  <c r="G7830" i="1"/>
  <c r="E7830" i="1"/>
  <c r="C7830" i="1"/>
  <c r="G7829" i="1"/>
  <c r="E7829" i="1"/>
  <c r="C7829" i="1"/>
  <c r="G7828" i="1"/>
  <c r="E7828" i="1"/>
  <c r="C7828" i="1"/>
  <c r="G7827" i="1"/>
  <c r="E7827" i="1"/>
  <c r="C7827" i="1"/>
  <c r="G7826" i="1"/>
  <c r="E7826" i="1"/>
  <c r="C7826" i="1"/>
  <c r="G7825" i="1"/>
  <c r="E7825" i="1"/>
  <c r="C7825" i="1"/>
  <c r="G7824" i="1"/>
  <c r="E7824" i="1"/>
  <c r="C7824" i="1"/>
  <c r="G7823" i="1"/>
  <c r="E7823" i="1"/>
  <c r="C7823" i="1"/>
  <c r="G7822" i="1"/>
  <c r="E7822" i="1"/>
  <c r="C7822" i="1"/>
  <c r="G7821" i="1"/>
  <c r="E7821" i="1"/>
  <c r="C7821" i="1"/>
  <c r="G7820" i="1"/>
  <c r="E7820" i="1"/>
  <c r="C7820" i="1"/>
  <c r="G7819" i="1"/>
  <c r="E7819" i="1"/>
  <c r="C7819" i="1"/>
  <c r="G7818" i="1"/>
  <c r="E7818" i="1"/>
  <c r="C7818" i="1"/>
  <c r="G7817" i="1"/>
  <c r="E7817" i="1"/>
  <c r="C7817" i="1"/>
  <c r="G7816" i="1"/>
  <c r="E7816" i="1"/>
  <c r="C7816" i="1"/>
  <c r="G7815" i="1"/>
  <c r="E7815" i="1"/>
  <c r="C7815" i="1"/>
  <c r="G7814" i="1"/>
  <c r="E7814" i="1"/>
  <c r="C7814" i="1"/>
  <c r="G7813" i="1"/>
  <c r="E7813" i="1"/>
  <c r="C7813" i="1"/>
  <c r="G7812" i="1"/>
  <c r="E7812" i="1"/>
  <c r="C7812" i="1"/>
  <c r="G7811" i="1"/>
  <c r="E7811" i="1"/>
  <c r="C7811" i="1"/>
  <c r="G7810" i="1"/>
  <c r="E7810" i="1"/>
  <c r="C7810" i="1"/>
  <c r="G7809" i="1"/>
  <c r="E7809" i="1"/>
  <c r="C7809" i="1"/>
  <c r="G7808" i="1"/>
  <c r="E7808" i="1"/>
  <c r="C7808" i="1"/>
  <c r="G7807" i="1"/>
  <c r="E7807" i="1"/>
  <c r="C7807" i="1"/>
  <c r="G7806" i="1"/>
  <c r="E7806" i="1"/>
  <c r="C7806" i="1"/>
  <c r="G7805" i="1"/>
  <c r="E7805" i="1"/>
  <c r="C7805" i="1"/>
  <c r="G7804" i="1"/>
  <c r="E7804" i="1"/>
  <c r="C7804" i="1"/>
  <c r="G7803" i="1"/>
  <c r="E7803" i="1"/>
  <c r="C7803" i="1"/>
  <c r="G7802" i="1"/>
  <c r="E7802" i="1"/>
  <c r="C7802" i="1"/>
  <c r="G7801" i="1"/>
  <c r="E7801" i="1"/>
  <c r="C7801" i="1"/>
  <c r="G7800" i="1"/>
  <c r="E7800" i="1"/>
  <c r="C7800" i="1"/>
  <c r="G7799" i="1"/>
  <c r="E7799" i="1"/>
  <c r="C7799" i="1"/>
  <c r="G7798" i="1"/>
  <c r="E7798" i="1"/>
  <c r="C7798" i="1"/>
  <c r="G7797" i="1"/>
  <c r="E7797" i="1"/>
  <c r="C7797" i="1"/>
  <c r="G7796" i="1"/>
  <c r="E7796" i="1"/>
  <c r="C7796" i="1"/>
  <c r="G7795" i="1"/>
  <c r="E7795" i="1"/>
  <c r="C7795" i="1"/>
  <c r="G7794" i="1"/>
  <c r="E7794" i="1"/>
  <c r="C7794" i="1"/>
  <c r="G7793" i="1"/>
  <c r="E7793" i="1"/>
  <c r="C7793" i="1"/>
  <c r="G7792" i="1"/>
  <c r="E7792" i="1"/>
  <c r="C7792" i="1"/>
  <c r="G7791" i="1"/>
  <c r="E7791" i="1"/>
  <c r="C7791" i="1"/>
  <c r="G7790" i="1"/>
  <c r="E7790" i="1"/>
  <c r="C7790" i="1"/>
  <c r="G7789" i="1"/>
  <c r="E7789" i="1"/>
  <c r="C7789" i="1"/>
  <c r="G7788" i="1"/>
  <c r="E7788" i="1"/>
  <c r="C7788" i="1"/>
  <c r="G7787" i="1"/>
  <c r="E7787" i="1"/>
  <c r="C7787" i="1"/>
  <c r="G7786" i="1"/>
  <c r="E7786" i="1"/>
  <c r="C7786" i="1"/>
  <c r="G7785" i="1"/>
  <c r="E7785" i="1"/>
  <c r="C7785" i="1"/>
  <c r="G7784" i="1"/>
  <c r="E7784" i="1"/>
  <c r="C7784" i="1"/>
  <c r="G7783" i="1"/>
  <c r="E7783" i="1"/>
  <c r="C7783" i="1"/>
  <c r="G7782" i="1"/>
  <c r="E7782" i="1"/>
  <c r="C7782" i="1"/>
  <c r="G7781" i="1"/>
  <c r="E7781" i="1"/>
  <c r="C7781" i="1"/>
  <c r="G7780" i="1"/>
  <c r="E7780" i="1"/>
  <c r="C7780" i="1"/>
  <c r="G7779" i="1"/>
  <c r="E7779" i="1"/>
  <c r="C7779" i="1"/>
  <c r="G7778" i="1"/>
  <c r="E7778" i="1"/>
  <c r="C7778" i="1"/>
  <c r="G7777" i="1"/>
  <c r="E7777" i="1"/>
  <c r="C7777" i="1"/>
  <c r="G7776" i="1"/>
  <c r="E7776" i="1"/>
  <c r="C7776" i="1"/>
  <c r="G7775" i="1"/>
  <c r="E7775" i="1"/>
  <c r="C7775" i="1"/>
  <c r="G7774" i="1"/>
  <c r="E7774" i="1"/>
  <c r="C7774" i="1"/>
  <c r="G7773" i="1"/>
  <c r="E7773" i="1"/>
  <c r="C7773" i="1"/>
  <c r="G7772" i="1"/>
  <c r="E7772" i="1"/>
  <c r="C7772" i="1"/>
  <c r="G7771" i="1"/>
  <c r="E7771" i="1"/>
  <c r="C7771" i="1"/>
  <c r="G7770" i="1"/>
  <c r="E7770" i="1"/>
  <c r="C7770" i="1"/>
  <c r="G7769" i="1"/>
  <c r="E7769" i="1"/>
  <c r="C7769" i="1"/>
  <c r="G7768" i="1"/>
  <c r="E7768" i="1"/>
  <c r="C7768" i="1"/>
  <c r="G7767" i="1"/>
  <c r="E7767" i="1"/>
  <c r="C7767" i="1"/>
  <c r="G7766" i="1"/>
  <c r="E7766" i="1"/>
  <c r="C7766" i="1"/>
  <c r="G7765" i="1"/>
  <c r="E7765" i="1"/>
  <c r="C7765" i="1"/>
  <c r="G7764" i="1"/>
  <c r="E7764" i="1"/>
  <c r="C7764" i="1"/>
  <c r="G7763" i="1"/>
  <c r="E7763" i="1"/>
  <c r="C7763" i="1"/>
  <c r="G7762" i="1"/>
  <c r="E7762" i="1"/>
  <c r="C7762" i="1"/>
  <c r="G7761" i="1"/>
  <c r="E7761" i="1"/>
  <c r="C7761" i="1"/>
  <c r="G7760" i="1"/>
  <c r="E7760" i="1"/>
  <c r="C7760" i="1"/>
  <c r="G7759" i="1"/>
  <c r="E7759" i="1"/>
  <c r="C7759" i="1"/>
  <c r="G7758" i="1"/>
  <c r="E7758" i="1"/>
  <c r="C7758" i="1"/>
  <c r="G7757" i="1"/>
  <c r="E7757" i="1"/>
  <c r="C7757" i="1"/>
  <c r="G7756" i="1"/>
  <c r="E7756" i="1"/>
  <c r="C7756" i="1"/>
  <c r="G7755" i="1"/>
  <c r="E7755" i="1"/>
  <c r="C7755" i="1"/>
  <c r="G7754" i="1"/>
  <c r="E7754" i="1"/>
  <c r="C7754" i="1"/>
  <c r="G7753" i="1"/>
  <c r="E7753" i="1"/>
  <c r="C7753" i="1"/>
  <c r="G7752" i="1"/>
  <c r="E7752" i="1"/>
  <c r="C7752" i="1"/>
  <c r="G7751" i="1"/>
  <c r="E7751" i="1"/>
  <c r="C7751" i="1"/>
  <c r="G7750" i="1"/>
  <c r="E7750" i="1"/>
  <c r="C7750" i="1"/>
  <c r="G7749" i="1"/>
  <c r="E7749" i="1"/>
  <c r="C7749" i="1"/>
  <c r="G7748" i="1"/>
  <c r="E7748" i="1"/>
  <c r="C7748" i="1"/>
  <c r="G7747" i="1"/>
  <c r="E7747" i="1"/>
  <c r="C7747" i="1"/>
  <c r="G7746" i="1"/>
  <c r="E7746" i="1"/>
  <c r="C7746" i="1"/>
  <c r="G7745" i="1"/>
  <c r="E7745" i="1"/>
  <c r="C7745" i="1"/>
  <c r="G7744" i="1"/>
  <c r="E7744" i="1"/>
  <c r="C7744" i="1"/>
  <c r="G7743" i="1"/>
  <c r="E7743" i="1"/>
  <c r="C7743" i="1"/>
  <c r="G7742" i="1"/>
  <c r="E7742" i="1"/>
  <c r="C7742" i="1"/>
  <c r="G7741" i="1"/>
  <c r="E7741" i="1"/>
  <c r="C7741" i="1"/>
  <c r="G7740" i="1"/>
  <c r="E7740" i="1"/>
  <c r="C7740" i="1"/>
  <c r="G7739" i="1"/>
  <c r="E7739" i="1"/>
  <c r="C7739" i="1"/>
  <c r="G7738" i="1"/>
  <c r="E7738" i="1"/>
  <c r="C7738" i="1"/>
  <c r="G7737" i="1"/>
  <c r="E7737" i="1"/>
  <c r="C7737" i="1"/>
  <c r="G7736" i="1"/>
  <c r="E7736" i="1"/>
  <c r="C7736" i="1"/>
  <c r="G7735" i="1"/>
  <c r="E7735" i="1"/>
  <c r="C7735" i="1"/>
  <c r="G7734" i="1"/>
  <c r="E7734" i="1"/>
  <c r="C7734" i="1"/>
  <c r="G7733" i="1"/>
  <c r="E7733" i="1"/>
  <c r="C7733" i="1"/>
  <c r="G7732" i="1"/>
  <c r="E7732" i="1"/>
  <c r="C7732" i="1"/>
  <c r="G7731" i="1"/>
  <c r="E7731" i="1"/>
  <c r="C7731" i="1"/>
  <c r="G7730" i="1"/>
  <c r="E7730" i="1"/>
  <c r="C7730" i="1"/>
  <c r="G7729" i="1"/>
  <c r="E7729" i="1"/>
  <c r="C7729" i="1"/>
  <c r="G7728" i="1"/>
  <c r="E7728" i="1"/>
  <c r="C7728" i="1"/>
  <c r="G7727" i="1"/>
  <c r="E7727" i="1"/>
  <c r="C7727" i="1"/>
  <c r="G7726" i="1"/>
  <c r="E7726" i="1"/>
  <c r="C7726" i="1"/>
  <c r="G7725" i="1"/>
  <c r="E7725" i="1"/>
  <c r="C7725" i="1"/>
  <c r="G7724" i="1"/>
  <c r="E7724" i="1"/>
  <c r="C7724" i="1"/>
  <c r="G7723" i="1"/>
  <c r="E7723" i="1"/>
  <c r="C7723" i="1"/>
  <c r="G7722" i="1"/>
  <c r="E7722" i="1"/>
  <c r="C7722" i="1"/>
  <c r="G7721" i="1"/>
  <c r="E7721" i="1"/>
  <c r="C7721" i="1"/>
  <c r="G7720" i="1"/>
  <c r="E7720" i="1"/>
  <c r="C7720" i="1"/>
  <c r="G7719" i="1"/>
  <c r="E7719" i="1"/>
  <c r="C7719" i="1"/>
  <c r="G7718" i="1"/>
  <c r="E7718" i="1"/>
  <c r="C7718" i="1"/>
  <c r="G7717" i="1"/>
  <c r="E7717" i="1"/>
  <c r="C7717" i="1"/>
  <c r="G7716" i="1"/>
  <c r="E7716" i="1"/>
  <c r="C7716" i="1"/>
  <c r="G7715" i="1"/>
  <c r="E7715" i="1"/>
  <c r="C7715" i="1"/>
  <c r="G7714" i="1"/>
  <c r="E7714" i="1"/>
  <c r="C7714" i="1"/>
  <c r="G7713" i="1"/>
  <c r="E7713" i="1"/>
  <c r="C7713" i="1"/>
  <c r="G7712" i="1"/>
  <c r="E7712" i="1"/>
  <c r="C7712" i="1"/>
  <c r="G7711" i="1"/>
  <c r="E7711" i="1"/>
  <c r="C7711" i="1"/>
  <c r="G7710" i="1"/>
  <c r="E7710" i="1"/>
  <c r="C7710" i="1"/>
  <c r="G7709" i="1"/>
  <c r="E7709" i="1"/>
  <c r="C7709" i="1"/>
  <c r="G7708" i="1"/>
  <c r="E7708" i="1"/>
  <c r="C7708" i="1"/>
  <c r="G7707" i="1"/>
  <c r="E7707" i="1"/>
  <c r="C7707" i="1"/>
  <c r="G7706" i="1"/>
  <c r="E7706" i="1"/>
  <c r="C7706" i="1"/>
  <c r="G7705" i="1"/>
  <c r="E7705" i="1"/>
  <c r="C7705" i="1"/>
  <c r="G7704" i="1"/>
  <c r="E7704" i="1"/>
  <c r="C7704" i="1"/>
  <c r="G7703" i="1"/>
  <c r="E7703" i="1"/>
  <c r="C7703" i="1"/>
  <c r="G7702" i="1"/>
  <c r="E7702" i="1"/>
  <c r="C7702" i="1"/>
  <c r="G7701" i="1"/>
  <c r="E7701" i="1"/>
  <c r="C7701" i="1"/>
  <c r="G7700" i="1"/>
  <c r="E7700" i="1"/>
  <c r="C7700" i="1"/>
  <c r="G7699" i="1"/>
  <c r="E7699" i="1"/>
  <c r="C7699" i="1"/>
  <c r="G7698" i="1"/>
  <c r="E7698" i="1"/>
  <c r="C7698" i="1"/>
  <c r="G7697" i="1"/>
  <c r="E7697" i="1"/>
  <c r="C7697" i="1"/>
  <c r="G7696" i="1"/>
  <c r="E7696" i="1"/>
  <c r="C7696" i="1"/>
  <c r="G7695" i="1"/>
  <c r="E7695" i="1"/>
  <c r="C7695" i="1"/>
  <c r="G7694" i="1"/>
  <c r="E7694" i="1"/>
  <c r="C7694" i="1"/>
  <c r="G7693" i="1"/>
  <c r="E7693" i="1"/>
  <c r="C7693" i="1"/>
  <c r="G7692" i="1"/>
  <c r="E7692" i="1"/>
  <c r="C7692" i="1"/>
  <c r="G7691" i="1"/>
  <c r="E7691" i="1"/>
  <c r="C7691" i="1"/>
  <c r="G7690" i="1"/>
  <c r="E7690" i="1"/>
  <c r="C7690" i="1"/>
  <c r="G7689" i="1"/>
  <c r="E7689" i="1"/>
  <c r="C7689" i="1"/>
  <c r="G7688" i="1"/>
  <c r="E7688" i="1"/>
  <c r="C7688" i="1"/>
  <c r="G7687" i="1"/>
  <c r="E7687" i="1"/>
  <c r="C7687" i="1"/>
  <c r="G7686" i="1"/>
  <c r="E7686" i="1"/>
  <c r="C7686" i="1"/>
  <c r="G7685" i="1"/>
  <c r="E7685" i="1"/>
  <c r="C7685" i="1"/>
  <c r="G7684" i="1"/>
  <c r="E7684" i="1"/>
  <c r="C7684" i="1"/>
  <c r="G7683" i="1"/>
  <c r="E7683" i="1"/>
  <c r="C7683" i="1"/>
  <c r="G7682" i="1"/>
  <c r="E7682" i="1"/>
  <c r="C7682" i="1"/>
  <c r="G7681" i="1"/>
  <c r="E7681" i="1"/>
  <c r="C7681" i="1"/>
  <c r="G7680" i="1"/>
  <c r="E7680" i="1"/>
  <c r="C7680" i="1"/>
  <c r="G7679" i="1"/>
  <c r="E7679" i="1"/>
  <c r="C7679" i="1"/>
  <c r="G7678" i="1"/>
  <c r="E7678" i="1"/>
  <c r="C7678" i="1"/>
  <c r="G7677" i="1"/>
  <c r="E7677" i="1"/>
  <c r="C7677" i="1"/>
  <c r="G7676" i="1"/>
  <c r="E7676" i="1"/>
  <c r="C7676" i="1"/>
  <c r="G7675" i="1"/>
  <c r="E7675" i="1"/>
  <c r="C7675" i="1"/>
  <c r="G7674" i="1"/>
  <c r="E7674" i="1"/>
  <c r="C7674" i="1"/>
  <c r="G7673" i="1"/>
  <c r="E7673" i="1"/>
  <c r="C7673" i="1"/>
  <c r="G7672" i="1"/>
  <c r="E7672" i="1"/>
  <c r="C7672" i="1"/>
  <c r="G7671" i="1"/>
  <c r="E7671" i="1"/>
  <c r="C7671" i="1"/>
  <c r="G7670" i="1"/>
  <c r="E7670" i="1"/>
  <c r="C7670" i="1"/>
  <c r="G7669" i="1"/>
  <c r="E7669" i="1"/>
  <c r="C7669" i="1"/>
  <c r="G7668" i="1"/>
  <c r="E7668" i="1"/>
  <c r="C7668" i="1"/>
  <c r="G7667" i="1"/>
  <c r="E7667" i="1"/>
  <c r="C7667" i="1"/>
  <c r="G7666" i="1"/>
  <c r="E7666" i="1"/>
  <c r="C7666" i="1"/>
  <c r="G7665" i="1"/>
  <c r="E7665" i="1"/>
  <c r="C7665" i="1"/>
  <c r="G7664" i="1"/>
  <c r="E7664" i="1"/>
  <c r="C7664" i="1"/>
  <c r="G7663" i="1"/>
  <c r="E7663" i="1"/>
  <c r="C7663" i="1"/>
  <c r="G7662" i="1"/>
  <c r="E7662" i="1"/>
  <c r="C7662" i="1"/>
  <c r="G7661" i="1"/>
  <c r="E7661" i="1"/>
  <c r="C7661" i="1"/>
  <c r="G7660" i="1"/>
  <c r="E7660" i="1"/>
  <c r="C7660" i="1"/>
  <c r="G7659" i="1"/>
  <c r="E7659" i="1"/>
  <c r="C7659" i="1"/>
  <c r="G7658" i="1"/>
  <c r="E7658" i="1"/>
  <c r="C7658" i="1"/>
  <c r="G7657" i="1"/>
  <c r="E7657" i="1"/>
  <c r="C7657" i="1"/>
  <c r="G7656" i="1"/>
  <c r="E7656" i="1"/>
  <c r="C7656" i="1"/>
  <c r="G7655" i="1"/>
  <c r="E7655" i="1"/>
  <c r="C7655" i="1"/>
  <c r="G7654" i="1"/>
  <c r="E7654" i="1"/>
  <c r="C7654" i="1"/>
  <c r="G7653" i="1"/>
  <c r="E7653" i="1"/>
  <c r="C7653" i="1"/>
  <c r="G7652" i="1"/>
  <c r="E7652" i="1"/>
  <c r="C7652" i="1"/>
  <c r="G7651" i="1"/>
  <c r="E7651" i="1"/>
  <c r="C7651" i="1"/>
  <c r="G7650" i="1"/>
  <c r="E7650" i="1"/>
  <c r="C7650" i="1"/>
  <c r="G7649" i="1"/>
  <c r="E7649" i="1"/>
  <c r="C7649" i="1"/>
  <c r="G7648" i="1"/>
  <c r="E7648" i="1"/>
  <c r="C7648" i="1"/>
  <c r="G7647" i="1"/>
  <c r="E7647" i="1"/>
  <c r="C7647" i="1"/>
  <c r="G7646" i="1"/>
  <c r="E7646" i="1"/>
  <c r="C7646" i="1"/>
  <c r="G7645" i="1"/>
  <c r="E7645" i="1"/>
  <c r="C7645" i="1"/>
  <c r="G7644" i="1"/>
  <c r="E7644" i="1"/>
  <c r="C7644" i="1"/>
  <c r="G7643" i="1"/>
  <c r="E7643" i="1"/>
  <c r="C7643" i="1"/>
  <c r="G7642" i="1"/>
  <c r="E7642" i="1"/>
  <c r="C7642" i="1"/>
  <c r="G7641" i="1"/>
  <c r="E7641" i="1"/>
  <c r="C7641" i="1"/>
  <c r="G7640" i="1"/>
  <c r="E7640" i="1"/>
  <c r="C7640" i="1"/>
  <c r="G7639" i="1"/>
  <c r="E7639" i="1"/>
  <c r="C7639" i="1"/>
  <c r="G7638" i="1"/>
  <c r="E7638" i="1"/>
  <c r="C7638" i="1"/>
  <c r="G7637" i="1"/>
  <c r="E7637" i="1"/>
  <c r="C7637" i="1"/>
  <c r="G7636" i="1"/>
  <c r="E7636" i="1"/>
  <c r="C7636" i="1"/>
  <c r="G7635" i="1"/>
  <c r="E7635" i="1"/>
  <c r="C7635" i="1"/>
  <c r="G7634" i="1"/>
  <c r="E7634" i="1"/>
  <c r="C7634" i="1"/>
  <c r="G7633" i="1"/>
  <c r="E7633" i="1"/>
  <c r="C7633" i="1"/>
  <c r="G7632" i="1"/>
  <c r="E7632" i="1"/>
  <c r="C7632" i="1"/>
  <c r="G7631" i="1"/>
  <c r="E7631" i="1"/>
  <c r="C7631" i="1"/>
  <c r="G7630" i="1"/>
  <c r="E7630" i="1"/>
  <c r="C7630" i="1"/>
  <c r="G7629" i="1"/>
  <c r="E7629" i="1"/>
  <c r="C7629" i="1"/>
  <c r="G7628" i="1"/>
  <c r="E7628" i="1"/>
  <c r="C7628" i="1"/>
  <c r="G7627" i="1"/>
  <c r="E7627" i="1"/>
  <c r="C7627" i="1"/>
  <c r="G7626" i="1"/>
  <c r="E7626" i="1"/>
  <c r="C7626" i="1"/>
  <c r="G7625" i="1"/>
  <c r="E7625" i="1"/>
  <c r="C7625" i="1"/>
  <c r="G7624" i="1"/>
  <c r="E7624" i="1"/>
  <c r="C7624" i="1"/>
  <c r="G7623" i="1"/>
  <c r="E7623" i="1"/>
  <c r="C7623" i="1"/>
  <c r="G7622" i="1"/>
  <c r="E7622" i="1"/>
  <c r="C7622" i="1"/>
  <c r="G7621" i="1"/>
  <c r="E7621" i="1"/>
  <c r="C7621" i="1"/>
  <c r="G7620" i="1"/>
  <c r="E7620" i="1"/>
  <c r="C7620" i="1"/>
  <c r="G7619" i="1"/>
  <c r="E7619" i="1"/>
  <c r="C7619" i="1"/>
  <c r="G7618" i="1"/>
  <c r="E7618" i="1"/>
  <c r="C7618" i="1"/>
  <c r="G7617" i="1"/>
  <c r="E7617" i="1"/>
  <c r="C7617" i="1"/>
  <c r="G7616" i="1"/>
  <c r="E7616" i="1"/>
  <c r="C7616" i="1"/>
  <c r="G7615" i="1"/>
  <c r="E7615" i="1"/>
  <c r="C7615" i="1"/>
  <c r="G7614" i="1"/>
  <c r="E7614" i="1"/>
  <c r="C7614" i="1"/>
  <c r="G7613" i="1"/>
  <c r="E7613" i="1"/>
  <c r="C7613" i="1"/>
  <c r="G7612" i="1"/>
  <c r="E7612" i="1"/>
  <c r="C7612" i="1"/>
  <c r="G7611" i="1"/>
  <c r="E7611" i="1"/>
  <c r="C7611" i="1"/>
  <c r="G7610" i="1"/>
  <c r="E7610" i="1"/>
  <c r="C7610" i="1"/>
  <c r="G7609" i="1"/>
  <c r="E7609" i="1"/>
  <c r="C7609" i="1"/>
  <c r="G7608" i="1"/>
  <c r="E7608" i="1"/>
  <c r="C7608" i="1"/>
  <c r="G7607" i="1"/>
  <c r="E7607" i="1"/>
  <c r="C7607" i="1"/>
  <c r="G7606" i="1"/>
  <c r="E7606" i="1"/>
  <c r="C7606" i="1"/>
  <c r="G7605" i="1"/>
  <c r="E7605" i="1"/>
  <c r="C7605" i="1"/>
  <c r="G7604" i="1"/>
  <c r="E7604" i="1"/>
  <c r="C7604" i="1"/>
  <c r="G7603" i="1"/>
  <c r="E7603" i="1"/>
  <c r="C7603" i="1"/>
  <c r="G7602" i="1"/>
  <c r="E7602" i="1"/>
  <c r="C7602" i="1"/>
  <c r="G7601" i="1"/>
  <c r="E7601" i="1"/>
  <c r="C7601" i="1"/>
  <c r="G7600" i="1"/>
  <c r="E7600" i="1"/>
  <c r="C7600" i="1"/>
  <c r="G7599" i="1"/>
  <c r="E7599" i="1"/>
  <c r="C7599" i="1"/>
  <c r="G7598" i="1"/>
  <c r="E7598" i="1"/>
  <c r="C7598" i="1"/>
  <c r="G7597" i="1"/>
  <c r="E7597" i="1"/>
  <c r="C7597" i="1"/>
  <c r="G7596" i="1"/>
  <c r="E7596" i="1"/>
  <c r="C7596" i="1"/>
  <c r="G7595" i="1"/>
  <c r="E7595" i="1"/>
  <c r="C7595" i="1"/>
  <c r="G7594" i="1"/>
  <c r="E7594" i="1"/>
  <c r="C7594" i="1"/>
  <c r="G7593" i="1"/>
  <c r="E7593" i="1"/>
  <c r="C7593" i="1"/>
  <c r="G7592" i="1"/>
  <c r="E7592" i="1"/>
  <c r="C7592" i="1"/>
  <c r="G7591" i="1"/>
  <c r="E7591" i="1"/>
  <c r="C7591" i="1"/>
  <c r="G7590" i="1"/>
  <c r="E7590" i="1"/>
  <c r="C7590" i="1"/>
  <c r="G7589" i="1"/>
  <c r="E7589" i="1"/>
  <c r="C7589" i="1"/>
  <c r="G7588" i="1"/>
  <c r="E7588" i="1"/>
  <c r="C7588" i="1"/>
  <c r="G7587" i="1"/>
  <c r="E7587" i="1"/>
  <c r="C7587" i="1"/>
  <c r="G7586" i="1"/>
  <c r="E7586" i="1"/>
  <c r="C7586" i="1"/>
  <c r="G7585" i="1"/>
  <c r="E7585" i="1"/>
  <c r="C7585" i="1"/>
  <c r="G7584" i="1"/>
  <c r="E7584" i="1"/>
  <c r="C7584" i="1"/>
  <c r="G7583" i="1"/>
  <c r="E7583" i="1"/>
  <c r="C7583" i="1"/>
  <c r="G7582" i="1"/>
  <c r="E7582" i="1"/>
  <c r="C7582" i="1"/>
  <c r="G7581" i="1"/>
  <c r="E7581" i="1"/>
  <c r="C7581" i="1"/>
  <c r="G7580" i="1"/>
  <c r="E7580" i="1"/>
  <c r="C7580" i="1"/>
  <c r="G7579" i="1"/>
  <c r="E7579" i="1"/>
  <c r="C7579" i="1"/>
  <c r="G7578" i="1"/>
  <c r="E7578" i="1"/>
  <c r="C7578" i="1"/>
  <c r="G7577" i="1"/>
  <c r="E7577" i="1"/>
  <c r="C7577" i="1"/>
  <c r="G7576" i="1"/>
  <c r="E7576" i="1"/>
  <c r="C7576" i="1"/>
  <c r="G7575" i="1"/>
  <c r="E7575" i="1"/>
  <c r="C7575" i="1"/>
  <c r="G7574" i="1"/>
  <c r="E7574" i="1"/>
  <c r="C7574" i="1"/>
  <c r="G7573" i="1"/>
  <c r="E7573" i="1"/>
  <c r="C7573" i="1"/>
  <c r="G7572" i="1"/>
  <c r="E7572" i="1"/>
  <c r="C7572" i="1"/>
  <c r="G7571" i="1"/>
  <c r="E7571" i="1"/>
  <c r="C7571" i="1"/>
  <c r="G7570" i="1"/>
  <c r="E7570" i="1"/>
  <c r="C7570" i="1"/>
  <c r="G7569" i="1"/>
  <c r="E7569" i="1"/>
  <c r="C7569" i="1"/>
  <c r="G7568" i="1"/>
  <c r="E7568" i="1"/>
  <c r="C7568" i="1"/>
  <c r="G7567" i="1"/>
  <c r="E7567" i="1"/>
  <c r="C7567" i="1"/>
  <c r="G7566" i="1"/>
  <c r="E7566" i="1"/>
  <c r="C7566" i="1"/>
  <c r="G7565" i="1"/>
  <c r="E7565" i="1"/>
  <c r="C7565" i="1"/>
  <c r="G7564" i="1"/>
  <c r="E7564" i="1"/>
  <c r="C7564" i="1"/>
  <c r="G7563" i="1"/>
  <c r="E7563" i="1"/>
  <c r="C7563" i="1"/>
  <c r="G7562" i="1"/>
  <c r="E7562" i="1"/>
  <c r="C7562" i="1"/>
  <c r="G7561" i="1"/>
  <c r="E7561" i="1"/>
  <c r="C7561" i="1"/>
  <c r="G7560" i="1"/>
  <c r="E7560" i="1"/>
  <c r="C7560" i="1"/>
  <c r="G7559" i="1"/>
  <c r="E7559" i="1"/>
  <c r="C7559" i="1"/>
  <c r="G7558" i="1"/>
  <c r="E7558" i="1"/>
  <c r="C7558" i="1"/>
  <c r="G7557" i="1"/>
  <c r="E7557" i="1"/>
  <c r="C7557" i="1"/>
  <c r="G7556" i="1"/>
  <c r="E7556" i="1"/>
  <c r="C7556" i="1"/>
  <c r="G7555" i="1"/>
  <c r="E7555" i="1"/>
  <c r="C7555" i="1"/>
  <c r="G7554" i="1"/>
  <c r="E7554" i="1"/>
  <c r="C7554" i="1"/>
  <c r="G7553" i="1"/>
  <c r="E7553" i="1"/>
  <c r="C7553" i="1"/>
  <c r="G7552" i="1"/>
  <c r="E7552" i="1"/>
  <c r="C7552" i="1"/>
  <c r="G7551" i="1"/>
  <c r="E7551" i="1"/>
  <c r="C7551" i="1"/>
  <c r="G7550" i="1"/>
  <c r="E7550" i="1"/>
  <c r="C7550" i="1"/>
  <c r="G7549" i="1"/>
  <c r="E7549" i="1"/>
  <c r="C7549" i="1"/>
  <c r="G7548" i="1"/>
  <c r="E7548" i="1"/>
  <c r="C7548" i="1"/>
  <c r="G7547" i="1"/>
  <c r="E7547" i="1"/>
  <c r="C7547" i="1"/>
  <c r="G7546" i="1"/>
  <c r="E7546" i="1"/>
  <c r="C7546" i="1"/>
  <c r="G7545" i="1"/>
  <c r="E7545" i="1"/>
  <c r="C7545" i="1"/>
  <c r="G7544" i="1"/>
  <c r="E7544" i="1"/>
  <c r="C7544" i="1"/>
  <c r="G7543" i="1"/>
  <c r="E7543" i="1"/>
  <c r="C7543" i="1"/>
  <c r="G7542" i="1"/>
  <c r="E7542" i="1"/>
  <c r="C7542" i="1"/>
  <c r="G7541" i="1"/>
  <c r="E7541" i="1"/>
  <c r="C7541" i="1"/>
  <c r="G7540" i="1"/>
  <c r="E7540" i="1"/>
  <c r="C7540" i="1"/>
  <c r="G7539" i="1"/>
  <c r="E7539" i="1"/>
  <c r="C7539" i="1"/>
  <c r="G7538" i="1"/>
  <c r="E7538" i="1"/>
  <c r="C7538" i="1"/>
  <c r="G7537" i="1"/>
  <c r="E7537" i="1"/>
  <c r="C7537" i="1"/>
  <c r="G7536" i="1"/>
  <c r="E7536" i="1"/>
  <c r="C7536" i="1"/>
  <c r="G7535" i="1"/>
  <c r="E7535" i="1"/>
  <c r="C7535" i="1"/>
  <c r="G7534" i="1"/>
  <c r="E7534" i="1"/>
  <c r="C7534" i="1"/>
  <c r="G7533" i="1"/>
  <c r="E7533" i="1"/>
  <c r="C7533" i="1"/>
  <c r="G7532" i="1"/>
  <c r="E7532" i="1"/>
  <c r="C7532" i="1"/>
  <c r="G7531" i="1"/>
  <c r="E7531" i="1"/>
  <c r="C7531" i="1"/>
  <c r="G7530" i="1"/>
  <c r="E7530" i="1"/>
  <c r="C7530" i="1"/>
  <c r="G7529" i="1"/>
  <c r="E7529" i="1"/>
  <c r="C7529" i="1"/>
  <c r="G7528" i="1"/>
  <c r="E7528" i="1"/>
  <c r="C7528" i="1"/>
  <c r="G7527" i="1"/>
  <c r="E7527" i="1"/>
  <c r="C7527" i="1"/>
  <c r="G7526" i="1"/>
  <c r="E7526" i="1"/>
  <c r="C7526" i="1"/>
  <c r="G7525" i="1"/>
  <c r="E7525" i="1"/>
  <c r="C7525" i="1"/>
  <c r="G7524" i="1"/>
  <c r="E7524" i="1"/>
  <c r="C7524" i="1"/>
  <c r="G7523" i="1"/>
  <c r="E7523" i="1"/>
  <c r="C7523" i="1"/>
  <c r="G7522" i="1"/>
  <c r="E7522" i="1"/>
  <c r="C7522" i="1"/>
  <c r="G7521" i="1"/>
  <c r="E7521" i="1"/>
  <c r="C7521" i="1"/>
  <c r="G7520" i="1"/>
  <c r="E7520" i="1"/>
  <c r="C7520" i="1"/>
  <c r="G7519" i="1"/>
  <c r="E7519" i="1"/>
  <c r="C7519" i="1"/>
  <c r="G7518" i="1"/>
  <c r="E7518" i="1"/>
  <c r="C7518" i="1"/>
  <c r="G7517" i="1"/>
  <c r="E7517" i="1"/>
  <c r="C7517" i="1"/>
  <c r="G7516" i="1"/>
  <c r="E7516" i="1"/>
  <c r="C7516" i="1"/>
  <c r="G7515" i="1"/>
  <c r="E7515" i="1"/>
  <c r="C7515" i="1"/>
  <c r="G7514" i="1"/>
  <c r="E7514" i="1"/>
  <c r="C7514" i="1"/>
  <c r="G7513" i="1"/>
  <c r="E7513" i="1"/>
  <c r="C7513" i="1"/>
  <c r="G7512" i="1"/>
  <c r="E7512" i="1"/>
  <c r="C7512" i="1"/>
  <c r="G7511" i="1"/>
  <c r="E7511" i="1"/>
  <c r="C7511" i="1"/>
  <c r="G7510" i="1"/>
  <c r="E7510" i="1"/>
  <c r="C7510" i="1"/>
  <c r="G7509" i="1"/>
  <c r="E7509" i="1"/>
  <c r="C7509" i="1"/>
  <c r="G7508" i="1"/>
  <c r="E7508" i="1"/>
  <c r="C7508" i="1"/>
  <c r="G7507" i="1"/>
  <c r="E7507" i="1"/>
  <c r="C7507" i="1"/>
  <c r="G7506" i="1"/>
  <c r="E7506" i="1"/>
  <c r="C7506" i="1"/>
  <c r="G7505" i="1"/>
  <c r="E7505" i="1"/>
  <c r="C7505" i="1"/>
  <c r="G7504" i="1"/>
  <c r="E7504" i="1"/>
  <c r="C7504" i="1"/>
  <c r="G7503" i="1"/>
  <c r="E7503" i="1"/>
  <c r="C7503" i="1"/>
  <c r="G7502" i="1"/>
  <c r="E7502" i="1"/>
  <c r="C7502" i="1"/>
  <c r="G7501" i="1"/>
  <c r="E7501" i="1"/>
  <c r="C7501" i="1"/>
  <c r="G7500" i="1"/>
  <c r="E7500" i="1"/>
  <c r="C7500" i="1"/>
  <c r="G7499" i="1"/>
  <c r="E7499" i="1"/>
  <c r="C7499" i="1"/>
  <c r="G7498" i="1"/>
  <c r="E7498" i="1"/>
  <c r="C7498" i="1"/>
  <c r="G7497" i="1"/>
  <c r="E7497" i="1"/>
  <c r="C7497" i="1"/>
  <c r="G7496" i="1"/>
  <c r="E7496" i="1"/>
  <c r="C7496" i="1"/>
  <c r="G7495" i="1"/>
  <c r="E7495" i="1"/>
  <c r="C7495" i="1"/>
  <c r="G7494" i="1"/>
  <c r="E7494" i="1"/>
  <c r="C7494" i="1"/>
  <c r="G7493" i="1"/>
  <c r="E7493" i="1"/>
  <c r="C7493" i="1"/>
  <c r="G7492" i="1"/>
  <c r="E7492" i="1"/>
  <c r="C7492" i="1"/>
  <c r="G7491" i="1"/>
  <c r="E7491" i="1"/>
  <c r="C7491" i="1"/>
  <c r="G7490" i="1"/>
  <c r="E7490" i="1"/>
  <c r="C7490" i="1"/>
  <c r="G7489" i="1"/>
  <c r="E7489" i="1"/>
  <c r="C7489" i="1"/>
  <c r="G7488" i="1"/>
  <c r="E7488" i="1"/>
  <c r="C7488" i="1"/>
  <c r="G7487" i="1"/>
  <c r="E7487" i="1"/>
  <c r="C7487" i="1"/>
  <c r="G7486" i="1"/>
  <c r="E7486" i="1"/>
  <c r="C7486" i="1"/>
  <c r="G7485" i="1"/>
  <c r="E7485" i="1"/>
  <c r="C7485" i="1"/>
  <c r="G7484" i="1"/>
  <c r="E7484" i="1"/>
  <c r="C7484" i="1"/>
  <c r="G7483" i="1"/>
  <c r="E7483" i="1"/>
  <c r="C7483" i="1"/>
  <c r="G7482" i="1"/>
  <c r="E7482" i="1"/>
  <c r="C7482" i="1"/>
  <c r="G7481" i="1"/>
  <c r="E7481" i="1"/>
  <c r="C7481" i="1"/>
  <c r="G7480" i="1"/>
  <c r="E7480" i="1"/>
  <c r="C7480" i="1"/>
  <c r="G7479" i="1"/>
  <c r="E7479" i="1"/>
  <c r="C7479" i="1"/>
  <c r="G7478" i="1"/>
  <c r="E7478" i="1"/>
  <c r="C7478" i="1"/>
  <c r="G7477" i="1"/>
  <c r="E7477" i="1"/>
  <c r="C7477" i="1"/>
  <c r="G7476" i="1"/>
  <c r="E7476" i="1"/>
  <c r="C7476" i="1"/>
  <c r="G7475" i="1"/>
  <c r="E7475" i="1"/>
  <c r="C7475" i="1"/>
  <c r="G7474" i="1"/>
  <c r="E7474" i="1"/>
  <c r="C7474" i="1"/>
  <c r="G7473" i="1"/>
  <c r="E7473" i="1"/>
  <c r="C7473" i="1"/>
  <c r="G7472" i="1"/>
  <c r="E7472" i="1"/>
  <c r="C7472" i="1"/>
  <c r="G7471" i="1"/>
  <c r="E7471" i="1"/>
  <c r="C7471" i="1"/>
  <c r="G7470" i="1"/>
  <c r="E7470" i="1"/>
  <c r="C7470" i="1"/>
  <c r="G7469" i="1"/>
  <c r="E7469" i="1"/>
  <c r="C7469" i="1"/>
  <c r="G7468" i="1"/>
  <c r="E7468" i="1"/>
  <c r="C7468" i="1"/>
  <c r="G7467" i="1"/>
  <c r="E7467" i="1"/>
  <c r="C7467" i="1"/>
  <c r="G7466" i="1"/>
  <c r="E7466" i="1"/>
  <c r="C7466" i="1"/>
  <c r="G7465" i="1"/>
  <c r="E7465" i="1"/>
  <c r="C7465" i="1"/>
  <c r="G7464" i="1"/>
  <c r="E7464" i="1"/>
  <c r="C7464" i="1"/>
  <c r="G7463" i="1"/>
  <c r="E7463" i="1"/>
  <c r="C7463" i="1"/>
  <c r="G7462" i="1"/>
  <c r="E7462" i="1"/>
  <c r="C7462" i="1"/>
  <c r="G7461" i="1"/>
  <c r="E7461" i="1"/>
  <c r="C7461" i="1"/>
  <c r="G7460" i="1"/>
  <c r="E7460" i="1"/>
  <c r="C7460" i="1"/>
  <c r="G7459" i="1"/>
  <c r="E7459" i="1"/>
  <c r="C7459" i="1"/>
  <c r="G7458" i="1"/>
  <c r="E7458" i="1"/>
  <c r="C7458" i="1"/>
  <c r="G7457" i="1"/>
  <c r="E7457" i="1"/>
  <c r="C7457" i="1"/>
  <c r="G7456" i="1"/>
  <c r="E7456" i="1"/>
  <c r="C7456" i="1"/>
  <c r="G7455" i="1"/>
  <c r="E7455" i="1"/>
  <c r="C7455" i="1"/>
  <c r="G7454" i="1"/>
  <c r="E7454" i="1"/>
  <c r="C7454" i="1"/>
  <c r="G7453" i="1"/>
  <c r="E7453" i="1"/>
  <c r="C7453" i="1"/>
  <c r="G7452" i="1"/>
  <c r="E7452" i="1"/>
  <c r="C7452" i="1"/>
  <c r="G7451" i="1"/>
  <c r="E7451" i="1"/>
  <c r="C7451" i="1"/>
  <c r="G7450" i="1"/>
  <c r="E7450" i="1"/>
  <c r="C7450" i="1"/>
  <c r="G7449" i="1"/>
  <c r="E7449" i="1"/>
  <c r="C7449" i="1"/>
  <c r="G7448" i="1"/>
  <c r="E7448" i="1"/>
  <c r="C7448" i="1"/>
  <c r="G7447" i="1"/>
  <c r="E7447" i="1"/>
  <c r="C7447" i="1"/>
  <c r="G7446" i="1"/>
  <c r="E7446" i="1"/>
  <c r="C7446" i="1"/>
  <c r="G7445" i="1"/>
  <c r="E7445" i="1"/>
  <c r="C7445" i="1"/>
  <c r="G7444" i="1"/>
  <c r="E7444" i="1"/>
  <c r="C7444" i="1"/>
  <c r="G7443" i="1"/>
  <c r="E7443" i="1"/>
  <c r="C7443" i="1"/>
  <c r="G7442" i="1"/>
  <c r="E7442" i="1"/>
  <c r="C7442" i="1"/>
  <c r="G7441" i="1"/>
  <c r="E7441" i="1"/>
  <c r="C7441" i="1"/>
  <c r="G7440" i="1"/>
  <c r="E7440" i="1"/>
  <c r="C7440" i="1"/>
  <c r="G7439" i="1"/>
  <c r="E7439" i="1"/>
  <c r="C7439" i="1"/>
  <c r="G7438" i="1"/>
  <c r="E7438" i="1"/>
  <c r="C7438" i="1"/>
  <c r="G7437" i="1"/>
  <c r="E7437" i="1"/>
  <c r="C7437" i="1"/>
  <c r="G7436" i="1"/>
  <c r="E7436" i="1"/>
  <c r="C7436" i="1"/>
  <c r="G7435" i="1"/>
  <c r="E7435" i="1"/>
  <c r="C7435" i="1"/>
  <c r="G7434" i="1"/>
  <c r="E7434" i="1"/>
  <c r="C7434" i="1"/>
  <c r="G7433" i="1"/>
  <c r="E7433" i="1"/>
  <c r="C7433" i="1"/>
  <c r="G7432" i="1"/>
  <c r="E7432" i="1"/>
  <c r="C7432" i="1"/>
  <c r="G7431" i="1"/>
  <c r="E7431" i="1"/>
  <c r="C7431" i="1"/>
  <c r="G7430" i="1"/>
  <c r="E7430" i="1"/>
  <c r="C7430" i="1"/>
  <c r="G7429" i="1"/>
  <c r="E7429" i="1"/>
  <c r="C7429" i="1"/>
  <c r="G7428" i="1"/>
  <c r="E7428" i="1"/>
  <c r="C7428" i="1"/>
  <c r="G7427" i="1"/>
  <c r="E7427" i="1"/>
  <c r="C7427" i="1"/>
  <c r="G7426" i="1"/>
  <c r="E7426" i="1"/>
  <c r="C7426" i="1"/>
  <c r="G7425" i="1"/>
  <c r="E7425" i="1"/>
  <c r="C7425" i="1"/>
  <c r="G7424" i="1"/>
  <c r="E7424" i="1"/>
  <c r="C7424" i="1"/>
  <c r="G7423" i="1"/>
  <c r="E7423" i="1"/>
  <c r="C7423" i="1"/>
  <c r="G7422" i="1"/>
  <c r="E7422" i="1"/>
  <c r="C7422" i="1"/>
  <c r="G7421" i="1"/>
  <c r="E7421" i="1"/>
  <c r="C7421" i="1"/>
  <c r="G7420" i="1"/>
  <c r="E7420" i="1"/>
  <c r="C7420" i="1"/>
  <c r="G7419" i="1"/>
  <c r="E7419" i="1"/>
  <c r="C7419" i="1"/>
  <c r="G7418" i="1"/>
  <c r="E7418" i="1"/>
  <c r="C7418" i="1"/>
  <c r="G7417" i="1"/>
  <c r="E7417" i="1"/>
  <c r="C7417" i="1"/>
  <c r="G7416" i="1"/>
  <c r="E7416" i="1"/>
  <c r="C7416" i="1"/>
  <c r="G7415" i="1"/>
  <c r="E7415" i="1"/>
  <c r="C7415" i="1"/>
  <c r="G7414" i="1"/>
  <c r="E7414" i="1"/>
  <c r="C7414" i="1"/>
  <c r="G7413" i="1"/>
  <c r="E7413" i="1"/>
  <c r="C7413" i="1"/>
  <c r="G7412" i="1"/>
  <c r="E7412" i="1"/>
  <c r="C7412" i="1"/>
  <c r="G7411" i="1"/>
  <c r="E7411" i="1"/>
  <c r="C7411" i="1"/>
  <c r="G7410" i="1"/>
  <c r="E7410" i="1"/>
  <c r="C7410" i="1"/>
  <c r="G7409" i="1"/>
  <c r="E7409" i="1"/>
  <c r="C7409" i="1"/>
  <c r="G7408" i="1"/>
  <c r="E7408" i="1"/>
  <c r="C7408" i="1"/>
  <c r="G7407" i="1"/>
  <c r="E7407" i="1"/>
  <c r="C7407" i="1"/>
  <c r="G7406" i="1"/>
  <c r="E7406" i="1"/>
  <c r="C7406" i="1"/>
  <c r="G7405" i="1"/>
  <c r="E7405" i="1"/>
  <c r="C7405" i="1"/>
  <c r="G7404" i="1"/>
  <c r="E7404" i="1"/>
  <c r="C7404" i="1"/>
  <c r="G7403" i="1"/>
  <c r="E7403" i="1"/>
  <c r="C7403" i="1"/>
  <c r="G7402" i="1"/>
  <c r="E7402" i="1"/>
  <c r="C7402" i="1"/>
  <c r="G7401" i="1"/>
  <c r="E7401" i="1"/>
  <c r="C7401" i="1"/>
  <c r="G7400" i="1"/>
  <c r="E7400" i="1"/>
  <c r="C7400" i="1"/>
  <c r="G7399" i="1"/>
  <c r="E7399" i="1"/>
  <c r="C7399" i="1"/>
  <c r="G7398" i="1"/>
  <c r="E7398" i="1"/>
  <c r="C7398" i="1"/>
  <c r="G7397" i="1"/>
  <c r="E7397" i="1"/>
  <c r="C7397" i="1"/>
  <c r="G7396" i="1"/>
  <c r="E7396" i="1"/>
  <c r="C7396" i="1"/>
  <c r="G7395" i="1"/>
  <c r="E7395" i="1"/>
  <c r="C7395" i="1"/>
  <c r="G7394" i="1"/>
  <c r="E7394" i="1"/>
  <c r="C7394" i="1"/>
  <c r="G7393" i="1"/>
  <c r="E7393" i="1"/>
  <c r="C7393" i="1"/>
  <c r="G7392" i="1"/>
  <c r="E7392" i="1"/>
  <c r="C7392" i="1"/>
  <c r="G7391" i="1"/>
  <c r="E7391" i="1"/>
  <c r="C7391" i="1"/>
  <c r="G7390" i="1"/>
  <c r="E7390" i="1"/>
  <c r="C7390" i="1"/>
  <c r="G7389" i="1"/>
  <c r="E7389" i="1"/>
  <c r="C7389" i="1"/>
  <c r="G7388" i="1"/>
  <c r="E7388" i="1"/>
  <c r="C7388" i="1"/>
  <c r="G7387" i="1"/>
  <c r="E7387" i="1"/>
  <c r="C7387" i="1"/>
  <c r="G7386" i="1"/>
  <c r="E7386" i="1"/>
  <c r="C7386" i="1"/>
  <c r="G7385" i="1"/>
  <c r="E7385" i="1"/>
  <c r="C7385" i="1"/>
  <c r="G7384" i="1"/>
  <c r="E7384" i="1"/>
  <c r="C7384" i="1"/>
  <c r="G7383" i="1"/>
  <c r="E7383" i="1"/>
  <c r="C7383" i="1"/>
  <c r="G7382" i="1"/>
  <c r="E7382" i="1"/>
  <c r="C7382" i="1"/>
  <c r="G7381" i="1"/>
  <c r="E7381" i="1"/>
  <c r="C7381" i="1"/>
  <c r="G7380" i="1"/>
  <c r="E7380" i="1"/>
  <c r="C7380" i="1"/>
  <c r="G7379" i="1"/>
  <c r="E7379" i="1"/>
  <c r="C7379" i="1"/>
  <c r="G7378" i="1"/>
  <c r="E7378" i="1"/>
  <c r="C7378" i="1"/>
  <c r="G7377" i="1"/>
  <c r="E7377" i="1"/>
  <c r="C7377" i="1"/>
  <c r="G7376" i="1"/>
  <c r="E7376" i="1"/>
  <c r="C7376" i="1"/>
  <c r="G7375" i="1"/>
  <c r="E7375" i="1"/>
  <c r="C7375" i="1"/>
  <c r="G7374" i="1"/>
  <c r="E7374" i="1"/>
  <c r="C7374" i="1"/>
  <c r="G7373" i="1"/>
  <c r="E7373" i="1"/>
  <c r="C7373" i="1"/>
  <c r="G7372" i="1"/>
  <c r="E7372" i="1"/>
  <c r="C7372" i="1"/>
  <c r="G7371" i="1"/>
  <c r="E7371" i="1"/>
  <c r="C7371" i="1"/>
  <c r="G7370" i="1"/>
  <c r="E7370" i="1"/>
  <c r="C7370" i="1"/>
  <c r="G7369" i="1"/>
  <c r="E7369" i="1"/>
  <c r="C7369" i="1"/>
  <c r="G7368" i="1"/>
  <c r="E7368" i="1"/>
  <c r="C7368" i="1"/>
  <c r="G7367" i="1"/>
  <c r="E7367" i="1"/>
  <c r="C7367" i="1"/>
  <c r="G7366" i="1"/>
  <c r="E7366" i="1"/>
  <c r="C7366" i="1"/>
  <c r="G7365" i="1"/>
  <c r="E7365" i="1"/>
  <c r="C7365" i="1"/>
  <c r="G7364" i="1"/>
  <c r="E7364" i="1"/>
  <c r="C7364" i="1"/>
  <c r="G7363" i="1"/>
  <c r="E7363" i="1"/>
  <c r="C7363" i="1"/>
  <c r="G7362" i="1"/>
  <c r="E7362" i="1"/>
  <c r="C7362" i="1"/>
  <c r="G7361" i="1"/>
  <c r="E7361" i="1"/>
  <c r="C7361" i="1"/>
  <c r="G7360" i="1"/>
  <c r="E7360" i="1"/>
  <c r="C7360" i="1"/>
  <c r="G7359" i="1"/>
  <c r="E7359" i="1"/>
  <c r="C7359" i="1"/>
  <c r="G7358" i="1"/>
  <c r="E7358" i="1"/>
  <c r="C7358" i="1"/>
  <c r="G7357" i="1"/>
  <c r="E7357" i="1"/>
  <c r="C7357" i="1"/>
  <c r="G7356" i="1"/>
  <c r="E7356" i="1"/>
  <c r="C7356" i="1"/>
  <c r="G7355" i="1"/>
  <c r="E7355" i="1"/>
  <c r="C7355" i="1"/>
  <c r="G7354" i="1"/>
  <c r="E7354" i="1"/>
  <c r="C7354" i="1"/>
  <c r="G7353" i="1"/>
  <c r="E7353" i="1"/>
  <c r="C7353" i="1"/>
  <c r="G7352" i="1"/>
  <c r="E7352" i="1"/>
  <c r="C7352" i="1"/>
  <c r="G7351" i="1"/>
  <c r="E7351" i="1"/>
  <c r="C7351" i="1"/>
  <c r="G7350" i="1"/>
  <c r="E7350" i="1"/>
  <c r="C7350" i="1"/>
  <c r="G7349" i="1"/>
  <c r="E7349" i="1"/>
  <c r="C7349" i="1"/>
  <c r="G7348" i="1"/>
  <c r="E7348" i="1"/>
  <c r="C7348" i="1"/>
  <c r="G7347" i="1"/>
  <c r="E7347" i="1"/>
  <c r="C7347" i="1"/>
  <c r="G7346" i="1"/>
  <c r="E7346" i="1"/>
  <c r="C7346" i="1"/>
  <c r="G7345" i="1"/>
  <c r="E7345" i="1"/>
  <c r="C7345" i="1"/>
  <c r="G7344" i="1"/>
  <c r="E7344" i="1"/>
  <c r="C7344" i="1"/>
  <c r="G7343" i="1"/>
  <c r="E7343" i="1"/>
  <c r="C7343" i="1"/>
  <c r="G7342" i="1"/>
  <c r="E7342" i="1"/>
  <c r="C7342" i="1"/>
  <c r="G7341" i="1"/>
  <c r="E7341" i="1"/>
  <c r="C7341" i="1"/>
  <c r="G7340" i="1"/>
  <c r="E7340" i="1"/>
  <c r="C7340" i="1"/>
  <c r="G7339" i="1"/>
  <c r="E7339" i="1"/>
  <c r="C7339" i="1"/>
  <c r="G7338" i="1"/>
  <c r="E7338" i="1"/>
  <c r="C7338" i="1"/>
  <c r="G7337" i="1"/>
  <c r="E7337" i="1"/>
  <c r="C7337" i="1"/>
  <c r="G7336" i="1"/>
  <c r="E7336" i="1"/>
  <c r="C7336" i="1"/>
  <c r="G7335" i="1"/>
  <c r="E7335" i="1"/>
  <c r="C7335" i="1"/>
  <c r="G7334" i="1"/>
  <c r="E7334" i="1"/>
  <c r="C7334" i="1"/>
  <c r="G7333" i="1"/>
  <c r="E7333" i="1"/>
  <c r="C7333" i="1"/>
  <c r="G7332" i="1"/>
  <c r="E7332" i="1"/>
  <c r="C7332" i="1"/>
  <c r="G7331" i="1"/>
  <c r="E7331" i="1"/>
  <c r="C7331" i="1"/>
  <c r="G7330" i="1"/>
  <c r="E7330" i="1"/>
  <c r="C7330" i="1"/>
  <c r="G7329" i="1"/>
  <c r="E7329" i="1"/>
  <c r="C7329" i="1"/>
  <c r="G7328" i="1"/>
  <c r="E7328" i="1"/>
  <c r="C7328" i="1"/>
  <c r="G7327" i="1"/>
  <c r="E7327" i="1"/>
  <c r="C7327" i="1"/>
  <c r="G7326" i="1"/>
  <c r="E7326" i="1"/>
  <c r="C7326" i="1"/>
  <c r="G7325" i="1"/>
  <c r="E7325" i="1"/>
  <c r="C7325" i="1"/>
  <c r="G7324" i="1"/>
  <c r="E7324" i="1"/>
  <c r="C7324" i="1"/>
  <c r="G7323" i="1"/>
  <c r="E7323" i="1"/>
  <c r="C7323" i="1"/>
  <c r="G7322" i="1"/>
  <c r="E7322" i="1"/>
  <c r="C7322" i="1"/>
  <c r="G7321" i="1"/>
  <c r="E7321" i="1"/>
  <c r="C7321" i="1"/>
  <c r="G7320" i="1"/>
  <c r="E7320" i="1"/>
  <c r="C7320" i="1"/>
  <c r="G7319" i="1"/>
  <c r="E7319" i="1"/>
  <c r="C7319" i="1"/>
  <c r="G7318" i="1"/>
  <c r="E7318" i="1"/>
  <c r="C7318" i="1"/>
  <c r="G7317" i="1"/>
  <c r="E7317" i="1"/>
  <c r="C7317" i="1"/>
  <c r="G7316" i="1"/>
  <c r="E7316" i="1"/>
  <c r="C7316" i="1"/>
  <c r="G7315" i="1"/>
  <c r="E7315" i="1"/>
  <c r="C7315" i="1"/>
  <c r="G7314" i="1"/>
  <c r="E7314" i="1"/>
  <c r="C7314" i="1"/>
  <c r="G7313" i="1"/>
  <c r="E7313" i="1"/>
  <c r="C7313" i="1"/>
  <c r="G7312" i="1"/>
  <c r="E7312" i="1"/>
  <c r="C7312" i="1"/>
  <c r="G7311" i="1"/>
  <c r="E7311" i="1"/>
  <c r="C7311" i="1"/>
  <c r="G7310" i="1"/>
  <c r="E7310" i="1"/>
  <c r="C7310" i="1"/>
  <c r="G7309" i="1"/>
  <c r="E7309" i="1"/>
  <c r="C7309" i="1"/>
  <c r="G7308" i="1"/>
  <c r="E7308" i="1"/>
  <c r="C7308" i="1"/>
  <c r="G7307" i="1"/>
  <c r="E7307" i="1"/>
  <c r="C7307" i="1"/>
  <c r="G7306" i="1"/>
  <c r="E7306" i="1"/>
  <c r="C7306" i="1"/>
  <c r="G7305" i="1"/>
  <c r="E7305" i="1"/>
  <c r="C7305" i="1"/>
  <c r="G7304" i="1"/>
  <c r="E7304" i="1"/>
  <c r="C7304" i="1"/>
  <c r="G7303" i="1"/>
  <c r="E7303" i="1"/>
  <c r="C7303" i="1"/>
  <c r="G7302" i="1"/>
  <c r="E7302" i="1"/>
  <c r="C7302" i="1"/>
  <c r="G7301" i="1"/>
  <c r="E7301" i="1"/>
  <c r="C7301" i="1"/>
  <c r="G7300" i="1"/>
  <c r="E7300" i="1"/>
  <c r="C7300" i="1"/>
  <c r="G7299" i="1"/>
  <c r="E7299" i="1"/>
  <c r="C7299" i="1"/>
  <c r="G7298" i="1"/>
  <c r="E7298" i="1"/>
  <c r="C7298" i="1"/>
  <c r="G7297" i="1"/>
  <c r="E7297" i="1"/>
  <c r="C7297" i="1"/>
  <c r="G7296" i="1"/>
  <c r="E7296" i="1"/>
  <c r="C7296" i="1"/>
  <c r="G7295" i="1"/>
  <c r="E7295" i="1"/>
  <c r="C7295" i="1"/>
  <c r="G7294" i="1"/>
  <c r="E7294" i="1"/>
  <c r="C7294" i="1"/>
  <c r="G7293" i="1"/>
  <c r="E7293" i="1"/>
  <c r="C7293" i="1"/>
  <c r="G7292" i="1"/>
  <c r="E7292" i="1"/>
  <c r="C7292" i="1"/>
  <c r="G7291" i="1"/>
  <c r="E7291" i="1"/>
  <c r="C7291" i="1"/>
  <c r="G7290" i="1"/>
  <c r="E7290" i="1"/>
  <c r="C7290" i="1"/>
  <c r="G7289" i="1"/>
  <c r="E7289" i="1"/>
  <c r="C7289" i="1"/>
  <c r="G7288" i="1"/>
  <c r="E7288" i="1"/>
  <c r="C7288" i="1"/>
  <c r="G7287" i="1"/>
  <c r="E7287" i="1"/>
  <c r="C7287" i="1"/>
  <c r="G7286" i="1"/>
  <c r="E7286" i="1"/>
  <c r="C7286" i="1"/>
  <c r="G7285" i="1"/>
  <c r="E7285" i="1"/>
  <c r="C7285" i="1"/>
  <c r="G7284" i="1"/>
  <c r="E7284" i="1"/>
  <c r="C7284" i="1"/>
  <c r="G7283" i="1"/>
  <c r="E7283" i="1"/>
  <c r="C7283" i="1"/>
  <c r="G7282" i="1"/>
  <c r="E7282" i="1"/>
  <c r="C7282" i="1"/>
  <c r="G7281" i="1"/>
  <c r="E7281" i="1"/>
  <c r="C7281" i="1"/>
  <c r="G7280" i="1"/>
  <c r="E7280" i="1"/>
  <c r="C7280" i="1"/>
  <c r="G7279" i="1"/>
  <c r="E7279" i="1"/>
  <c r="C7279" i="1"/>
  <c r="G7278" i="1"/>
  <c r="E7278" i="1"/>
  <c r="C7278" i="1"/>
  <c r="G7277" i="1"/>
  <c r="E7277" i="1"/>
  <c r="C7277" i="1"/>
  <c r="G7276" i="1"/>
  <c r="E7276" i="1"/>
  <c r="C7276" i="1"/>
  <c r="G7275" i="1"/>
  <c r="E7275" i="1"/>
  <c r="C7275" i="1"/>
  <c r="G7274" i="1"/>
  <c r="E7274" i="1"/>
  <c r="C7274" i="1"/>
  <c r="G7273" i="1"/>
  <c r="E7273" i="1"/>
  <c r="C7273" i="1"/>
  <c r="G7272" i="1"/>
  <c r="E7272" i="1"/>
  <c r="C7272" i="1"/>
  <c r="G7271" i="1"/>
  <c r="E7271" i="1"/>
  <c r="C7271" i="1"/>
  <c r="G7270" i="1"/>
  <c r="E7270" i="1"/>
  <c r="C7270" i="1"/>
  <c r="G7269" i="1"/>
  <c r="E7269" i="1"/>
  <c r="C7269" i="1"/>
  <c r="G7268" i="1"/>
  <c r="E7268" i="1"/>
  <c r="C7268" i="1"/>
  <c r="G7267" i="1"/>
  <c r="E7267" i="1"/>
  <c r="C7267" i="1"/>
  <c r="G7266" i="1"/>
  <c r="E7266" i="1"/>
  <c r="C7266" i="1"/>
  <c r="G7265" i="1"/>
  <c r="E7265" i="1"/>
  <c r="C7265" i="1"/>
  <c r="G7264" i="1"/>
  <c r="E7264" i="1"/>
  <c r="C7264" i="1"/>
  <c r="G7263" i="1"/>
  <c r="E7263" i="1"/>
  <c r="C7263" i="1"/>
  <c r="G7262" i="1"/>
  <c r="E7262" i="1"/>
  <c r="C7262" i="1"/>
  <c r="G7261" i="1"/>
  <c r="E7261" i="1"/>
  <c r="C7261" i="1"/>
  <c r="G7260" i="1"/>
  <c r="E7260" i="1"/>
  <c r="C7260" i="1"/>
  <c r="G7259" i="1"/>
  <c r="E7259" i="1"/>
  <c r="C7259" i="1"/>
  <c r="G7258" i="1"/>
  <c r="E7258" i="1"/>
  <c r="C7258" i="1"/>
  <c r="G7257" i="1"/>
  <c r="E7257" i="1"/>
  <c r="C7257" i="1"/>
  <c r="G7256" i="1"/>
  <c r="E7256" i="1"/>
  <c r="C7256" i="1"/>
  <c r="G7255" i="1"/>
  <c r="E7255" i="1"/>
  <c r="C7255" i="1"/>
  <c r="G7254" i="1"/>
  <c r="E7254" i="1"/>
  <c r="C7254" i="1"/>
  <c r="G7253" i="1"/>
  <c r="E7253" i="1"/>
  <c r="C7253" i="1"/>
  <c r="G7252" i="1"/>
  <c r="E7252" i="1"/>
  <c r="C7252" i="1"/>
  <c r="G7251" i="1"/>
  <c r="E7251" i="1"/>
  <c r="C7251" i="1"/>
  <c r="G7250" i="1"/>
  <c r="E7250" i="1"/>
  <c r="C7250" i="1"/>
  <c r="G7249" i="1"/>
  <c r="E7249" i="1"/>
  <c r="C7249" i="1"/>
  <c r="G7248" i="1"/>
  <c r="E7248" i="1"/>
  <c r="C7248" i="1"/>
  <c r="G7247" i="1"/>
  <c r="E7247" i="1"/>
  <c r="C7247" i="1"/>
  <c r="G7246" i="1"/>
  <c r="E7246" i="1"/>
  <c r="C7246" i="1"/>
  <c r="G7245" i="1"/>
  <c r="E7245" i="1"/>
  <c r="C7245" i="1"/>
  <c r="G7244" i="1"/>
  <c r="E7244" i="1"/>
  <c r="C7244" i="1"/>
  <c r="G7243" i="1"/>
  <c r="E7243" i="1"/>
  <c r="C7243" i="1"/>
  <c r="G7242" i="1"/>
  <c r="E7242" i="1"/>
  <c r="C7242" i="1"/>
  <c r="G7241" i="1"/>
  <c r="E7241" i="1"/>
  <c r="C7241" i="1"/>
  <c r="G7240" i="1"/>
  <c r="E7240" i="1"/>
  <c r="C7240" i="1"/>
  <c r="G7239" i="1"/>
  <c r="E7239" i="1"/>
  <c r="C7239" i="1"/>
  <c r="G7238" i="1"/>
  <c r="E7238" i="1"/>
  <c r="C7238" i="1"/>
  <c r="G7237" i="1"/>
  <c r="E7237" i="1"/>
  <c r="C7237" i="1"/>
  <c r="G7236" i="1"/>
  <c r="E7236" i="1"/>
  <c r="C7236" i="1"/>
  <c r="G7235" i="1"/>
  <c r="E7235" i="1"/>
  <c r="C7235" i="1"/>
  <c r="G7234" i="1"/>
  <c r="E7234" i="1"/>
  <c r="C7234" i="1"/>
  <c r="G7233" i="1"/>
  <c r="E7233" i="1"/>
  <c r="C7233" i="1"/>
  <c r="G7232" i="1"/>
  <c r="E7232" i="1"/>
  <c r="C7232" i="1"/>
  <c r="G7231" i="1"/>
  <c r="E7231" i="1"/>
  <c r="C7231" i="1"/>
  <c r="G7230" i="1"/>
  <c r="E7230" i="1"/>
  <c r="C7230" i="1"/>
  <c r="G7229" i="1"/>
  <c r="E7229" i="1"/>
  <c r="C7229" i="1"/>
  <c r="G7228" i="1"/>
  <c r="E7228" i="1"/>
  <c r="C7228" i="1"/>
  <c r="G7227" i="1"/>
  <c r="E7227" i="1"/>
  <c r="C7227" i="1"/>
  <c r="G7226" i="1"/>
  <c r="E7226" i="1"/>
  <c r="C7226" i="1"/>
  <c r="G7225" i="1"/>
  <c r="E7225" i="1"/>
  <c r="C7225" i="1"/>
  <c r="G7224" i="1"/>
  <c r="E7224" i="1"/>
  <c r="C7224" i="1"/>
  <c r="G7223" i="1"/>
  <c r="E7223" i="1"/>
  <c r="C7223" i="1"/>
  <c r="G7222" i="1"/>
  <c r="E7222" i="1"/>
  <c r="C7222" i="1"/>
  <c r="G7221" i="1"/>
  <c r="E7221" i="1"/>
  <c r="C7221" i="1"/>
  <c r="G7220" i="1"/>
  <c r="E7220" i="1"/>
  <c r="C7220" i="1"/>
  <c r="G7219" i="1"/>
  <c r="E7219" i="1"/>
  <c r="C7219" i="1"/>
  <c r="G7218" i="1"/>
  <c r="E7218" i="1"/>
  <c r="C7218" i="1"/>
  <c r="G7217" i="1"/>
  <c r="E7217" i="1"/>
  <c r="C7217" i="1"/>
  <c r="G7216" i="1"/>
  <c r="E7216" i="1"/>
  <c r="C7216" i="1"/>
  <c r="G7215" i="1"/>
  <c r="E7215" i="1"/>
  <c r="C7215" i="1"/>
  <c r="G7214" i="1"/>
  <c r="E7214" i="1"/>
  <c r="C7214" i="1"/>
  <c r="G7213" i="1"/>
  <c r="E7213" i="1"/>
  <c r="C7213" i="1"/>
  <c r="G7212" i="1"/>
  <c r="E7212" i="1"/>
  <c r="C7212" i="1"/>
  <c r="G7211" i="1"/>
  <c r="E7211" i="1"/>
  <c r="C7211" i="1"/>
  <c r="G7210" i="1"/>
  <c r="E7210" i="1"/>
  <c r="C7210" i="1"/>
  <c r="G7209" i="1"/>
  <c r="E7209" i="1"/>
  <c r="C7209" i="1"/>
  <c r="G7208" i="1"/>
  <c r="E7208" i="1"/>
  <c r="C7208" i="1"/>
  <c r="G7207" i="1"/>
  <c r="E7207" i="1"/>
  <c r="C7207" i="1"/>
  <c r="G7206" i="1"/>
  <c r="E7206" i="1"/>
  <c r="C7206" i="1"/>
  <c r="G7205" i="1"/>
  <c r="E7205" i="1"/>
  <c r="C7205" i="1"/>
  <c r="G7204" i="1"/>
  <c r="E7204" i="1"/>
  <c r="C7204" i="1"/>
  <c r="G7203" i="1"/>
  <c r="E7203" i="1"/>
  <c r="C7203" i="1"/>
  <c r="G7202" i="1"/>
  <c r="E7202" i="1"/>
  <c r="C7202" i="1"/>
  <c r="G7201" i="1"/>
  <c r="E7201" i="1"/>
  <c r="C7201" i="1"/>
  <c r="G7200" i="1"/>
  <c r="E7200" i="1"/>
  <c r="C7200" i="1"/>
  <c r="G7199" i="1"/>
  <c r="E7199" i="1"/>
  <c r="C7199" i="1"/>
  <c r="G7198" i="1"/>
  <c r="E7198" i="1"/>
  <c r="C7198" i="1"/>
  <c r="G7197" i="1"/>
  <c r="E7197" i="1"/>
  <c r="C7197" i="1"/>
  <c r="G7196" i="1"/>
  <c r="E7196" i="1"/>
  <c r="C7196" i="1"/>
  <c r="G7195" i="1"/>
  <c r="E7195" i="1"/>
  <c r="C7195" i="1"/>
  <c r="G7194" i="1"/>
  <c r="E7194" i="1"/>
  <c r="C7194" i="1"/>
  <c r="G7193" i="1"/>
  <c r="E7193" i="1"/>
  <c r="C7193" i="1"/>
  <c r="G7192" i="1"/>
  <c r="E7192" i="1"/>
  <c r="C7192" i="1"/>
  <c r="G7191" i="1"/>
  <c r="E7191" i="1"/>
  <c r="C7191" i="1"/>
  <c r="G7190" i="1"/>
  <c r="E7190" i="1"/>
  <c r="C7190" i="1"/>
  <c r="G7189" i="1"/>
  <c r="E7189" i="1"/>
  <c r="C7189" i="1"/>
  <c r="G7188" i="1"/>
  <c r="E7188" i="1"/>
  <c r="C7188" i="1"/>
  <c r="G7187" i="1"/>
  <c r="E7187" i="1"/>
  <c r="C7187" i="1"/>
  <c r="G7186" i="1"/>
  <c r="E7186" i="1"/>
  <c r="C7186" i="1"/>
  <c r="G7185" i="1"/>
  <c r="E7185" i="1"/>
  <c r="C7185" i="1"/>
  <c r="G7184" i="1"/>
  <c r="E7184" i="1"/>
  <c r="C7184" i="1"/>
  <c r="G7183" i="1"/>
  <c r="E7183" i="1"/>
  <c r="C7183" i="1"/>
  <c r="G7182" i="1"/>
  <c r="E7182" i="1"/>
  <c r="C7182" i="1"/>
  <c r="G7181" i="1"/>
  <c r="E7181" i="1"/>
  <c r="C7181" i="1"/>
  <c r="G7180" i="1"/>
  <c r="E7180" i="1"/>
  <c r="C7180" i="1"/>
  <c r="G7179" i="1"/>
  <c r="E7179" i="1"/>
  <c r="C7179" i="1"/>
  <c r="G7178" i="1"/>
  <c r="E7178" i="1"/>
  <c r="C7178" i="1"/>
  <c r="G7177" i="1"/>
  <c r="E7177" i="1"/>
  <c r="C7177" i="1"/>
  <c r="G7176" i="1"/>
  <c r="E7176" i="1"/>
  <c r="C7176" i="1"/>
  <c r="G7175" i="1"/>
  <c r="E7175" i="1"/>
  <c r="C7175" i="1"/>
  <c r="G7174" i="1"/>
  <c r="E7174" i="1"/>
  <c r="C7174" i="1"/>
  <c r="G7173" i="1"/>
  <c r="E7173" i="1"/>
  <c r="C7173" i="1"/>
  <c r="G7172" i="1"/>
  <c r="E7172" i="1"/>
  <c r="C7172" i="1"/>
  <c r="G7171" i="1"/>
  <c r="E7171" i="1"/>
  <c r="C7171" i="1"/>
  <c r="G7170" i="1"/>
  <c r="E7170" i="1"/>
  <c r="C7170" i="1"/>
  <c r="G7169" i="1"/>
  <c r="E7169" i="1"/>
  <c r="C7169" i="1"/>
  <c r="G7168" i="1"/>
  <c r="E7168" i="1"/>
  <c r="C7168" i="1"/>
  <c r="G7167" i="1"/>
  <c r="E7167" i="1"/>
  <c r="C7167" i="1"/>
  <c r="G7166" i="1"/>
  <c r="E7166" i="1"/>
  <c r="C7166" i="1"/>
  <c r="G7165" i="1"/>
  <c r="E7165" i="1"/>
  <c r="C7165" i="1"/>
  <c r="G7164" i="1"/>
  <c r="E7164" i="1"/>
  <c r="C7164" i="1"/>
  <c r="G7163" i="1"/>
  <c r="E7163" i="1"/>
  <c r="C7163" i="1"/>
  <c r="G7162" i="1"/>
  <c r="E7162" i="1"/>
  <c r="C7162" i="1"/>
  <c r="G7161" i="1"/>
  <c r="E7161" i="1"/>
  <c r="C7161" i="1"/>
  <c r="G7160" i="1"/>
  <c r="E7160" i="1"/>
  <c r="C7160" i="1"/>
  <c r="G7159" i="1"/>
  <c r="E7159" i="1"/>
  <c r="C7159" i="1"/>
  <c r="G7158" i="1"/>
  <c r="E7158" i="1"/>
  <c r="C7158" i="1"/>
  <c r="G7157" i="1"/>
  <c r="E7157" i="1"/>
  <c r="C7157" i="1"/>
  <c r="G7156" i="1"/>
  <c r="E7156" i="1"/>
  <c r="C7156" i="1"/>
  <c r="G7155" i="1"/>
  <c r="E7155" i="1"/>
  <c r="C7155" i="1"/>
  <c r="G7154" i="1"/>
  <c r="E7154" i="1"/>
  <c r="C7154" i="1"/>
  <c r="G7153" i="1"/>
  <c r="E7153" i="1"/>
  <c r="C7153" i="1"/>
  <c r="G7152" i="1"/>
  <c r="E7152" i="1"/>
  <c r="C7152" i="1"/>
  <c r="G7151" i="1"/>
  <c r="E7151" i="1"/>
  <c r="C7151" i="1"/>
  <c r="G7150" i="1"/>
  <c r="E7150" i="1"/>
  <c r="C7150" i="1"/>
  <c r="G7149" i="1"/>
  <c r="E7149" i="1"/>
  <c r="C7149" i="1"/>
  <c r="G7148" i="1"/>
  <c r="E7148" i="1"/>
  <c r="C7148" i="1"/>
  <c r="G7147" i="1"/>
  <c r="E7147" i="1"/>
  <c r="C7147" i="1"/>
  <c r="G7146" i="1"/>
  <c r="E7146" i="1"/>
  <c r="C7146" i="1"/>
  <c r="G7145" i="1"/>
  <c r="E7145" i="1"/>
  <c r="C7145" i="1"/>
  <c r="G7144" i="1"/>
  <c r="E7144" i="1"/>
  <c r="C7144" i="1"/>
  <c r="G7143" i="1"/>
  <c r="E7143" i="1"/>
  <c r="C7143" i="1"/>
  <c r="G7142" i="1"/>
  <c r="E7142" i="1"/>
  <c r="C7142" i="1"/>
  <c r="G7141" i="1"/>
  <c r="E7141" i="1"/>
  <c r="C7141" i="1"/>
  <c r="G7140" i="1"/>
  <c r="E7140" i="1"/>
  <c r="C7140" i="1"/>
  <c r="G7139" i="1"/>
  <c r="E7139" i="1"/>
  <c r="C7139" i="1"/>
  <c r="G7138" i="1"/>
  <c r="E7138" i="1"/>
  <c r="C7138" i="1"/>
  <c r="G7137" i="1"/>
  <c r="E7137" i="1"/>
  <c r="C7137" i="1"/>
  <c r="G7136" i="1"/>
  <c r="E7136" i="1"/>
  <c r="C7136" i="1"/>
  <c r="G7135" i="1"/>
  <c r="E7135" i="1"/>
  <c r="C7135" i="1"/>
  <c r="G7134" i="1"/>
  <c r="E7134" i="1"/>
  <c r="C7134" i="1"/>
  <c r="G7133" i="1"/>
  <c r="E7133" i="1"/>
  <c r="C7133" i="1"/>
  <c r="G7132" i="1"/>
  <c r="E7132" i="1"/>
  <c r="C7132" i="1"/>
  <c r="G7131" i="1"/>
  <c r="E7131" i="1"/>
  <c r="C7131" i="1"/>
  <c r="G7130" i="1"/>
  <c r="E7130" i="1"/>
  <c r="C7130" i="1"/>
  <c r="G7129" i="1"/>
  <c r="E7129" i="1"/>
  <c r="C7129" i="1"/>
  <c r="G7128" i="1"/>
  <c r="E7128" i="1"/>
  <c r="C7128" i="1"/>
  <c r="G7127" i="1"/>
  <c r="E7127" i="1"/>
  <c r="C7127" i="1"/>
  <c r="G7126" i="1"/>
  <c r="E7126" i="1"/>
  <c r="C7126" i="1"/>
  <c r="G7125" i="1"/>
  <c r="E7125" i="1"/>
  <c r="C7125" i="1"/>
  <c r="G7124" i="1"/>
  <c r="E7124" i="1"/>
  <c r="C7124" i="1"/>
  <c r="G7123" i="1"/>
  <c r="E7123" i="1"/>
  <c r="C7123" i="1"/>
  <c r="G7122" i="1"/>
  <c r="E7122" i="1"/>
  <c r="C7122" i="1"/>
  <c r="G7121" i="1"/>
  <c r="E7121" i="1"/>
  <c r="C7121" i="1"/>
  <c r="G7120" i="1"/>
  <c r="E7120" i="1"/>
  <c r="C7120" i="1"/>
  <c r="G7119" i="1"/>
  <c r="E7119" i="1"/>
  <c r="C7119" i="1"/>
  <c r="G7118" i="1"/>
  <c r="E7118" i="1"/>
  <c r="C7118" i="1"/>
  <c r="G7117" i="1"/>
  <c r="E7117" i="1"/>
  <c r="C7117" i="1"/>
  <c r="G7116" i="1"/>
  <c r="E7116" i="1"/>
  <c r="C7116" i="1"/>
  <c r="G7115" i="1"/>
  <c r="E7115" i="1"/>
  <c r="C7115" i="1"/>
  <c r="G7114" i="1"/>
  <c r="E7114" i="1"/>
  <c r="C7114" i="1"/>
  <c r="G7113" i="1"/>
  <c r="E7113" i="1"/>
  <c r="C7113" i="1"/>
  <c r="G7112" i="1"/>
  <c r="E7112" i="1"/>
  <c r="C7112" i="1"/>
  <c r="G7111" i="1"/>
  <c r="E7111" i="1"/>
  <c r="C7111" i="1"/>
  <c r="G7110" i="1"/>
  <c r="E7110" i="1"/>
  <c r="C7110" i="1"/>
  <c r="G7109" i="1"/>
  <c r="E7109" i="1"/>
  <c r="C7109" i="1"/>
  <c r="G7108" i="1"/>
  <c r="E7108" i="1"/>
  <c r="C7108" i="1"/>
  <c r="G7107" i="1"/>
  <c r="E7107" i="1"/>
  <c r="C7107" i="1"/>
  <c r="G7106" i="1"/>
  <c r="E7106" i="1"/>
  <c r="C7106" i="1"/>
  <c r="G7105" i="1"/>
  <c r="E7105" i="1"/>
  <c r="C7105" i="1"/>
  <c r="G7104" i="1"/>
  <c r="E7104" i="1"/>
  <c r="C7104" i="1"/>
  <c r="G7103" i="1"/>
  <c r="E7103" i="1"/>
  <c r="C7103" i="1"/>
  <c r="G7102" i="1"/>
  <c r="E7102" i="1"/>
  <c r="C7102" i="1"/>
  <c r="G7101" i="1"/>
  <c r="E7101" i="1"/>
  <c r="C7101" i="1"/>
  <c r="G7100" i="1"/>
  <c r="E7100" i="1"/>
  <c r="C7100" i="1"/>
  <c r="G7099" i="1"/>
  <c r="E7099" i="1"/>
  <c r="C7099" i="1"/>
  <c r="G7098" i="1"/>
  <c r="E7098" i="1"/>
  <c r="C7098" i="1"/>
  <c r="G7097" i="1"/>
  <c r="E7097" i="1"/>
  <c r="C7097" i="1"/>
  <c r="G7096" i="1"/>
  <c r="E7096" i="1"/>
  <c r="C7096" i="1"/>
  <c r="G7095" i="1"/>
  <c r="E7095" i="1"/>
  <c r="C7095" i="1"/>
  <c r="G7094" i="1"/>
  <c r="E7094" i="1"/>
  <c r="C7094" i="1"/>
  <c r="G7093" i="1"/>
  <c r="E7093" i="1"/>
  <c r="C7093" i="1"/>
  <c r="G7092" i="1"/>
  <c r="E7092" i="1"/>
  <c r="C7092" i="1"/>
  <c r="G7091" i="1"/>
  <c r="E7091" i="1"/>
  <c r="C7091" i="1"/>
  <c r="G7090" i="1"/>
  <c r="E7090" i="1"/>
  <c r="C7090" i="1"/>
  <c r="G7089" i="1"/>
  <c r="E7089" i="1"/>
  <c r="C7089" i="1"/>
  <c r="G7088" i="1"/>
  <c r="E7088" i="1"/>
  <c r="C7088" i="1"/>
  <c r="G7087" i="1"/>
  <c r="E7087" i="1"/>
  <c r="C7087" i="1"/>
  <c r="G7086" i="1"/>
  <c r="E7086" i="1"/>
  <c r="C7086" i="1"/>
  <c r="G7085" i="1"/>
  <c r="E7085" i="1"/>
  <c r="C7085" i="1"/>
  <c r="G7084" i="1"/>
  <c r="E7084" i="1"/>
  <c r="C7084" i="1"/>
  <c r="G7083" i="1"/>
  <c r="E7083" i="1"/>
  <c r="C7083" i="1"/>
  <c r="G7082" i="1"/>
  <c r="E7082" i="1"/>
  <c r="C7082" i="1"/>
  <c r="G7081" i="1"/>
  <c r="E7081" i="1"/>
  <c r="C7081" i="1"/>
  <c r="G7080" i="1"/>
  <c r="E7080" i="1"/>
  <c r="C7080" i="1"/>
  <c r="G7079" i="1"/>
  <c r="E7079" i="1"/>
  <c r="C7079" i="1"/>
  <c r="G7078" i="1"/>
  <c r="E7078" i="1"/>
  <c r="C7078" i="1"/>
  <c r="G7077" i="1"/>
  <c r="E7077" i="1"/>
  <c r="C7077" i="1"/>
  <c r="G7076" i="1"/>
  <c r="E7076" i="1"/>
  <c r="C7076" i="1"/>
  <c r="G7075" i="1"/>
  <c r="E7075" i="1"/>
  <c r="C7075" i="1"/>
  <c r="G7074" i="1"/>
  <c r="E7074" i="1"/>
  <c r="C7074" i="1"/>
  <c r="G7073" i="1"/>
  <c r="E7073" i="1"/>
  <c r="C7073" i="1"/>
  <c r="G7072" i="1"/>
  <c r="E7072" i="1"/>
  <c r="C7072" i="1"/>
  <c r="G7071" i="1"/>
  <c r="E7071" i="1"/>
  <c r="C7071" i="1"/>
  <c r="G7070" i="1"/>
  <c r="E7070" i="1"/>
  <c r="C7070" i="1"/>
  <c r="G7069" i="1"/>
  <c r="E7069" i="1"/>
  <c r="C7069" i="1"/>
  <c r="G7068" i="1"/>
  <c r="E7068" i="1"/>
  <c r="C7068" i="1"/>
  <c r="G7067" i="1"/>
  <c r="E7067" i="1"/>
  <c r="C7067" i="1"/>
  <c r="G7066" i="1"/>
  <c r="E7066" i="1"/>
  <c r="C7066" i="1"/>
  <c r="G7065" i="1"/>
  <c r="E7065" i="1"/>
  <c r="C7065" i="1"/>
  <c r="G7064" i="1"/>
  <c r="E7064" i="1"/>
  <c r="C7064" i="1"/>
  <c r="G7063" i="1"/>
  <c r="E7063" i="1"/>
  <c r="C7063" i="1"/>
  <c r="G7062" i="1"/>
  <c r="E7062" i="1"/>
  <c r="C7062" i="1"/>
  <c r="G7061" i="1"/>
  <c r="E7061" i="1"/>
  <c r="C7061" i="1"/>
  <c r="G7060" i="1"/>
  <c r="E7060" i="1"/>
  <c r="C7060" i="1"/>
  <c r="G7059" i="1"/>
  <c r="E7059" i="1"/>
  <c r="C7059" i="1"/>
  <c r="G7058" i="1"/>
  <c r="E7058" i="1"/>
  <c r="C7058" i="1"/>
  <c r="G7057" i="1"/>
  <c r="E7057" i="1"/>
  <c r="C7057" i="1"/>
  <c r="G7056" i="1"/>
  <c r="E7056" i="1"/>
  <c r="C7056" i="1"/>
  <c r="G7055" i="1"/>
  <c r="E7055" i="1"/>
  <c r="C7055" i="1"/>
  <c r="G7054" i="1"/>
  <c r="E7054" i="1"/>
  <c r="C7054" i="1"/>
  <c r="G7053" i="1"/>
  <c r="E7053" i="1"/>
  <c r="C7053" i="1"/>
  <c r="G7052" i="1"/>
  <c r="E7052" i="1"/>
  <c r="C7052" i="1"/>
  <c r="G7051" i="1"/>
  <c r="E7051" i="1"/>
  <c r="C7051" i="1"/>
  <c r="G7050" i="1"/>
  <c r="E7050" i="1"/>
  <c r="C7050" i="1"/>
  <c r="G7049" i="1"/>
  <c r="E7049" i="1"/>
  <c r="C7049" i="1"/>
  <c r="G7048" i="1"/>
  <c r="E7048" i="1"/>
  <c r="C7048" i="1"/>
  <c r="G7047" i="1"/>
  <c r="E7047" i="1"/>
  <c r="C7047" i="1"/>
  <c r="G7046" i="1"/>
  <c r="E7046" i="1"/>
  <c r="C7046" i="1"/>
  <c r="G7045" i="1"/>
  <c r="E7045" i="1"/>
  <c r="C7045" i="1"/>
  <c r="G7044" i="1"/>
  <c r="E7044" i="1"/>
  <c r="C7044" i="1"/>
  <c r="G7043" i="1"/>
  <c r="E7043" i="1"/>
  <c r="C7043" i="1"/>
  <c r="G7042" i="1"/>
  <c r="E7042" i="1"/>
  <c r="C7042" i="1"/>
  <c r="G7041" i="1"/>
  <c r="E7041" i="1"/>
  <c r="C7041" i="1"/>
  <c r="G7040" i="1"/>
  <c r="E7040" i="1"/>
  <c r="C7040" i="1"/>
  <c r="G7039" i="1"/>
  <c r="E7039" i="1"/>
  <c r="C7039" i="1"/>
  <c r="G7038" i="1"/>
  <c r="E7038" i="1"/>
  <c r="C7038" i="1"/>
  <c r="G7037" i="1"/>
  <c r="E7037" i="1"/>
  <c r="C7037" i="1"/>
  <c r="G7036" i="1"/>
  <c r="E7036" i="1"/>
  <c r="C7036" i="1"/>
  <c r="G7035" i="1"/>
  <c r="E7035" i="1"/>
  <c r="C7035" i="1"/>
  <c r="G7034" i="1"/>
  <c r="E7034" i="1"/>
  <c r="C7034" i="1"/>
  <c r="G7033" i="1"/>
  <c r="E7033" i="1"/>
  <c r="C7033" i="1"/>
  <c r="G7032" i="1"/>
  <c r="E7032" i="1"/>
  <c r="C7032" i="1"/>
  <c r="G7031" i="1"/>
  <c r="E7031" i="1"/>
  <c r="C7031" i="1"/>
  <c r="G7030" i="1"/>
  <c r="E7030" i="1"/>
  <c r="C7030" i="1"/>
  <c r="G7029" i="1"/>
  <c r="E7029" i="1"/>
  <c r="C7029" i="1"/>
  <c r="G7028" i="1"/>
  <c r="E7028" i="1"/>
  <c r="C7028" i="1"/>
  <c r="G7027" i="1"/>
  <c r="E7027" i="1"/>
  <c r="C7027" i="1"/>
  <c r="G7026" i="1"/>
  <c r="E7026" i="1"/>
  <c r="C7026" i="1"/>
  <c r="G7025" i="1"/>
  <c r="E7025" i="1"/>
  <c r="C7025" i="1"/>
  <c r="G7024" i="1"/>
  <c r="E7024" i="1"/>
  <c r="C7024" i="1"/>
  <c r="G7023" i="1"/>
  <c r="E7023" i="1"/>
  <c r="C7023" i="1"/>
  <c r="G7022" i="1"/>
  <c r="E7022" i="1"/>
  <c r="C7022" i="1"/>
  <c r="G7021" i="1"/>
  <c r="E7021" i="1"/>
  <c r="C7021" i="1"/>
  <c r="G7020" i="1"/>
  <c r="E7020" i="1"/>
  <c r="C7020" i="1"/>
  <c r="G7019" i="1"/>
  <c r="E7019" i="1"/>
  <c r="C7019" i="1"/>
  <c r="G7018" i="1"/>
  <c r="E7018" i="1"/>
  <c r="C7018" i="1"/>
  <c r="G7017" i="1"/>
  <c r="E7017" i="1"/>
  <c r="C7017" i="1"/>
  <c r="G7016" i="1"/>
  <c r="E7016" i="1"/>
  <c r="C7016" i="1"/>
  <c r="G7015" i="1"/>
  <c r="E7015" i="1"/>
  <c r="C7015" i="1"/>
  <c r="G7014" i="1"/>
  <c r="E7014" i="1"/>
  <c r="C7014" i="1"/>
  <c r="G7013" i="1"/>
  <c r="E7013" i="1"/>
  <c r="C7013" i="1"/>
  <c r="G7012" i="1"/>
  <c r="E7012" i="1"/>
  <c r="C7012" i="1"/>
  <c r="G7011" i="1"/>
  <c r="E7011" i="1"/>
  <c r="C7011" i="1"/>
  <c r="G7010" i="1"/>
  <c r="E7010" i="1"/>
  <c r="C7010" i="1"/>
  <c r="G7009" i="1"/>
  <c r="E7009" i="1"/>
  <c r="C7009" i="1"/>
  <c r="G7008" i="1"/>
  <c r="E7008" i="1"/>
  <c r="C7008" i="1"/>
  <c r="G7007" i="1"/>
  <c r="E7007" i="1"/>
  <c r="C7007" i="1"/>
  <c r="G7006" i="1"/>
  <c r="E7006" i="1"/>
  <c r="C7006" i="1"/>
  <c r="G7005" i="1"/>
  <c r="E7005" i="1"/>
  <c r="C7005" i="1"/>
  <c r="G7004" i="1"/>
  <c r="E7004" i="1"/>
  <c r="C7004" i="1"/>
  <c r="G7003" i="1"/>
  <c r="E7003" i="1"/>
  <c r="C7003" i="1"/>
  <c r="G7002" i="1"/>
  <c r="E7002" i="1"/>
  <c r="C7002" i="1"/>
  <c r="G7001" i="1"/>
  <c r="E7001" i="1"/>
  <c r="C7001" i="1"/>
  <c r="G7000" i="1"/>
  <c r="E7000" i="1"/>
  <c r="C7000" i="1"/>
  <c r="G6999" i="1"/>
  <c r="E6999" i="1"/>
  <c r="C6999" i="1"/>
  <c r="G6998" i="1"/>
  <c r="E6998" i="1"/>
  <c r="C6998" i="1"/>
  <c r="G6997" i="1"/>
  <c r="E6997" i="1"/>
  <c r="C6997" i="1"/>
  <c r="G6996" i="1"/>
  <c r="E6996" i="1"/>
  <c r="C6996" i="1"/>
  <c r="G6995" i="1"/>
  <c r="E6995" i="1"/>
  <c r="C6995" i="1"/>
  <c r="G6994" i="1"/>
  <c r="E6994" i="1"/>
  <c r="C6994" i="1"/>
  <c r="G6993" i="1"/>
  <c r="E6993" i="1"/>
  <c r="C6993" i="1"/>
  <c r="G6992" i="1"/>
  <c r="E6992" i="1"/>
  <c r="C6992" i="1"/>
  <c r="G6991" i="1"/>
  <c r="E6991" i="1"/>
  <c r="C6991" i="1"/>
  <c r="G6990" i="1"/>
  <c r="E6990" i="1"/>
  <c r="C6990" i="1"/>
  <c r="G6989" i="1"/>
  <c r="E6989" i="1"/>
  <c r="C6989" i="1"/>
  <c r="G6988" i="1"/>
  <c r="E6988" i="1"/>
  <c r="C6988" i="1"/>
  <c r="G6987" i="1"/>
  <c r="E6987" i="1"/>
  <c r="C6987" i="1"/>
  <c r="G6986" i="1"/>
  <c r="E6986" i="1"/>
  <c r="C6986" i="1"/>
  <c r="G6985" i="1"/>
  <c r="E6985" i="1"/>
  <c r="C6985" i="1"/>
  <c r="G6984" i="1"/>
  <c r="E6984" i="1"/>
  <c r="C6984" i="1"/>
  <c r="G6983" i="1"/>
  <c r="E6983" i="1"/>
  <c r="C6983" i="1"/>
  <c r="G6982" i="1"/>
  <c r="E6982" i="1"/>
  <c r="C6982" i="1"/>
  <c r="G6981" i="1"/>
  <c r="E6981" i="1"/>
  <c r="C6981" i="1"/>
  <c r="G6980" i="1"/>
  <c r="E6980" i="1"/>
  <c r="C6980" i="1"/>
  <c r="G6979" i="1"/>
  <c r="E6979" i="1"/>
  <c r="C6979" i="1"/>
  <c r="G6978" i="1"/>
  <c r="E6978" i="1"/>
  <c r="C6978" i="1"/>
  <c r="G6977" i="1"/>
  <c r="E6977" i="1"/>
  <c r="C6977" i="1"/>
  <c r="G6976" i="1"/>
  <c r="E6976" i="1"/>
  <c r="C6976" i="1"/>
  <c r="G6975" i="1"/>
  <c r="E6975" i="1"/>
  <c r="C6975" i="1"/>
  <c r="G6974" i="1"/>
  <c r="E6974" i="1"/>
  <c r="C6974" i="1"/>
  <c r="G6973" i="1"/>
  <c r="E6973" i="1"/>
  <c r="C6973" i="1"/>
  <c r="G6972" i="1"/>
  <c r="E6972" i="1"/>
  <c r="C6972" i="1"/>
  <c r="G6971" i="1"/>
  <c r="E6971" i="1"/>
  <c r="C6971" i="1"/>
  <c r="G6970" i="1"/>
  <c r="E6970" i="1"/>
  <c r="C6970" i="1"/>
  <c r="G6969" i="1"/>
  <c r="E6969" i="1"/>
  <c r="C6969" i="1"/>
  <c r="G6968" i="1"/>
  <c r="E6968" i="1"/>
  <c r="C6968" i="1"/>
  <c r="G6967" i="1"/>
  <c r="E6967" i="1"/>
  <c r="C6967" i="1"/>
  <c r="G6966" i="1"/>
  <c r="E6966" i="1"/>
  <c r="C6966" i="1"/>
  <c r="G6965" i="1"/>
  <c r="E6965" i="1"/>
  <c r="C6965" i="1"/>
  <c r="G6964" i="1"/>
  <c r="E6964" i="1"/>
  <c r="C6964" i="1"/>
  <c r="G6963" i="1"/>
  <c r="E6963" i="1"/>
  <c r="C6963" i="1"/>
  <c r="G6962" i="1"/>
  <c r="E6962" i="1"/>
  <c r="C6962" i="1"/>
  <c r="G6961" i="1"/>
  <c r="E6961" i="1"/>
  <c r="C6961" i="1"/>
  <c r="G6960" i="1"/>
  <c r="E6960" i="1"/>
  <c r="C6960" i="1"/>
  <c r="G6959" i="1"/>
  <c r="E6959" i="1"/>
  <c r="C6959" i="1"/>
  <c r="G6958" i="1"/>
  <c r="E6958" i="1"/>
  <c r="C6958" i="1"/>
  <c r="G6957" i="1"/>
  <c r="E6957" i="1"/>
  <c r="C6957" i="1"/>
  <c r="G6956" i="1"/>
  <c r="E6956" i="1"/>
  <c r="C6956" i="1"/>
  <c r="G6955" i="1"/>
  <c r="E6955" i="1"/>
  <c r="C6955" i="1"/>
  <c r="G6954" i="1"/>
  <c r="E6954" i="1"/>
  <c r="C6954" i="1"/>
  <c r="G6953" i="1"/>
  <c r="E6953" i="1"/>
  <c r="C6953" i="1"/>
  <c r="G6952" i="1"/>
  <c r="E6952" i="1"/>
  <c r="C6952" i="1"/>
  <c r="G6951" i="1"/>
  <c r="E6951" i="1"/>
  <c r="C6951" i="1"/>
  <c r="G6950" i="1"/>
  <c r="E6950" i="1"/>
  <c r="C6950" i="1"/>
  <c r="G6949" i="1"/>
  <c r="E6949" i="1"/>
  <c r="C6949" i="1"/>
  <c r="G6948" i="1"/>
  <c r="E6948" i="1"/>
  <c r="C6948" i="1"/>
  <c r="G6947" i="1"/>
  <c r="E6947" i="1"/>
  <c r="C6947" i="1"/>
  <c r="G6946" i="1"/>
  <c r="E6946" i="1"/>
  <c r="C6946" i="1"/>
  <c r="G6945" i="1"/>
  <c r="E6945" i="1"/>
  <c r="C6945" i="1"/>
  <c r="G6944" i="1"/>
  <c r="E6944" i="1"/>
  <c r="C6944" i="1"/>
  <c r="G6943" i="1"/>
  <c r="E6943" i="1"/>
  <c r="C6943" i="1"/>
  <c r="G6942" i="1"/>
  <c r="E6942" i="1"/>
  <c r="C6942" i="1"/>
  <c r="G6941" i="1"/>
  <c r="E6941" i="1"/>
  <c r="C6941" i="1"/>
  <c r="G6940" i="1"/>
  <c r="E6940" i="1"/>
  <c r="C6940" i="1"/>
  <c r="G6939" i="1"/>
  <c r="E6939" i="1"/>
  <c r="C6939" i="1"/>
  <c r="G6938" i="1"/>
  <c r="E6938" i="1"/>
  <c r="C6938" i="1"/>
  <c r="G6937" i="1"/>
  <c r="E6937" i="1"/>
  <c r="C6937" i="1"/>
  <c r="G6936" i="1"/>
  <c r="E6936" i="1"/>
  <c r="C6936" i="1"/>
  <c r="G6935" i="1"/>
  <c r="E6935" i="1"/>
  <c r="C6935" i="1"/>
  <c r="G6934" i="1"/>
  <c r="E6934" i="1"/>
  <c r="C6934" i="1"/>
  <c r="G6933" i="1"/>
  <c r="E6933" i="1"/>
  <c r="C6933" i="1"/>
  <c r="G6932" i="1"/>
  <c r="E6932" i="1"/>
  <c r="C6932" i="1"/>
  <c r="G6931" i="1"/>
  <c r="E6931" i="1"/>
  <c r="C6931" i="1"/>
  <c r="G6930" i="1"/>
  <c r="E6930" i="1"/>
  <c r="C6930" i="1"/>
  <c r="G6929" i="1"/>
  <c r="E6929" i="1"/>
  <c r="C6929" i="1"/>
  <c r="G6928" i="1"/>
  <c r="E6928" i="1"/>
  <c r="C6928" i="1"/>
  <c r="G6927" i="1"/>
  <c r="E6927" i="1"/>
  <c r="C6927" i="1"/>
  <c r="G6926" i="1"/>
  <c r="E6926" i="1"/>
  <c r="C6926" i="1"/>
  <c r="G6925" i="1"/>
  <c r="E6925" i="1"/>
  <c r="C6925" i="1"/>
  <c r="G6924" i="1"/>
  <c r="E6924" i="1"/>
  <c r="C6924" i="1"/>
  <c r="G6923" i="1"/>
  <c r="E6923" i="1"/>
  <c r="C6923" i="1"/>
  <c r="G6922" i="1"/>
  <c r="E6922" i="1"/>
  <c r="C6922" i="1"/>
  <c r="G6921" i="1"/>
  <c r="E6921" i="1"/>
  <c r="C6921" i="1"/>
  <c r="G6920" i="1"/>
  <c r="E6920" i="1"/>
  <c r="C6920" i="1"/>
  <c r="G6919" i="1"/>
  <c r="E6919" i="1"/>
  <c r="C6919" i="1"/>
  <c r="G6918" i="1"/>
  <c r="E6918" i="1"/>
  <c r="C6918" i="1"/>
  <c r="G6917" i="1"/>
  <c r="E6917" i="1"/>
  <c r="C6917" i="1"/>
  <c r="G6916" i="1"/>
  <c r="E6916" i="1"/>
  <c r="C6916" i="1"/>
  <c r="G6915" i="1"/>
  <c r="E6915" i="1"/>
  <c r="C6915" i="1"/>
  <c r="G6914" i="1"/>
  <c r="E6914" i="1"/>
  <c r="C6914" i="1"/>
  <c r="G6913" i="1"/>
  <c r="E6913" i="1"/>
  <c r="C6913" i="1"/>
  <c r="G6912" i="1"/>
  <c r="E6912" i="1"/>
  <c r="C6912" i="1"/>
  <c r="G6911" i="1"/>
  <c r="E6911" i="1"/>
  <c r="C6911" i="1"/>
  <c r="G6910" i="1"/>
  <c r="E6910" i="1"/>
  <c r="C6910" i="1"/>
  <c r="G6909" i="1"/>
  <c r="E6909" i="1"/>
  <c r="C6909" i="1"/>
  <c r="G6908" i="1"/>
  <c r="E6908" i="1"/>
  <c r="C6908" i="1"/>
  <c r="G6907" i="1"/>
  <c r="E6907" i="1"/>
  <c r="C6907" i="1"/>
  <c r="G6906" i="1"/>
  <c r="E6906" i="1"/>
  <c r="C6906" i="1"/>
  <c r="G6905" i="1"/>
  <c r="E6905" i="1"/>
  <c r="C6905" i="1"/>
  <c r="G6904" i="1"/>
  <c r="E6904" i="1"/>
  <c r="C6904" i="1"/>
  <c r="G6903" i="1"/>
  <c r="E6903" i="1"/>
  <c r="C6903" i="1"/>
  <c r="G6902" i="1"/>
  <c r="E6902" i="1"/>
  <c r="C6902" i="1"/>
  <c r="G6901" i="1"/>
  <c r="E6901" i="1"/>
  <c r="C6901" i="1"/>
  <c r="G6900" i="1"/>
  <c r="E6900" i="1"/>
  <c r="C6900" i="1"/>
  <c r="G6899" i="1"/>
  <c r="E6899" i="1"/>
  <c r="C6899" i="1"/>
  <c r="G6898" i="1"/>
  <c r="E6898" i="1"/>
  <c r="C6898" i="1"/>
  <c r="G6897" i="1"/>
  <c r="E6897" i="1"/>
  <c r="C6897" i="1"/>
  <c r="G6896" i="1"/>
  <c r="E6896" i="1"/>
  <c r="C6896" i="1"/>
  <c r="G6895" i="1"/>
  <c r="E6895" i="1"/>
  <c r="C6895" i="1"/>
  <c r="G6894" i="1"/>
  <c r="E6894" i="1"/>
  <c r="C6894" i="1"/>
  <c r="G6893" i="1"/>
  <c r="E6893" i="1"/>
  <c r="C6893" i="1"/>
  <c r="G6892" i="1"/>
  <c r="E6892" i="1"/>
  <c r="C6892" i="1"/>
  <c r="G6891" i="1"/>
  <c r="E6891" i="1"/>
  <c r="C6891" i="1"/>
  <c r="G6890" i="1"/>
  <c r="E6890" i="1"/>
  <c r="C6890" i="1"/>
  <c r="G6889" i="1"/>
  <c r="E6889" i="1"/>
  <c r="C6889" i="1"/>
  <c r="G6888" i="1"/>
  <c r="E6888" i="1"/>
  <c r="C6888" i="1"/>
  <c r="G6887" i="1"/>
  <c r="E6887" i="1"/>
  <c r="C6887" i="1"/>
  <c r="G6886" i="1"/>
  <c r="E6886" i="1"/>
  <c r="C6886" i="1"/>
  <c r="G6885" i="1"/>
  <c r="E6885" i="1"/>
  <c r="C6885" i="1"/>
  <c r="G6884" i="1"/>
  <c r="E6884" i="1"/>
  <c r="C6884" i="1"/>
  <c r="G6883" i="1"/>
  <c r="E6883" i="1"/>
  <c r="C6883" i="1"/>
  <c r="G6882" i="1"/>
  <c r="E6882" i="1"/>
  <c r="C6882" i="1"/>
  <c r="G6881" i="1"/>
  <c r="E6881" i="1"/>
  <c r="C6881" i="1"/>
  <c r="G6880" i="1"/>
  <c r="E6880" i="1"/>
  <c r="C6880" i="1"/>
  <c r="G6879" i="1"/>
  <c r="E6879" i="1"/>
  <c r="C6879" i="1"/>
  <c r="G6878" i="1"/>
  <c r="E6878" i="1"/>
  <c r="C6878" i="1"/>
  <c r="G6877" i="1"/>
  <c r="E6877" i="1"/>
  <c r="C6877" i="1"/>
  <c r="G6876" i="1"/>
  <c r="E6876" i="1"/>
  <c r="C6876" i="1"/>
  <c r="G6875" i="1"/>
  <c r="E6875" i="1"/>
  <c r="C6875" i="1"/>
  <c r="G6874" i="1"/>
  <c r="E6874" i="1"/>
  <c r="C6874" i="1"/>
  <c r="G6873" i="1"/>
  <c r="E6873" i="1"/>
  <c r="C6873" i="1"/>
  <c r="G6872" i="1"/>
  <c r="E6872" i="1"/>
  <c r="C6872" i="1"/>
  <c r="G6871" i="1"/>
  <c r="E6871" i="1"/>
  <c r="C6871" i="1"/>
  <c r="G6870" i="1"/>
  <c r="E6870" i="1"/>
  <c r="C6870" i="1"/>
  <c r="G6869" i="1"/>
  <c r="E6869" i="1"/>
  <c r="C6869" i="1"/>
  <c r="G6868" i="1"/>
  <c r="E6868" i="1"/>
  <c r="C6868" i="1"/>
  <c r="G6867" i="1"/>
  <c r="E6867" i="1"/>
  <c r="C6867" i="1"/>
  <c r="G6866" i="1"/>
  <c r="E6866" i="1"/>
  <c r="C6866" i="1"/>
  <c r="G6865" i="1"/>
  <c r="E6865" i="1"/>
  <c r="C6865" i="1"/>
  <c r="G6864" i="1"/>
  <c r="E6864" i="1"/>
  <c r="C6864" i="1"/>
  <c r="G6863" i="1"/>
  <c r="E6863" i="1"/>
  <c r="C6863" i="1"/>
  <c r="G6862" i="1"/>
  <c r="E6862" i="1"/>
  <c r="C6862" i="1"/>
  <c r="G6861" i="1"/>
  <c r="E6861" i="1"/>
  <c r="C6861" i="1"/>
  <c r="G6860" i="1"/>
  <c r="E6860" i="1"/>
  <c r="C6860" i="1"/>
  <c r="G6859" i="1"/>
  <c r="E6859" i="1"/>
  <c r="C6859" i="1"/>
  <c r="G6858" i="1"/>
  <c r="E6858" i="1"/>
  <c r="C6858" i="1"/>
  <c r="G6857" i="1"/>
  <c r="E6857" i="1"/>
  <c r="C6857" i="1"/>
  <c r="G6856" i="1"/>
  <c r="E6856" i="1"/>
  <c r="C6856" i="1"/>
  <c r="G6855" i="1"/>
  <c r="E6855" i="1"/>
  <c r="C6855" i="1"/>
  <c r="G6854" i="1"/>
  <c r="E6854" i="1"/>
  <c r="C6854" i="1"/>
  <c r="G6853" i="1"/>
  <c r="E6853" i="1"/>
  <c r="C6853" i="1"/>
  <c r="G6852" i="1"/>
  <c r="E6852" i="1"/>
  <c r="C6852" i="1"/>
  <c r="G6851" i="1"/>
  <c r="E6851" i="1"/>
  <c r="C6851" i="1"/>
  <c r="G6850" i="1"/>
  <c r="E6850" i="1"/>
  <c r="C6850" i="1"/>
  <c r="G6849" i="1"/>
  <c r="E6849" i="1"/>
  <c r="C6849" i="1"/>
  <c r="G6848" i="1"/>
  <c r="E6848" i="1"/>
  <c r="C6848" i="1"/>
  <c r="G6847" i="1"/>
  <c r="E6847" i="1"/>
  <c r="C6847" i="1"/>
  <c r="G6846" i="1"/>
  <c r="E6846" i="1"/>
  <c r="C6846" i="1"/>
  <c r="G6845" i="1"/>
  <c r="E6845" i="1"/>
  <c r="C6845" i="1"/>
  <c r="G6844" i="1"/>
  <c r="E6844" i="1"/>
  <c r="C6844" i="1"/>
  <c r="G6843" i="1"/>
  <c r="E6843" i="1"/>
  <c r="C6843" i="1"/>
  <c r="G6842" i="1"/>
  <c r="E6842" i="1"/>
  <c r="C6842" i="1"/>
  <c r="G6841" i="1"/>
  <c r="E6841" i="1"/>
  <c r="C6841" i="1"/>
  <c r="G6840" i="1"/>
  <c r="E6840" i="1"/>
  <c r="C6840" i="1"/>
  <c r="G6839" i="1"/>
  <c r="E6839" i="1"/>
  <c r="C6839" i="1"/>
  <c r="G6838" i="1"/>
  <c r="E6838" i="1"/>
  <c r="C6838" i="1"/>
  <c r="G6837" i="1"/>
  <c r="E6837" i="1"/>
  <c r="C6837" i="1"/>
  <c r="G6836" i="1"/>
  <c r="E6836" i="1"/>
  <c r="C6836" i="1"/>
  <c r="G6835" i="1"/>
  <c r="E6835" i="1"/>
  <c r="C6835" i="1"/>
  <c r="G6834" i="1"/>
  <c r="E6834" i="1"/>
  <c r="C6834" i="1"/>
  <c r="G6833" i="1"/>
  <c r="E6833" i="1"/>
  <c r="C6833" i="1"/>
  <c r="G6832" i="1"/>
  <c r="E6832" i="1"/>
  <c r="C6832" i="1"/>
  <c r="G6831" i="1"/>
  <c r="E6831" i="1"/>
  <c r="C6831" i="1"/>
  <c r="G6830" i="1"/>
  <c r="E6830" i="1"/>
  <c r="C6830" i="1"/>
  <c r="G6829" i="1"/>
  <c r="E6829" i="1"/>
  <c r="C6829" i="1"/>
  <c r="G6828" i="1"/>
  <c r="E6828" i="1"/>
  <c r="C6828" i="1"/>
  <c r="G6827" i="1"/>
  <c r="E6827" i="1"/>
  <c r="C6827" i="1"/>
  <c r="G6826" i="1"/>
  <c r="E6826" i="1"/>
  <c r="C6826" i="1"/>
  <c r="G6825" i="1"/>
  <c r="E6825" i="1"/>
  <c r="C6825" i="1"/>
  <c r="G6824" i="1"/>
  <c r="E6824" i="1"/>
  <c r="C6824" i="1"/>
  <c r="G6823" i="1"/>
  <c r="E6823" i="1"/>
  <c r="C6823" i="1"/>
  <c r="G6822" i="1"/>
  <c r="E6822" i="1"/>
  <c r="C6822" i="1"/>
  <c r="G6821" i="1"/>
  <c r="E6821" i="1"/>
  <c r="C6821" i="1"/>
  <c r="G6820" i="1"/>
  <c r="E6820" i="1"/>
  <c r="C6820" i="1"/>
  <c r="G6819" i="1"/>
  <c r="E6819" i="1"/>
  <c r="C6819" i="1"/>
  <c r="G6818" i="1"/>
  <c r="E6818" i="1"/>
  <c r="C6818" i="1"/>
  <c r="G6817" i="1"/>
  <c r="E6817" i="1"/>
  <c r="C6817" i="1"/>
  <c r="G6816" i="1"/>
  <c r="E6816" i="1"/>
  <c r="C6816" i="1"/>
  <c r="G6815" i="1"/>
  <c r="E6815" i="1"/>
  <c r="C6815" i="1"/>
  <c r="G6814" i="1"/>
  <c r="E6814" i="1"/>
  <c r="C6814" i="1"/>
  <c r="G6813" i="1"/>
  <c r="E6813" i="1"/>
  <c r="C6813" i="1"/>
  <c r="G6812" i="1"/>
  <c r="E6812" i="1"/>
  <c r="C6812" i="1"/>
  <c r="G6811" i="1"/>
  <c r="E6811" i="1"/>
  <c r="C6811" i="1"/>
  <c r="G6810" i="1"/>
  <c r="E6810" i="1"/>
  <c r="C6810" i="1"/>
  <c r="G6809" i="1"/>
  <c r="E6809" i="1"/>
  <c r="C6809" i="1"/>
  <c r="G6808" i="1"/>
  <c r="E6808" i="1"/>
  <c r="C6808" i="1"/>
  <c r="G6807" i="1"/>
  <c r="E6807" i="1"/>
  <c r="C6807" i="1"/>
  <c r="G6806" i="1"/>
  <c r="E6806" i="1"/>
  <c r="C6806" i="1"/>
  <c r="G6805" i="1"/>
  <c r="E6805" i="1"/>
  <c r="C6805" i="1"/>
  <c r="G6804" i="1"/>
  <c r="E6804" i="1"/>
  <c r="C6804" i="1"/>
  <c r="G6803" i="1"/>
  <c r="E6803" i="1"/>
  <c r="C6803" i="1"/>
  <c r="G6802" i="1"/>
  <c r="E6802" i="1"/>
  <c r="C6802" i="1"/>
  <c r="G6801" i="1"/>
  <c r="E6801" i="1"/>
  <c r="C6801" i="1"/>
  <c r="G6800" i="1"/>
  <c r="E6800" i="1"/>
  <c r="C6800" i="1"/>
  <c r="G6799" i="1"/>
  <c r="E6799" i="1"/>
  <c r="C6799" i="1"/>
  <c r="G6798" i="1"/>
  <c r="E6798" i="1"/>
  <c r="C6798" i="1"/>
  <c r="G6797" i="1"/>
  <c r="E6797" i="1"/>
  <c r="C6797" i="1"/>
  <c r="G6796" i="1"/>
  <c r="E6796" i="1"/>
  <c r="C6796" i="1"/>
  <c r="G6795" i="1"/>
  <c r="E6795" i="1"/>
  <c r="C6795" i="1"/>
  <c r="G6794" i="1"/>
  <c r="E6794" i="1"/>
  <c r="C6794" i="1"/>
  <c r="G6793" i="1"/>
  <c r="E6793" i="1"/>
  <c r="C6793" i="1"/>
  <c r="G6792" i="1"/>
  <c r="E6792" i="1"/>
  <c r="C6792" i="1"/>
  <c r="G6791" i="1"/>
  <c r="E6791" i="1"/>
  <c r="C6791" i="1"/>
  <c r="G6790" i="1"/>
  <c r="E6790" i="1"/>
  <c r="C6790" i="1"/>
  <c r="G6789" i="1"/>
  <c r="E6789" i="1"/>
  <c r="C6789" i="1"/>
  <c r="G6788" i="1"/>
  <c r="E6788" i="1"/>
  <c r="C6788" i="1"/>
  <c r="G6787" i="1"/>
  <c r="E6787" i="1"/>
  <c r="C6787" i="1"/>
  <c r="G6786" i="1"/>
  <c r="E6786" i="1"/>
  <c r="C6786" i="1"/>
  <c r="G6785" i="1"/>
  <c r="E6785" i="1"/>
  <c r="C6785" i="1"/>
  <c r="G6784" i="1"/>
  <c r="E6784" i="1"/>
  <c r="C6784" i="1"/>
  <c r="G6783" i="1"/>
  <c r="E6783" i="1"/>
  <c r="C6783" i="1"/>
  <c r="G6782" i="1"/>
  <c r="E6782" i="1"/>
  <c r="C6782" i="1"/>
  <c r="G6781" i="1"/>
  <c r="E6781" i="1"/>
  <c r="C6781" i="1"/>
  <c r="G6780" i="1"/>
  <c r="E6780" i="1"/>
  <c r="C6780" i="1"/>
  <c r="G6779" i="1"/>
  <c r="E6779" i="1"/>
  <c r="C6779" i="1"/>
  <c r="G6778" i="1"/>
  <c r="E6778" i="1"/>
  <c r="C6778" i="1"/>
  <c r="G6777" i="1"/>
  <c r="E6777" i="1"/>
  <c r="C6777" i="1"/>
  <c r="G6776" i="1"/>
  <c r="E6776" i="1"/>
  <c r="C6776" i="1"/>
  <c r="G6775" i="1"/>
  <c r="E6775" i="1"/>
  <c r="C6775" i="1"/>
  <c r="G6774" i="1"/>
  <c r="E6774" i="1"/>
  <c r="C6774" i="1"/>
  <c r="G6773" i="1"/>
  <c r="E6773" i="1"/>
  <c r="C6773" i="1"/>
  <c r="G6772" i="1"/>
  <c r="E6772" i="1"/>
  <c r="C6772" i="1"/>
  <c r="G6771" i="1"/>
  <c r="E6771" i="1"/>
  <c r="C6771" i="1"/>
  <c r="G6770" i="1"/>
  <c r="E6770" i="1"/>
  <c r="C6770" i="1"/>
  <c r="G6769" i="1"/>
  <c r="E6769" i="1"/>
  <c r="C6769" i="1"/>
  <c r="G6768" i="1"/>
  <c r="E6768" i="1"/>
  <c r="C6768" i="1"/>
  <c r="G6767" i="1"/>
  <c r="E6767" i="1"/>
  <c r="C6767" i="1"/>
  <c r="G6766" i="1"/>
  <c r="E6766" i="1"/>
  <c r="C6766" i="1"/>
  <c r="G6765" i="1"/>
  <c r="E6765" i="1"/>
  <c r="C6765" i="1"/>
  <c r="G6764" i="1"/>
  <c r="E6764" i="1"/>
  <c r="C6764" i="1"/>
  <c r="G6763" i="1"/>
  <c r="E6763" i="1"/>
  <c r="C6763" i="1"/>
  <c r="G6762" i="1"/>
  <c r="E6762" i="1"/>
  <c r="C6762" i="1"/>
  <c r="G6761" i="1"/>
  <c r="E6761" i="1"/>
  <c r="C6761" i="1"/>
  <c r="G6760" i="1"/>
  <c r="E6760" i="1"/>
  <c r="C6760" i="1"/>
  <c r="G6759" i="1"/>
  <c r="E6759" i="1"/>
  <c r="C6759" i="1"/>
  <c r="G6758" i="1"/>
  <c r="E6758" i="1"/>
  <c r="C6758" i="1"/>
  <c r="G6757" i="1"/>
  <c r="E6757" i="1"/>
  <c r="C6757" i="1"/>
  <c r="G6756" i="1"/>
  <c r="E6756" i="1"/>
  <c r="C6756" i="1"/>
  <c r="G6755" i="1"/>
  <c r="E6755" i="1"/>
  <c r="C6755" i="1"/>
  <c r="G6754" i="1"/>
  <c r="E6754" i="1"/>
  <c r="C6754" i="1"/>
  <c r="G6753" i="1"/>
  <c r="E6753" i="1"/>
  <c r="C6753" i="1"/>
  <c r="G6752" i="1"/>
  <c r="E6752" i="1"/>
  <c r="C6752" i="1"/>
  <c r="G6751" i="1"/>
  <c r="E6751" i="1"/>
  <c r="C6751" i="1"/>
  <c r="G6750" i="1"/>
  <c r="E6750" i="1"/>
  <c r="C6750" i="1"/>
  <c r="G6749" i="1"/>
  <c r="E6749" i="1"/>
  <c r="C6749" i="1"/>
  <c r="G6748" i="1"/>
  <c r="E6748" i="1"/>
  <c r="C6748" i="1"/>
  <c r="G6747" i="1"/>
  <c r="E6747" i="1"/>
  <c r="C6747" i="1"/>
  <c r="G6746" i="1"/>
  <c r="E6746" i="1"/>
  <c r="C6746" i="1"/>
  <c r="G6745" i="1"/>
  <c r="E6745" i="1"/>
  <c r="C6745" i="1"/>
  <c r="G6744" i="1"/>
  <c r="E6744" i="1"/>
  <c r="C6744" i="1"/>
  <c r="G6743" i="1"/>
  <c r="E6743" i="1"/>
  <c r="C6743" i="1"/>
  <c r="G6742" i="1"/>
  <c r="E6742" i="1"/>
  <c r="C6742" i="1"/>
  <c r="G6741" i="1"/>
  <c r="E6741" i="1"/>
  <c r="C6741" i="1"/>
  <c r="G6740" i="1"/>
  <c r="E6740" i="1"/>
  <c r="C6740" i="1"/>
  <c r="G6739" i="1"/>
  <c r="E6739" i="1"/>
  <c r="C6739" i="1"/>
  <c r="G6738" i="1"/>
  <c r="E6738" i="1"/>
  <c r="C6738" i="1"/>
  <c r="G6737" i="1"/>
  <c r="E6737" i="1"/>
  <c r="C6737" i="1"/>
  <c r="G6736" i="1"/>
  <c r="E6736" i="1"/>
  <c r="C6736" i="1"/>
  <c r="G6735" i="1"/>
  <c r="E6735" i="1"/>
  <c r="C6735" i="1"/>
  <c r="G6734" i="1"/>
  <c r="E6734" i="1"/>
  <c r="C6734" i="1"/>
  <c r="G6733" i="1"/>
  <c r="E6733" i="1"/>
  <c r="C6733" i="1"/>
  <c r="G6732" i="1"/>
  <c r="E6732" i="1"/>
  <c r="C6732" i="1"/>
  <c r="G6731" i="1"/>
  <c r="E6731" i="1"/>
  <c r="C6731" i="1"/>
  <c r="G6730" i="1"/>
  <c r="E6730" i="1"/>
  <c r="C6730" i="1"/>
  <c r="G6729" i="1"/>
  <c r="E6729" i="1"/>
  <c r="C6729" i="1"/>
  <c r="G6728" i="1"/>
  <c r="E6728" i="1"/>
  <c r="C6728" i="1"/>
  <c r="G6727" i="1"/>
  <c r="E6727" i="1"/>
  <c r="C6727" i="1"/>
  <c r="G6726" i="1"/>
  <c r="E6726" i="1"/>
  <c r="C6726" i="1"/>
  <c r="G6725" i="1"/>
  <c r="E6725" i="1"/>
  <c r="C6725" i="1"/>
  <c r="G6724" i="1"/>
  <c r="E6724" i="1"/>
  <c r="C6724" i="1"/>
  <c r="G6723" i="1"/>
  <c r="E6723" i="1"/>
  <c r="C6723" i="1"/>
  <c r="G6722" i="1"/>
  <c r="E6722" i="1"/>
  <c r="C6722" i="1"/>
  <c r="G6721" i="1"/>
  <c r="E6721" i="1"/>
  <c r="C6721" i="1"/>
  <c r="G6720" i="1"/>
  <c r="E6720" i="1"/>
  <c r="C6720" i="1"/>
  <c r="G6719" i="1"/>
  <c r="E6719" i="1"/>
  <c r="C6719" i="1"/>
  <c r="G6718" i="1"/>
  <c r="E6718" i="1"/>
  <c r="C6718" i="1"/>
  <c r="G6717" i="1"/>
  <c r="E6717" i="1"/>
  <c r="C6717" i="1"/>
  <c r="G6716" i="1"/>
  <c r="E6716" i="1"/>
  <c r="C6716" i="1"/>
  <c r="G6715" i="1"/>
  <c r="E6715" i="1"/>
  <c r="C6715" i="1"/>
  <c r="G6714" i="1"/>
  <c r="E6714" i="1"/>
  <c r="C6714" i="1"/>
  <c r="G6713" i="1"/>
  <c r="E6713" i="1"/>
  <c r="C6713" i="1"/>
  <c r="G6712" i="1"/>
  <c r="E6712" i="1"/>
  <c r="C6712" i="1"/>
  <c r="G6711" i="1"/>
  <c r="E6711" i="1"/>
  <c r="C6711" i="1"/>
  <c r="G6710" i="1"/>
  <c r="E6710" i="1"/>
  <c r="C6710" i="1"/>
  <c r="G6709" i="1"/>
  <c r="E6709" i="1"/>
  <c r="C6709" i="1"/>
  <c r="G6708" i="1"/>
  <c r="E6708" i="1"/>
  <c r="C6708" i="1"/>
  <c r="G6707" i="1"/>
  <c r="E6707" i="1"/>
  <c r="C6707" i="1"/>
  <c r="G6706" i="1"/>
  <c r="E6706" i="1"/>
  <c r="C6706" i="1"/>
  <c r="G6705" i="1"/>
  <c r="E6705" i="1"/>
  <c r="C6705" i="1"/>
  <c r="G6704" i="1"/>
  <c r="E6704" i="1"/>
  <c r="C6704" i="1"/>
  <c r="G6703" i="1"/>
  <c r="E6703" i="1"/>
  <c r="C6703" i="1"/>
  <c r="G6702" i="1"/>
  <c r="E6702" i="1"/>
  <c r="C6702" i="1"/>
  <c r="G6701" i="1"/>
  <c r="E6701" i="1"/>
  <c r="C6701" i="1"/>
  <c r="G6700" i="1"/>
  <c r="E6700" i="1"/>
  <c r="C6700" i="1"/>
  <c r="G6699" i="1"/>
  <c r="E6699" i="1"/>
  <c r="C6699" i="1"/>
  <c r="G6698" i="1"/>
  <c r="E6698" i="1"/>
  <c r="C6698" i="1"/>
  <c r="G6697" i="1"/>
  <c r="E6697" i="1"/>
  <c r="C6697" i="1"/>
  <c r="G6696" i="1"/>
  <c r="E6696" i="1"/>
  <c r="C6696" i="1"/>
  <c r="G6695" i="1"/>
  <c r="E6695" i="1"/>
  <c r="C6695" i="1"/>
  <c r="G6694" i="1"/>
  <c r="E6694" i="1"/>
  <c r="C6694" i="1"/>
  <c r="G6693" i="1"/>
  <c r="E6693" i="1"/>
  <c r="C6693" i="1"/>
  <c r="G6692" i="1"/>
  <c r="E6692" i="1"/>
  <c r="C6692" i="1"/>
  <c r="G6691" i="1"/>
  <c r="E6691" i="1"/>
  <c r="C6691" i="1"/>
  <c r="G6690" i="1"/>
  <c r="E6690" i="1"/>
  <c r="C6690" i="1"/>
  <c r="G6689" i="1"/>
  <c r="E6689" i="1"/>
  <c r="C6689" i="1"/>
  <c r="G6688" i="1"/>
  <c r="E6688" i="1"/>
  <c r="C6688" i="1"/>
  <c r="G6687" i="1"/>
  <c r="E6687" i="1"/>
  <c r="C6687" i="1"/>
  <c r="G6686" i="1"/>
  <c r="E6686" i="1"/>
  <c r="C6686" i="1"/>
  <c r="G6685" i="1"/>
  <c r="E6685" i="1"/>
  <c r="C6685" i="1"/>
  <c r="G6684" i="1"/>
  <c r="E6684" i="1"/>
  <c r="C6684" i="1"/>
  <c r="G6683" i="1"/>
  <c r="E6683" i="1"/>
  <c r="C6683" i="1"/>
  <c r="G6682" i="1"/>
  <c r="E6682" i="1"/>
  <c r="C6682" i="1"/>
  <c r="G6681" i="1"/>
  <c r="E6681" i="1"/>
  <c r="C6681" i="1"/>
  <c r="G6680" i="1"/>
  <c r="E6680" i="1"/>
  <c r="C6680" i="1"/>
  <c r="G6679" i="1"/>
  <c r="E6679" i="1"/>
  <c r="C6679" i="1"/>
  <c r="G6678" i="1"/>
  <c r="E6678" i="1"/>
  <c r="C6678" i="1"/>
  <c r="G6677" i="1"/>
  <c r="E6677" i="1"/>
  <c r="C6677" i="1"/>
  <c r="G6676" i="1"/>
  <c r="E6676" i="1"/>
  <c r="C6676" i="1"/>
  <c r="G6675" i="1"/>
  <c r="E6675" i="1"/>
  <c r="C6675" i="1"/>
  <c r="G6674" i="1"/>
  <c r="E6674" i="1"/>
  <c r="C6674" i="1"/>
  <c r="G6673" i="1"/>
  <c r="E6673" i="1"/>
  <c r="C6673" i="1"/>
  <c r="G6672" i="1"/>
  <c r="E6672" i="1"/>
  <c r="C6672" i="1"/>
  <c r="G6671" i="1"/>
  <c r="E6671" i="1"/>
  <c r="C6671" i="1"/>
  <c r="G6670" i="1"/>
  <c r="E6670" i="1"/>
  <c r="C6670" i="1"/>
  <c r="G6669" i="1"/>
  <c r="E6669" i="1"/>
  <c r="C6669" i="1"/>
  <c r="G6668" i="1"/>
  <c r="E6668" i="1"/>
  <c r="C6668" i="1"/>
  <c r="G6667" i="1"/>
  <c r="E6667" i="1"/>
  <c r="C6667" i="1"/>
  <c r="G6666" i="1"/>
  <c r="E6666" i="1"/>
  <c r="C6666" i="1"/>
  <c r="G6665" i="1"/>
  <c r="E6665" i="1"/>
  <c r="C6665" i="1"/>
  <c r="G6664" i="1"/>
  <c r="E6664" i="1"/>
  <c r="C6664" i="1"/>
  <c r="G6663" i="1"/>
  <c r="E6663" i="1"/>
  <c r="C6663" i="1"/>
  <c r="G6662" i="1"/>
  <c r="E6662" i="1"/>
  <c r="C6662" i="1"/>
  <c r="G6661" i="1"/>
  <c r="E6661" i="1"/>
  <c r="C6661" i="1"/>
  <c r="G6660" i="1"/>
  <c r="E6660" i="1"/>
  <c r="C6660" i="1"/>
  <c r="G6659" i="1"/>
  <c r="E6659" i="1"/>
  <c r="C6659" i="1"/>
  <c r="G6658" i="1"/>
  <c r="E6658" i="1"/>
  <c r="C6658" i="1"/>
  <c r="G6657" i="1"/>
  <c r="E6657" i="1"/>
  <c r="C6657" i="1"/>
  <c r="G6656" i="1"/>
  <c r="E6656" i="1"/>
  <c r="C6656" i="1"/>
  <c r="G6655" i="1"/>
  <c r="E6655" i="1"/>
  <c r="C6655" i="1"/>
  <c r="G6654" i="1"/>
  <c r="E6654" i="1"/>
  <c r="C6654" i="1"/>
  <c r="G6653" i="1"/>
  <c r="E6653" i="1"/>
  <c r="C6653" i="1"/>
  <c r="G6652" i="1"/>
  <c r="E6652" i="1"/>
  <c r="C6652" i="1"/>
  <c r="G6651" i="1"/>
  <c r="E6651" i="1"/>
  <c r="C6651" i="1"/>
  <c r="G6650" i="1"/>
  <c r="E6650" i="1"/>
  <c r="C6650" i="1"/>
  <c r="G6649" i="1"/>
  <c r="E6649" i="1"/>
  <c r="C6649" i="1"/>
  <c r="G6648" i="1"/>
  <c r="E6648" i="1"/>
  <c r="C6648" i="1"/>
  <c r="G6647" i="1"/>
  <c r="E6647" i="1"/>
  <c r="C6647" i="1"/>
  <c r="G6646" i="1"/>
  <c r="E6646" i="1"/>
  <c r="C6646" i="1"/>
  <c r="G6645" i="1"/>
  <c r="E6645" i="1"/>
  <c r="C6645" i="1"/>
  <c r="G6644" i="1"/>
  <c r="E6644" i="1"/>
  <c r="C6644" i="1"/>
  <c r="G6643" i="1"/>
  <c r="E6643" i="1"/>
  <c r="C6643" i="1"/>
  <c r="G6642" i="1"/>
  <c r="E6642" i="1"/>
  <c r="C6642" i="1"/>
  <c r="G6641" i="1"/>
  <c r="E6641" i="1"/>
  <c r="C6641" i="1"/>
  <c r="G6640" i="1"/>
  <c r="E6640" i="1"/>
  <c r="C6640" i="1"/>
  <c r="G6639" i="1"/>
  <c r="E6639" i="1"/>
  <c r="C6639" i="1"/>
  <c r="G6638" i="1"/>
  <c r="E6638" i="1"/>
  <c r="C6638" i="1"/>
  <c r="G6637" i="1"/>
  <c r="E6637" i="1"/>
  <c r="C6637" i="1"/>
  <c r="G6636" i="1"/>
  <c r="E6636" i="1"/>
  <c r="C6636" i="1"/>
  <c r="G6635" i="1"/>
  <c r="E6635" i="1"/>
  <c r="C6635" i="1"/>
  <c r="G6634" i="1"/>
  <c r="E6634" i="1"/>
  <c r="C6634" i="1"/>
  <c r="G6633" i="1"/>
  <c r="E6633" i="1"/>
  <c r="C6633" i="1"/>
  <c r="G6632" i="1"/>
  <c r="E6632" i="1"/>
  <c r="C6632" i="1"/>
  <c r="G6631" i="1"/>
  <c r="E6631" i="1"/>
  <c r="C6631" i="1"/>
  <c r="G6630" i="1"/>
  <c r="E6630" i="1"/>
  <c r="C6630" i="1"/>
  <c r="G6629" i="1"/>
  <c r="E6629" i="1"/>
  <c r="C6629" i="1"/>
  <c r="G6628" i="1"/>
  <c r="E6628" i="1"/>
  <c r="C6628" i="1"/>
  <c r="G6627" i="1"/>
  <c r="E6627" i="1"/>
  <c r="C6627" i="1"/>
  <c r="G6626" i="1"/>
  <c r="E6626" i="1"/>
  <c r="C6626" i="1"/>
  <c r="G6625" i="1"/>
  <c r="E6625" i="1"/>
  <c r="C6625" i="1"/>
  <c r="G6624" i="1"/>
  <c r="E6624" i="1"/>
  <c r="C6624" i="1"/>
  <c r="G6623" i="1"/>
  <c r="E6623" i="1"/>
  <c r="C6623" i="1"/>
  <c r="G6622" i="1"/>
  <c r="E6622" i="1"/>
  <c r="C6622" i="1"/>
  <c r="G6621" i="1"/>
  <c r="E6621" i="1"/>
  <c r="C6621" i="1"/>
  <c r="G6620" i="1"/>
  <c r="E6620" i="1"/>
  <c r="C6620" i="1"/>
  <c r="G6619" i="1"/>
  <c r="E6619" i="1"/>
  <c r="C6619" i="1"/>
  <c r="G6618" i="1"/>
  <c r="E6618" i="1"/>
  <c r="C6618" i="1"/>
  <c r="G6617" i="1"/>
  <c r="E6617" i="1"/>
  <c r="C6617" i="1"/>
  <c r="G6616" i="1"/>
  <c r="E6616" i="1"/>
  <c r="C6616" i="1"/>
  <c r="G6615" i="1"/>
  <c r="E6615" i="1"/>
  <c r="C6615" i="1"/>
  <c r="G6614" i="1"/>
  <c r="E6614" i="1"/>
  <c r="C6614" i="1"/>
  <c r="G6613" i="1"/>
  <c r="E6613" i="1"/>
  <c r="C6613" i="1"/>
  <c r="G6612" i="1"/>
  <c r="E6612" i="1"/>
  <c r="C6612" i="1"/>
  <c r="G6611" i="1"/>
  <c r="E6611" i="1"/>
  <c r="C6611" i="1"/>
  <c r="G6610" i="1"/>
  <c r="E6610" i="1"/>
  <c r="C6610" i="1"/>
  <c r="G6609" i="1"/>
  <c r="E6609" i="1"/>
  <c r="C6609" i="1"/>
  <c r="G6608" i="1"/>
  <c r="E6608" i="1"/>
  <c r="C6608" i="1"/>
  <c r="G6607" i="1"/>
  <c r="E6607" i="1"/>
  <c r="C6607" i="1"/>
  <c r="G6606" i="1"/>
  <c r="E6606" i="1"/>
  <c r="C6606" i="1"/>
  <c r="G6605" i="1"/>
  <c r="E6605" i="1"/>
  <c r="C6605" i="1"/>
  <c r="G6604" i="1"/>
  <c r="E6604" i="1"/>
  <c r="C6604" i="1"/>
  <c r="G6603" i="1"/>
  <c r="E6603" i="1"/>
  <c r="C6603" i="1"/>
  <c r="G6602" i="1"/>
  <c r="E6602" i="1"/>
  <c r="C6602" i="1"/>
  <c r="G6601" i="1"/>
  <c r="E6601" i="1"/>
  <c r="C6601" i="1"/>
  <c r="G6600" i="1"/>
  <c r="E6600" i="1"/>
  <c r="C6600" i="1"/>
  <c r="G6599" i="1"/>
  <c r="E6599" i="1"/>
  <c r="C6599" i="1"/>
  <c r="G6598" i="1"/>
  <c r="E6598" i="1"/>
  <c r="C6598" i="1"/>
  <c r="G6597" i="1"/>
  <c r="E6597" i="1"/>
  <c r="C6597" i="1"/>
  <c r="G6596" i="1"/>
  <c r="E6596" i="1"/>
  <c r="C6596" i="1"/>
  <c r="G6595" i="1"/>
  <c r="E6595" i="1"/>
  <c r="C6595" i="1"/>
  <c r="G6594" i="1"/>
  <c r="E6594" i="1"/>
  <c r="C6594" i="1"/>
  <c r="G6593" i="1"/>
  <c r="E6593" i="1"/>
  <c r="C6593" i="1"/>
  <c r="G6592" i="1"/>
  <c r="E6592" i="1"/>
  <c r="C6592" i="1"/>
  <c r="G6591" i="1"/>
  <c r="E6591" i="1"/>
  <c r="C6591" i="1"/>
  <c r="G6590" i="1"/>
  <c r="E6590" i="1"/>
  <c r="C6590" i="1"/>
  <c r="G6589" i="1"/>
  <c r="E6589" i="1"/>
  <c r="C6589" i="1"/>
  <c r="G6588" i="1"/>
  <c r="E6588" i="1"/>
  <c r="C6588" i="1"/>
  <c r="G6587" i="1"/>
  <c r="E6587" i="1"/>
  <c r="C6587" i="1"/>
  <c r="G6586" i="1"/>
  <c r="E6586" i="1"/>
  <c r="C6586" i="1"/>
  <c r="G6585" i="1"/>
  <c r="E6585" i="1"/>
  <c r="C6585" i="1"/>
  <c r="G6584" i="1"/>
  <c r="E6584" i="1"/>
  <c r="C6584" i="1"/>
  <c r="G6583" i="1"/>
  <c r="E6583" i="1"/>
  <c r="C6583" i="1"/>
  <c r="G6582" i="1"/>
  <c r="E6582" i="1"/>
  <c r="C6582" i="1"/>
  <c r="G6581" i="1"/>
  <c r="E6581" i="1"/>
  <c r="C6581" i="1"/>
  <c r="G6580" i="1"/>
  <c r="E6580" i="1"/>
  <c r="C6580" i="1"/>
  <c r="G6579" i="1"/>
  <c r="E6579" i="1"/>
  <c r="C6579" i="1"/>
  <c r="G6578" i="1"/>
  <c r="E6578" i="1"/>
  <c r="C6578" i="1"/>
  <c r="G6577" i="1"/>
  <c r="E6577" i="1"/>
  <c r="C6577" i="1"/>
  <c r="G6576" i="1"/>
  <c r="E6576" i="1"/>
  <c r="C6576" i="1"/>
  <c r="G6575" i="1"/>
  <c r="E6575" i="1"/>
  <c r="C6575" i="1"/>
  <c r="G6574" i="1"/>
  <c r="E6574" i="1"/>
  <c r="C6574" i="1"/>
  <c r="G6573" i="1"/>
  <c r="E6573" i="1"/>
  <c r="C6573" i="1"/>
  <c r="G6572" i="1"/>
  <c r="E6572" i="1"/>
  <c r="C6572" i="1"/>
  <c r="G6571" i="1"/>
  <c r="E6571" i="1"/>
  <c r="C6571" i="1"/>
  <c r="G6570" i="1"/>
  <c r="E6570" i="1"/>
  <c r="C6570" i="1"/>
  <c r="G6569" i="1"/>
  <c r="E6569" i="1"/>
  <c r="C6569" i="1"/>
  <c r="G6568" i="1"/>
  <c r="E6568" i="1"/>
  <c r="C6568" i="1"/>
  <c r="G6567" i="1"/>
  <c r="E6567" i="1"/>
  <c r="C6567" i="1"/>
  <c r="G6566" i="1"/>
  <c r="E6566" i="1"/>
  <c r="C6566" i="1"/>
  <c r="G6565" i="1"/>
  <c r="E6565" i="1"/>
  <c r="C6565" i="1"/>
  <c r="G6564" i="1"/>
  <c r="E6564" i="1"/>
  <c r="C6564" i="1"/>
  <c r="G6563" i="1"/>
  <c r="E6563" i="1"/>
  <c r="C6563" i="1"/>
  <c r="G6562" i="1"/>
  <c r="E6562" i="1"/>
  <c r="C6562" i="1"/>
  <c r="G6561" i="1"/>
  <c r="E6561" i="1"/>
  <c r="C6561" i="1"/>
  <c r="G6560" i="1"/>
  <c r="E6560" i="1"/>
  <c r="C6560" i="1"/>
  <c r="G6559" i="1"/>
  <c r="E6559" i="1"/>
  <c r="C6559" i="1"/>
  <c r="G6558" i="1"/>
  <c r="E6558" i="1"/>
  <c r="C6558" i="1"/>
  <c r="G6557" i="1"/>
  <c r="E6557" i="1"/>
  <c r="C6557" i="1"/>
  <c r="G6556" i="1"/>
  <c r="E6556" i="1"/>
  <c r="C6556" i="1"/>
  <c r="G6555" i="1"/>
  <c r="E6555" i="1"/>
  <c r="C6555" i="1"/>
  <c r="G6554" i="1"/>
  <c r="E6554" i="1"/>
  <c r="C6554" i="1"/>
  <c r="G6553" i="1"/>
  <c r="E6553" i="1"/>
  <c r="C6553" i="1"/>
  <c r="G6552" i="1"/>
  <c r="E6552" i="1"/>
  <c r="C6552" i="1"/>
  <c r="G6551" i="1"/>
  <c r="E6551" i="1"/>
  <c r="C6551" i="1"/>
  <c r="G6550" i="1"/>
  <c r="E6550" i="1"/>
  <c r="C6550" i="1"/>
  <c r="G6549" i="1"/>
  <c r="E6549" i="1"/>
  <c r="C6549" i="1"/>
  <c r="G6548" i="1"/>
  <c r="E6548" i="1"/>
  <c r="C6548" i="1"/>
  <c r="G6547" i="1"/>
  <c r="E6547" i="1"/>
  <c r="C6547" i="1"/>
  <c r="G6546" i="1"/>
  <c r="E6546" i="1"/>
  <c r="C6546" i="1"/>
  <c r="G6545" i="1"/>
  <c r="E6545" i="1"/>
  <c r="C6545" i="1"/>
  <c r="G6544" i="1"/>
  <c r="E6544" i="1"/>
  <c r="C6544" i="1"/>
  <c r="G6543" i="1"/>
  <c r="E6543" i="1"/>
  <c r="C6543" i="1"/>
  <c r="G6542" i="1"/>
  <c r="E6542" i="1"/>
  <c r="C6542" i="1"/>
  <c r="G6541" i="1"/>
  <c r="E6541" i="1"/>
  <c r="C6541" i="1"/>
  <c r="G6540" i="1"/>
  <c r="E6540" i="1"/>
  <c r="C6540" i="1"/>
  <c r="G6539" i="1"/>
  <c r="E6539" i="1"/>
  <c r="C6539" i="1"/>
  <c r="G6538" i="1"/>
  <c r="E6538" i="1"/>
  <c r="C6538" i="1"/>
  <c r="G6537" i="1"/>
  <c r="E6537" i="1"/>
  <c r="C6537" i="1"/>
  <c r="G6536" i="1"/>
  <c r="E6536" i="1"/>
  <c r="C6536" i="1"/>
  <c r="G6535" i="1"/>
  <c r="E6535" i="1"/>
  <c r="C6535" i="1"/>
  <c r="G6534" i="1"/>
  <c r="E6534" i="1"/>
  <c r="C6534" i="1"/>
  <c r="G6533" i="1"/>
  <c r="E6533" i="1"/>
  <c r="C6533" i="1"/>
  <c r="G6532" i="1"/>
  <c r="E6532" i="1"/>
  <c r="C6532" i="1"/>
  <c r="G6531" i="1"/>
  <c r="E6531" i="1"/>
  <c r="C6531" i="1"/>
  <c r="G6530" i="1"/>
  <c r="E6530" i="1"/>
  <c r="C6530" i="1"/>
  <c r="G6529" i="1"/>
  <c r="E6529" i="1"/>
  <c r="C6529" i="1"/>
  <c r="G6528" i="1"/>
  <c r="E6528" i="1"/>
  <c r="C6528" i="1"/>
  <c r="G6527" i="1"/>
  <c r="E6527" i="1"/>
  <c r="C6527" i="1"/>
  <c r="G6526" i="1"/>
  <c r="E6526" i="1"/>
  <c r="C6526" i="1"/>
  <c r="G6525" i="1"/>
  <c r="E6525" i="1"/>
  <c r="C6525" i="1"/>
  <c r="G6524" i="1"/>
  <c r="E6524" i="1"/>
  <c r="C6524" i="1"/>
  <c r="G6523" i="1"/>
  <c r="E6523" i="1"/>
  <c r="C6523" i="1"/>
  <c r="G6522" i="1"/>
  <c r="E6522" i="1"/>
  <c r="C6522" i="1"/>
  <c r="G6521" i="1"/>
  <c r="E6521" i="1"/>
  <c r="C6521" i="1"/>
  <c r="G6520" i="1"/>
  <c r="E6520" i="1"/>
  <c r="C6520" i="1"/>
  <c r="G6519" i="1"/>
  <c r="E6519" i="1"/>
  <c r="C6519" i="1"/>
  <c r="G6518" i="1"/>
  <c r="E6518" i="1"/>
  <c r="C6518" i="1"/>
  <c r="G6517" i="1"/>
  <c r="E6517" i="1"/>
  <c r="C6517" i="1"/>
  <c r="G6516" i="1"/>
  <c r="E6516" i="1"/>
  <c r="C6516" i="1"/>
  <c r="G6515" i="1"/>
  <c r="E6515" i="1"/>
  <c r="C6515" i="1"/>
  <c r="G6514" i="1"/>
  <c r="E6514" i="1"/>
  <c r="C6514" i="1"/>
  <c r="G6513" i="1"/>
  <c r="E6513" i="1"/>
  <c r="C6513" i="1"/>
  <c r="G6512" i="1"/>
  <c r="E6512" i="1"/>
  <c r="C6512" i="1"/>
  <c r="G6511" i="1"/>
  <c r="E6511" i="1"/>
  <c r="C6511" i="1"/>
  <c r="G6510" i="1"/>
  <c r="E6510" i="1"/>
  <c r="C6510" i="1"/>
  <c r="G6509" i="1"/>
  <c r="E6509" i="1"/>
  <c r="C6509" i="1"/>
  <c r="G6508" i="1"/>
  <c r="E6508" i="1"/>
  <c r="C6508" i="1"/>
  <c r="G6507" i="1"/>
  <c r="E6507" i="1"/>
  <c r="C6507" i="1"/>
  <c r="G6506" i="1"/>
  <c r="E6506" i="1"/>
  <c r="C6506" i="1"/>
  <c r="G6505" i="1"/>
  <c r="E6505" i="1"/>
  <c r="C6505" i="1"/>
  <c r="G6504" i="1"/>
  <c r="E6504" i="1"/>
  <c r="C6504" i="1"/>
  <c r="G6503" i="1"/>
  <c r="E6503" i="1"/>
  <c r="C6503" i="1"/>
  <c r="G6502" i="1"/>
  <c r="E6502" i="1"/>
  <c r="C6502" i="1"/>
  <c r="G6501" i="1"/>
  <c r="E6501" i="1"/>
  <c r="C6501" i="1"/>
  <c r="G6500" i="1"/>
  <c r="E6500" i="1"/>
  <c r="C6500" i="1"/>
  <c r="G6499" i="1"/>
  <c r="E6499" i="1"/>
  <c r="C6499" i="1"/>
  <c r="G6498" i="1"/>
  <c r="E6498" i="1"/>
  <c r="C6498" i="1"/>
  <c r="G6497" i="1"/>
  <c r="E6497" i="1"/>
  <c r="C6497" i="1"/>
  <c r="G6496" i="1"/>
  <c r="E6496" i="1"/>
  <c r="C6496" i="1"/>
  <c r="G6495" i="1"/>
  <c r="E6495" i="1"/>
  <c r="C6495" i="1"/>
  <c r="G6494" i="1"/>
  <c r="E6494" i="1"/>
  <c r="C6494" i="1"/>
  <c r="G6493" i="1"/>
  <c r="E6493" i="1"/>
  <c r="C6493" i="1"/>
  <c r="G6492" i="1"/>
  <c r="E6492" i="1"/>
  <c r="C6492" i="1"/>
  <c r="G6491" i="1"/>
  <c r="E6491" i="1"/>
  <c r="C6491" i="1"/>
  <c r="G6490" i="1"/>
  <c r="E6490" i="1"/>
  <c r="C6490" i="1"/>
  <c r="G6489" i="1"/>
  <c r="E6489" i="1"/>
  <c r="C6489" i="1"/>
  <c r="G6488" i="1"/>
  <c r="E6488" i="1"/>
  <c r="C6488" i="1"/>
  <c r="G6487" i="1"/>
  <c r="E6487" i="1"/>
  <c r="C6487" i="1"/>
  <c r="G6486" i="1"/>
  <c r="E6486" i="1"/>
  <c r="C6486" i="1"/>
  <c r="G6485" i="1"/>
  <c r="E6485" i="1"/>
  <c r="C6485" i="1"/>
  <c r="G6484" i="1"/>
  <c r="E6484" i="1"/>
  <c r="C6484" i="1"/>
  <c r="G6483" i="1"/>
  <c r="E6483" i="1"/>
  <c r="C6483" i="1"/>
  <c r="G6482" i="1"/>
  <c r="E6482" i="1"/>
  <c r="C6482" i="1"/>
  <c r="G6481" i="1"/>
  <c r="E6481" i="1"/>
  <c r="C6481" i="1"/>
  <c r="G6480" i="1"/>
  <c r="E6480" i="1"/>
  <c r="C6480" i="1"/>
  <c r="G6479" i="1"/>
  <c r="E6479" i="1"/>
  <c r="C6479" i="1"/>
  <c r="G6478" i="1"/>
  <c r="E6478" i="1"/>
  <c r="C6478" i="1"/>
  <c r="G6477" i="1"/>
  <c r="E6477" i="1"/>
  <c r="C6477" i="1"/>
  <c r="G6476" i="1"/>
  <c r="E6476" i="1"/>
  <c r="C6476" i="1"/>
  <c r="G6475" i="1"/>
  <c r="E6475" i="1"/>
  <c r="C6475" i="1"/>
  <c r="G6474" i="1"/>
  <c r="E6474" i="1"/>
  <c r="C6474" i="1"/>
  <c r="G6473" i="1"/>
  <c r="E6473" i="1"/>
  <c r="C6473" i="1"/>
  <c r="G6472" i="1"/>
  <c r="E6472" i="1"/>
  <c r="C6472" i="1"/>
  <c r="G6471" i="1"/>
  <c r="E6471" i="1"/>
  <c r="C6471" i="1"/>
  <c r="G6470" i="1"/>
  <c r="E6470" i="1"/>
  <c r="C6470" i="1"/>
  <c r="G6469" i="1"/>
  <c r="E6469" i="1"/>
  <c r="C6469" i="1"/>
  <c r="G6468" i="1"/>
  <c r="E6468" i="1"/>
  <c r="C6468" i="1"/>
  <c r="G6467" i="1"/>
  <c r="E6467" i="1"/>
  <c r="C6467" i="1"/>
  <c r="G6466" i="1"/>
  <c r="E6466" i="1"/>
  <c r="C6466" i="1"/>
  <c r="G6465" i="1"/>
  <c r="E6465" i="1"/>
  <c r="C6465" i="1"/>
  <c r="G6464" i="1"/>
  <c r="E6464" i="1"/>
  <c r="C6464" i="1"/>
  <c r="G6463" i="1"/>
  <c r="E6463" i="1"/>
  <c r="C6463" i="1"/>
  <c r="G6462" i="1"/>
  <c r="E6462" i="1"/>
  <c r="C6462" i="1"/>
  <c r="G6461" i="1"/>
  <c r="E6461" i="1"/>
  <c r="C6461" i="1"/>
  <c r="G6460" i="1"/>
  <c r="E6460" i="1"/>
  <c r="C6460" i="1"/>
  <c r="G6459" i="1"/>
  <c r="E6459" i="1"/>
  <c r="C6459" i="1"/>
  <c r="G6458" i="1"/>
  <c r="E6458" i="1"/>
  <c r="C6458" i="1"/>
  <c r="G6457" i="1"/>
  <c r="E6457" i="1"/>
  <c r="C6457" i="1"/>
  <c r="G6456" i="1"/>
  <c r="E6456" i="1"/>
  <c r="C6456" i="1"/>
  <c r="G6455" i="1"/>
  <c r="E6455" i="1"/>
  <c r="C6455" i="1"/>
  <c r="G6454" i="1"/>
  <c r="E6454" i="1"/>
  <c r="C6454" i="1"/>
  <c r="G6453" i="1"/>
  <c r="E6453" i="1"/>
  <c r="C6453" i="1"/>
  <c r="G6452" i="1"/>
  <c r="E6452" i="1"/>
  <c r="C6452" i="1"/>
  <c r="G6451" i="1"/>
  <c r="E6451" i="1"/>
  <c r="C6451" i="1"/>
  <c r="G6450" i="1"/>
  <c r="E6450" i="1"/>
  <c r="C6450" i="1"/>
  <c r="G6449" i="1"/>
  <c r="E6449" i="1"/>
  <c r="C6449" i="1"/>
  <c r="G6448" i="1"/>
  <c r="E6448" i="1"/>
  <c r="C6448" i="1"/>
  <c r="G6447" i="1"/>
  <c r="E6447" i="1"/>
  <c r="C6447" i="1"/>
  <c r="G6446" i="1"/>
  <c r="E6446" i="1"/>
  <c r="C6446" i="1"/>
  <c r="G6445" i="1"/>
  <c r="E6445" i="1"/>
  <c r="C6445" i="1"/>
  <c r="G6444" i="1"/>
  <c r="E6444" i="1"/>
  <c r="C6444" i="1"/>
  <c r="G6443" i="1"/>
  <c r="E6443" i="1"/>
  <c r="C6443" i="1"/>
  <c r="G6442" i="1"/>
  <c r="E6442" i="1"/>
  <c r="C6442" i="1"/>
  <c r="G6441" i="1"/>
  <c r="E6441" i="1"/>
  <c r="C6441" i="1"/>
  <c r="G6440" i="1"/>
  <c r="E6440" i="1"/>
  <c r="C6440" i="1"/>
  <c r="G6439" i="1"/>
  <c r="E6439" i="1"/>
  <c r="C6439" i="1"/>
  <c r="G6438" i="1"/>
  <c r="E6438" i="1"/>
  <c r="C6438" i="1"/>
  <c r="G6437" i="1"/>
  <c r="E6437" i="1"/>
  <c r="C6437" i="1"/>
  <c r="G6436" i="1"/>
  <c r="E6436" i="1"/>
  <c r="C6436" i="1"/>
  <c r="G6435" i="1"/>
  <c r="E6435" i="1"/>
  <c r="C6435" i="1"/>
  <c r="G6434" i="1"/>
  <c r="E6434" i="1"/>
  <c r="C6434" i="1"/>
  <c r="G6433" i="1"/>
  <c r="E6433" i="1"/>
  <c r="C6433" i="1"/>
  <c r="G6432" i="1"/>
  <c r="E6432" i="1"/>
  <c r="C6432" i="1"/>
  <c r="G6431" i="1"/>
  <c r="E6431" i="1"/>
  <c r="C6431" i="1"/>
  <c r="G6430" i="1"/>
  <c r="E6430" i="1"/>
  <c r="C6430" i="1"/>
  <c r="G6429" i="1"/>
  <c r="E6429" i="1"/>
  <c r="C6429" i="1"/>
  <c r="G6428" i="1"/>
  <c r="E6428" i="1"/>
  <c r="C6428" i="1"/>
  <c r="G6427" i="1"/>
  <c r="E6427" i="1"/>
  <c r="C6427" i="1"/>
  <c r="G6426" i="1"/>
  <c r="E6426" i="1"/>
  <c r="C6426" i="1"/>
  <c r="G6425" i="1"/>
  <c r="E6425" i="1"/>
  <c r="C6425" i="1"/>
  <c r="G6424" i="1"/>
  <c r="E6424" i="1"/>
  <c r="C6424" i="1"/>
  <c r="G6423" i="1"/>
  <c r="E6423" i="1"/>
  <c r="C6423" i="1"/>
  <c r="G6422" i="1"/>
  <c r="E6422" i="1"/>
  <c r="C6422" i="1"/>
  <c r="G6421" i="1"/>
  <c r="E6421" i="1"/>
  <c r="C6421" i="1"/>
  <c r="G6420" i="1"/>
  <c r="E6420" i="1"/>
  <c r="C6420" i="1"/>
  <c r="G6419" i="1"/>
  <c r="E6419" i="1"/>
  <c r="C6419" i="1"/>
  <c r="G6418" i="1"/>
  <c r="E6418" i="1"/>
  <c r="C6418" i="1"/>
  <c r="G6417" i="1"/>
  <c r="E6417" i="1"/>
  <c r="C6417" i="1"/>
  <c r="G6416" i="1"/>
  <c r="E6416" i="1"/>
  <c r="C6416" i="1"/>
  <c r="G6415" i="1"/>
  <c r="E6415" i="1"/>
  <c r="C6415" i="1"/>
  <c r="G6414" i="1"/>
  <c r="E6414" i="1"/>
  <c r="C6414" i="1"/>
  <c r="G6413" i="1"/>
  <c r="E6413" i="1"/>
  <c r="C6413" i="1"/>
  <c r="G6412" i="1"/>
  <c r="E6412" i="1"/>
  <c r="C6412" i="1"/>
  <c r="G6411" i="1"/>
  <c r="E6411" i="1"/>
  <c r="C6411" i="1"/>
  <c r="G6410" i="1"/>
  <c r="E6410" i="1"/>
  <c r="C6410" i="1"/>
  <c r="G6409" i="1"/>
  <c r="E6409" i="1"/>
  <c r="C6409" i="1"/>
  <c r="G6408" i="1"/>
  <c r="E6408" i="1"/>
  <c r="C6408" i="1"/>
  <c r="G6407" i="1"/>
  <c r="E6407" i="1"/>
  <c r="C6407" i="1"/>
  <c r="G6406" i="1"/>
  <c r="E6406" i="1"/>
  <c r="C6406" i="1"/>
  <c r="G6405" i="1"/>
  <c r="E6405" i="1"/>
  <c r="C6405" i="1"/>
  <c r="G6404" i="1"/>
  <c r="E6404" i="1"/>
  <c r="C6404" i="1"/>
  <c r="G6403" i="1"/>
  <c r="E6403" i="1"/>
  <c r="C6403" i="1"/>
  <c r="G6402" i="1"/>
  <c r="E6402" i="1"/>
  <c r="C6402" i="1"/>
  <c r="G6401" i="1"/>
  <c r="E6401" i="1"/>
  <c r="C6401" i="1"/>
  <c r="G6400" i="1"/>
  <c r="E6400" i="1"/>
  <c r="C6400" i="1"/>
  <c r="G6399" i="1"/>
  <c r="E6399" i="1"/>
  <c r="C6399" i="1"/>
  <c r="G6398" i="1"/>
  <c r="E6398" i="1"/>
  <c r="C6398" i="1"/>
  <c r="G6397" i="1"/>
  <c r="E6397" i="1"/>
  <c r="C6397" i="1"/>
  <c r="G6396" i="1"/>
  <c r="E6396" i="1"/>
  <c r="C6396" i="1"/>
  <c r="G6395" i="1"/>
  <c r="E6395" i="1"/>
  <c r="C6395" i="1"/>
  <c r="G6394" i="1"/>
  <c r="E6394" i="1"/>
  <c r="C6394" i="1"/>
  <c r="G6393" i="1"/>
  <c r="E6393" i="1"/>
  <c r="C6393" i="1"/>
  <c r="G6392" i="1"/>
  <c r="E6392" i="1"/>
  <c r="C6392" i="1"/>
  <c r="G6391" i="1"/>
  <c r="E6391" i="1"/>
  <c r="C6391" i="1"/>
  <c r="G6390" i="1"/>
  <c r="E6390" i="1"/>
  <c r="C6390" i="1"/>
  <c r="G6389" i="1"/>
  <c r="E6389" i="1"/>
  <c r="C6389" i="1"/>
  <c r="G6388" i="1"/>
  <c r="E6388" i="1"/>
  <c r="C6388" i="1"/>
  <c r="G6387" i="1"/>
  <c r="E6387" i="1"/>
  <c r="C6387" i="1"/>
  <c r="G6386" i="1"/>
  <c r="E6386" i="1"/>
  <c r="C6386" i="1"/>
  <c r="G6385" i="1"/>
  <c r="E6385" i="1"/>
  <c r="C6385" i="1"/>
  <c r="G6384" i="1"/>
  <c r="E6384" i="1"/>
  <c r="C6384" i="1"/>
  <c r="G6383" i="1"/>
  <c r="E6383" i="1"/>
  <c r="C6383" i="1"/>
  <c r="G6382" i="1"/>
  <c r="E6382" i="1"/>
  <c r="C6382" i="1"/>
  <c r="G6381" i="1"/>
  <c r="E6381" i="1"/>
  <c r="C6381" i="1"/>
  <c r="G6380" i="1"/>
  <c r="E6380" i="1"/>
  <c r="C6380" i="1"/>
  <c r="G6379" i="1"/>
  <c r="E6379" i="1"/>
  <c r="C6379" i="1"/>
  <c r="G6378" i="1"/>
  <c r="E6378" i="1"/>
  <c r="C6378" i="1"/>
  <c r="G6377" i="1"/>
  <c r="E6377" i="1"/>
  <c r="C6377" i="1"/>
  <c r="G6376" i="1"/>
  <c r="E6376" i="1"/>
  <c r="C6376" i="1"/>
  <c r="G6375" i="1"/>
  <c r="E6375" i="1"/>
  <c r="C6375" i="1"/>
  <c r="G6374" i="1"/>
  <c r="E6374" i="1"/>
  <c r="C6374" i="1"/>
  <c r="G6373" i="1"/>
  <c r="E6373" i="1"/>
  <c r="C6373" i="1"/>
  <c r="G6372" i="1"/>
  <c r="E6372" i="1"/>
  <c r="C6372" i="1"/>
  <c r="G6371" i="1"/>
  <c r="E6371" i="1"/>
  <c r="C6371" i="1"/>
  <c r="G6370" i="1"/>
  <c r="E6370" i="1"/>
  <c r="C6370" i="1"/>
  <c r="G6369" i="1"/>
  <c r="E6369" i="1"/>
  <c r="C6369" i="1"/>
  <c r="G6368" i="1"/>
  <c r="E6368" i="1"/>
  <c r="C6368" i="1"/>
  <c r="G6367" i="1"/>
  <c r="E6367" i="1"/>
  <c r="C6367" i="1"/>
  <c r="G6366" i="1"/>
  <c r="E6366" i="1"/>
  <c r="C6366" i="1"/>
  <c r="G6365" i="1"/>
  <c r="E6365" i="1"/>
  <c r="C6365" i="1"/>
  <c r="G6364" i="1"/>
  <c r="E6364" i="1"/>
  <c r="C6364" i="1"/>
  <c r="G6363" i="1"/>
  <c r="E6363" i="1"/>
  <c r="C6363" i="1"/>
  <c r="G6362" i="1"/>
  <c r="E6362" i="1"/>
  <c r="C6362" i="1"/>
  <c r="G6361" i="1"/>
  <c r="E6361" i="1"/>
  <c r="C6361" i="1"/>
  <c r="G6360" i="1"/>
  <c r="E6360" i="1"/>
  <c r="C6360" i="1"/>
  <c r="G6359" i="1"/>
  <c r="E6359" i="1"/>
  <c r="C6359" i="1"/>
  <c r="G6358" i="1"/>
  <c r="E6358" i="1"/>
  <c r="C6358" i="1"/>
  <c r="G6357" i="1"/>
  <c r="E6357" i="1"/>
  <c r="C6357" i="1"/>
  <c r="G6356" i="1"/>
  <c r="E6356" i="1"/>
  <c r="C6356" i="1"/>
  <c r="G6355" i="1"/>
  <c r="E6355" i="1"/>
  <c r="C6355" i="1"/>
  <c r="G6354" i="1"/>
  <c r="E6354" i="1"/>
  <c r="C6354" i="1"/>
  <c r="G6353" i="1"/>
  <c r="E6353" i="1"/>
  <c r="C6353" i="1"/>
  <c r="G6352" i="1"/>
  <c r="E6352" i="1"/>
  <c r="C6352" i="1"/>
  <c r="G6351" i="1"/>
  <c r="E6351" i="1"/>
  <c r="C6351" i="1"/>
  <c r="G6350" i="1"/>
  <c r="E6350" i="1"/>
  <c r="C6350" i="1"/>
  <c r="G6349" i="1"/>
  <c r="E6349" i="1"/>
  <c r="C6349" i="1"/>
  <c r="G6348" i="1"/>
  <c r="E6348" i="1"/>
  <c r="C6348" i="1"/>
  <c r="G6347" i="1"/>
  <c r="E6347" i="1"/>
  <c r="C6347" i="1"/>
  <c r="G6346" i="1"/>
  <c r="E6346" i="1"/>
  <c r="C6346" i="1"/>
  <c r="G6345" i="1"/>
  <c r="E6345" i="1"/>
  <c r="C6345" i="1"/>
  <c r="G6344" i="1"/>
  <c r="E6344" i="1"/>
  <c r="C6344" i="1"/>
  <c r="G6343" i="1"/>
  <c r="E6343" i="1"/>
  <c r="C6343" i="1"/>
  <c r="G6342" i="1"/>
  <c r="E6342" i="1"/>
  <c r="C6342" i="1"/>
  <c r="G6341" i="1"/>
  <c r="E6341" i="1"/>
  <c r="C6341" i="1"/>
  <c r="G6340" i="1"/>
  <c r="E6340" i="1"/>
  <c r="C6340" i="1"/>
  <c r="G6339" i="1"/>
  <c r="E6339" i="1"/>
  <c r="C6339" i="1"/>
  <c r="G6338" i="1"/>
  <c r="E6338" i="1"/>
  <c r="C6338" i="1"/>
  <c r="G6337" i="1"/>
  <c r="E6337" i="1"/>
  <c r="C6337" i="1"/>
  <c r="G6336" i="1"/>
  <c r="E6336" i="1"/>
  <c r="C6336" i="1"/>
  <c r="G6335" i="1"/>
  <c r="E6335" i="1"/>
  <c r="C6335" i="1"/>
  <c r="G6334" i="1"/>
  <c r="E6334" i="1"/>
  <c r="C6334" i="1"/>
  <c r="G6333" i="1"/>
  <c r="E6333" i="1"/>
  <c r="C6333" i="1"/>
  <c r="G6332" i="1"/>
  <c r="E6332" i="1"/>
  <c r="C6332" i="1"/>
  <c r="G6331" i="1"/>
  <c r="E6331" i="1"/>
  <c r="C6331" i="1"/>
  <c r="G6330" i="1"/>
  <c r="E6330" i="1"/>
  <c r="C6330" i="1"/>
  <c r="G6329" i="1"/>
  <c r="E6329" i="1"/>
  <c r="C6329" i="1"/>
  <c r="G6328" i="1"/>
  <c r="E6328" i="1"/>
  <c r="C6328" i="1"/>
  <c r="G6327" i="1"/>
  <c r="E6327" i="1"/>
  <c r="C6327" i="1"/>
  <c r="G6326" i="1"/>
  <c r="E6326" i="1"/>
  <c r="C6326" i="1"/>
  <c r="G6325" i="1"/>
  <c r="E6325" i="1"/>
  <c r="C6325" i="1"/>
  <c r="G6324" i="1"/>
  <c r="E6324" i="1"/>
  <c r="C6324" i="1"/>
  <c r="G6323" i="1"/>
  <c r="E6323" i="1"/>
  <c r="C6323" i="1"/>
  <c r="G6322" i="1"/>
  <c r="E6322" i="1"/>
  <c r="C6322" i="1"/>
  <c r="G6321" i="1"/>
  <c r="E6321" i="1"/>
  <c r="C6321" i="1"/>
  <c r="G6320" i="1"/>
  <c r="E6320" i="1"/>
  <c r="C6320" i="1"/>
  <c r="G6319" i="1"/>
  <c r="E6319" i="1"/>
  <c r="C6319" i="1"/>
  <c r="G6318" i="1"/>
  <c r="E6318" i="1"/>
  <c r="C6318" i="1"/>
  <c r="G6317" i="1"/>
  <c r="E6317" i="1"/>
  <c r="C6317" i="1"/>
  <c r="G6316" i="1"/>
  <c r="E6316" i="1"/>
  <c r="C6316" i="1"/>
  <c r="G6315" i="1"/>
  <c r="E6315" i="1"/>
  <c r="C6315" i="1"/>
  <c r="G6314" i="1"/>
  <c r="E6314" i="1"/>
  <c r="C6314" i="1"/>
  <c r="G6313" i="1"/>
  <c r="E6313" i="1"/>
  <c r="C6313" i="1"/>
  <c r="G6312" i="1"/>
  <c r="E6312" i="1"/>
  <c r="C6312" i="1"/>
  <c r="G6311" i="1"/>
  <c r="E6311" i="1"/>
  <c r="C6311" i="1"/>
  <c r="G6310" i="1"/>
  <c r="E6310" i="1"/>
  <c r="C6310" i="1"/>
  <c r="G6309" i="1"/>
  <c r="E6309" i="1"/>
  <c r="C6309" i="1"/>
  <c r="G6308" i="1"/>
  <c r="E6308" i="1"/>
  <c r="C6308" i="1"/>
  <c r="G6307" i="1"/>
  <c r="E6307" i="1"/>
  <c r="C6307" i="1"/>
  <c r="G6306" i="1"/>
  <c r="E6306" i="1"/>
  <c r="C6306" i="1"/>
  <c r="G6305" i="1"/>
  <c r="E6305" i="1"/>
  <c r="C6305" i="1"/>
  <c r="G6304" i="1"/>
  <c r="E6304" i="1"/>
  <c r="C6304" i="1"/>
  <c r="G6303" i="1"/>
  <c r="E6303" i="1"/>
  <c r="C6303" i="1"/>
  <c r="G6302" i="1"/>
  <c r="E6302" i="1"/>
  <c r="C6302" i="1"/>
  <c r="G6301" i="1"/>
  <c r="E6301" i="1"/>
  <c r="C6301" i="1"/>
  <c r="G6300" i="1"/>
  <c r="E6300" i="1"/>
  <c r="C6300" i="1"/>
  <c r="G6299" i="1"/>
  <c r="E6299" i="1"/>
  <c r="C6299" i="1"/>
  <c r="G6298" i="1"/>
  <c r="E6298" i="1"/>
  <c r="C6298" i="1"/>
  <c r="G6297" i="1"/>
  <c r="E6297" i="1"/>
  <c r="C6297" i="1"/>
  <c r="G6296" i="1"/>
  <c r="E6296" i="1"/>
  <c r="C6296" i="1"/>
  <c r="G6295" i="1"/>
  <c r="E6295" i="1"/>
  <c r="C6295" i="1"/>
  <c r="G6294" i="1"/>
  <c r="E6294" i="1"/>
  <c r="C6294" i="1"/>
  <c r="G6293" i="1"/>
  <c r="E6293" i="1"/>
  <c r="C6293" i="1"/>
  <c r="G6292" i="1"/>
  <c r="E6292" i="1"/>
  <c r="C6292" i="1"/>
  <c r="G6291" i="1"/>
  <c r="E6291" i="1"/>
  <c r="C6291" i="1"/>
  <c r="G6290" i="1"/>
  <c r="E6290" i="1"/>
  <c r="C6290" i="1"/>
  <c r="G6289" i="1"/>
  <c r="E6289" i="1"/>
  <c r="C6289" i="1"/>
  <c r="G6288" i="1"/>
  <c r="E6288" i="1"/>
  <c r="C6288" i="1"/>
  <c r="G6287" i="1"/>
  <c r="E6287" i="1"/>
  <c r="C6287" i="1"/>
  <c r="G6286" i="1"/>
  <c r="E6286" i="1"/>
  <c r="C6286" i="1"/>
  <c r="G6285" i="1"/>
  <c r="E6285" i="1"/>
  <c r="C6285" i="1"/>
  <c r="G6284" i="1"/>
  <c r="E6284" i="1"/>
  <c r="C6284" i="1"/>
  <c r="G6283" i="1"/>
  <c r="E6283" i="1"/>
  <c r="C6283" i="1"/>
  <c r="G6282" i="1"/>
  <c r="E6282" i="1"/>
  <c r="C6282" i="1"/>
  <c r="G6281" i="1"/>
  <c r="E6281" i="1"/>
  <c r="C6281" i="1"/>
  <c r="G6280" i="1"/>
  <c r="E6280" i="1"/>
  <c r="C6280" i="1"/>
  <c r="G6279" i="1"/>
  <c r="E6279" i="1"/>
  <c r="C6279" i="1"/>
  <c r="G6278" i="1"/>
  <c r="E6278" i="1"/>
  <c r="C6278" i="1"/>
  <c r="G6277" i="1"/>
  <c r="E6277" i="1"/>
  <c r="C6277" i="1"/>
  <c r="G6276" i="1"/>
  <c r="E6276" i="1"/>
  <c r="C6276" i="1"/>
  <c r="G6275" i="1"/>
  <c r="E6275" i="1"/>
  <c r="C6275" i="1"/>
  <c r="G6274" i="1"/>
  <c r="E6274" i="1"/>
  <c r="C6274" i="1"/>
  <c r="G6273" i="1"/>
  <c r="E6273" i="1"/>
  <c r="C6273" i="1"/>
  <c r="G6272" i="1"/>
  <c r="E6272" i="1"/>
  <c r="C6272" i="1"/>
  <c r="G6271" i="1"/>
  <c r="E6271" i="1"/>
  <c r="C6271" i="1"/>
  <c r="G6270" i="1"/>
  <c r="E6270" i="1"/>
  <c r="C6270" i="1"/>
  <c r="G6269" i="1"/>
  <c r="E6269" i="1"/>
  <c r="C6269" i="1"/>
  <c r="G6268" i="1"/>
  <c r="E6268" i="1"/>
  <c r="C6268" i="1"/>
  <c r="G6267" i="1"/>
  <c r="E6267" i="1"/>
  <c r="C6267" i="1"/>
  <c r="G6266" i="1"/>
  <c r="E6266" i="1"/>
  <c r="C6266" i="1"/>
  <c r="G6265" i="1"/>
  <c r="E6265" i="1"/>
  <c r="C6265" i="1"/>
  <c r="G6264" i="1"/>
  <c r="E6264" i="1"/>
  <c r="C6264" i="1"/>
  <c r="G6263" i="1"/>
  <c r="E6263" i="1"/>
  <c r="C6263" i="1"/>
  <c r="G6262" i="1"/>
  <c r="E6262" i="1"/>
  <c r="C6262" i="1"/>
  <c r="G6261" i="1"/>
  <c r="E6261" i="1"/>
  <c r="C6261" i="1"/>
  <c r="G6260" i="1"/>
  <c r="E6260" i="1"/>
  <c r="C6260" i="1"/>
  <c r="G6259" i="1"/>
  <c r="E6259" i="1"/>
  <c r="C6259" i="1"/>
  <c r="G6258" i="1"/>
  <c r="E6258" i="1"/>
  <c r="C6258" i="1"/>
  <c r="G6257" i="1"/>
  <c r="E6257" i="1"/>
  <c r="C6257" i="1"/>
  <c r="G6256" i="1"/>
  <c r="E6256" i="1"/>
  <c r="C6256" i="1"/>
  <c r="G6255" i="1"/>
  <c r="E6255" i="1"/>
  <c r="C6255" i="1"/>
  <c r="G6254" i="1"/>
  <c r="E6254" i="1"/>
  <c r="C6254" i="1"/>
  <c r="G6253" i="1"/>
  <c r="E6253" i="1"/>
  <c r="C6253" i="1"/>
  <c r="G6252" i="1"/>
  <c r="E6252" i="1"/>
  <c r="C6252" i="1"/>
  <c r="G6251" i="1"/>
  <c r="E6251" i="1"/>
  <c r="C6251" i="1"/>
  <c r="G6250" i="1"/>
  <c r="E6250" i="1"/>
  <c r="C6250" i="1"/>
  <c r="G6249" i="1"/>
  <c r="E6249" i="1"/>
  <c r="C6249" i="1"/>
  <c r="G6248" i="1"/>
  <c r="E6248" i="1"/>
  <c r="C6248" i="1"/>
  <c r="G6247" i="1"/>
  <c r="E6247" i="1"/>
  <c r="C6247" i="1"/>
  <c r="G6246" i="1"/>
  <c r="E6246" i="1"/>
  <c r="C6246" i="1"/>
  <c r="G6245" i="1"/>
  <c r="E6245" i="1"/>
  <c r="C6245" i="1"/>
  <c r="G6244" i="1"/>
  <c r="E6244" i="1"/>
  <c r="C6244" i="1"/>
  <c r="G6243" i="1"/>
  <c r="E6243" i="1"/>
  <c r="C6243" i="1"/>
  <c r="G6242" i="1"/>
  <c r="E6242" i="1"/>
  <c r="C6242" i="1"/>
  <c r="G6241" i="1"/>
  <c r="E6241" i="1"/>
  <c r="C6241" i="1"/>
  <c r="G6240" i="1"/>
  <c r="E6240" i="1"/>
  <c r="C6240" i="1"/>
  <c r="G6239" i="1"/>
  <c r="E6239" i="1"/>
  <c r="C6239" i="1"/>
  <c r="G6238" i="1"/>
  <c r="E6238" i="1"/>
  <c r="C6238" i="1"/>
  <c r="G6237" i="1"/>
  <c r="E6237" i="1"/>
  <c r="C6237" i="1"/>
  <c r="G6236" i="1"/>
  <c r="E6236" i="1"/>
  <c r="C6236" i="1"/>
  <c r="G6235" i="1"/>
  <c r="E6235" i="1"/>
  <c r="C6235" i="1"/>
  <c r="G6234" i="1"/>
  <c r="E6234" i="1"/>
  <c r="C6234" i="1"/>
  <c r="G6233" i="1"/>
  <c r="E6233" i="1"/>
  <c r="C6233" i="1"/>
  <c r="G6232" i="1"/>
  <c r="E6232" i="1"/>
  <c r="C6232" i="1"/>
  <c r="G6231" i="1"/>
  <c r="E6231" i="1"/>
  <c r="C6231" i="1"/>
  <c r="G6230" i="1"/>
  <c r="E6230" i="1"/>
  <c r="C6230" i="1"/>
  <c r="G6229" i="1"/>
  <c r="E6229" i="1"/>
  <c r="C6229" i="1"/>
  <c r="G6228" i="1"/>
  <c r="E6228" i="1"/>
  <c r="C6228" i="1"/>
  <c r="G6227" i="1"/>
  <c r="E6227" i="1"/>
  <c r="C6227" i="1"/>
  <c r="G6226" i="1"/>
  <c r="E6226" i="1"/>
  <c r="C6226" i="1"/>
  <c r="G6225" i="1"/>
  <c r="E6225" i="1"/>
  <c r="C6225" i="1"/>
  <c r="G6224" i="1"/>
  <c r="E6224" i="1"/>
  <c r="C6224" i="1"/>
  <c r="G6223" i="1"/>
  <c r="E6223" i="1"/>
  <c r="C6223" i="1"/>
  <c r="G6222" i="1"/>
  <c r="E6222" i="1"/>
  <c r="C6222" i="1"/>
  <c r="G6221" i="1"/>
  <c r="E6221" i="1"/>
  <c r="C6221" i="1"/>
  <c r="G6220" i="1"/>
  <c r="E6220" i="1"/>
  <c r="C6220" i="1"/>
  <c r="G6219" i="1"/>
  <c r="E6219" i="1"/>
  <c r="C6219" i="1"/>
  <c r="G6218" i="1"/>
  <c r="E6218" i="1"/>
  <c r="C6218" i="1"/>
  <c r="G6217" i="1"/>
  <c r="E6217" i="1"/>
  <c r="C6217" i="1"/>
  <c r="G6216" i="1"/>
  <c r="E6216" i="1"/>
  <c r="C6216" i="1"/>
  <c r="G6215" i="1"/>
  <c r="E6215" i="1"/>
  <c r="C6215" i="1"/>
  <c r="G6214" i="1"/>
  <c r="E6214" i="1"/>
  <c r="C6214" i="1"/>
  <c r="G6213" i="1"/>
  <c r="E6213" i="1"/>
  <c r="C6213" i="1"/>
  <c r="G6212" i="1"/>
  <c r="E6212" i="1"/>
  <c r="C6212" i="1"/>
  <c r="G6211" i="1"/>
  <c r="E6211" i="1"/>
  <c r="C6211" i="1"/>
  <c r="G6210" i="1"/>
  <c r="E6210" i="1"/>
  <c r="C6210" i="1"/>
  <c r="G6209" i="1"/>
  <c r="E6209" i="1"/>
  <c r="C6209" i="1"/>
  <c r="G6208" i="1"/>
  <c r="E6208" i="1"/>
  <c r="C6208" i="1"/>
  <c r="G6207" i="1"/>
  <c r="E6207" i="1"/>
  <c r="C6207" i="1"/>
  <c r="G6206" i="1"/>
  <c r="E6206" i="1"/>
  <c r="C6206" i="1"/>
  <c r="G6205" i="1"/>
  <c r="E6205" i="1"/>
  <c r="C6205" i="1"/>
  <c r="G6204" i="1"/>
  <c r="E6204" i="1"/>
  <c r="C6204" i="1"/>
  <c r="G6203" i="1"/>
  <c r="E6203" i="1"/>
  <c r="C6203" i="1"/>
  <c r="G6202" i="1"/>
  <c r="E6202" i="1"/>
  <c r="C6202" i="1"/>
  <c r="G6201" i="1"/>
  <c r="E6201" i="1"/>
  <c r="C6201" i="1"/>
  <c r="G6200" i="1"/>
  <c r="E6200" i="1"/>
  <c r="C6200" i="1"/>
  <c r="G6199" i="1"/>
  <c r="E6199" i="1"/>
  <c r="C6199" i="1"/>
  <c r="G6198" i="1"/>
  <c r="E6198" i="1"/>
  <c r="C6198" i="1"/>
  <c r="G6197" i="1"/>
  <c r="E6197" i="1"/>
  <c r="C6197" i="1"/>
  <c r="G6196" i="1"/>
  <c r="E6196" i="1"/>
  <c r="C6196" i="1"/>
  <c r="G6195" i="1"/>
  <c r="E6195" i="1"/>
  <c r="C6195" i="1"/>
  <c r="G6194" i="1"/>
  <c r="E6194" i="1"/>
  <c r="C6194" i="1"/>
  <c r="G6193" i="1"/>
  <c r="E6193" i="1"/>
  <c r="C6193" i="1"/>
  <c r="G6192" i="1"/>
  <c r="E6192" i="1"/>
  <c r="C6192" i="1"/>
  <c r="G6191" i="1"/>
  <c r="E6191" i="1"/>
  <c r="C6191" i="1"/>
  <c r="G6190" i="1"/>
  <c r="E6190" i="1"/>
  <c r="C6190" i="1"/>
  <c r="G6189" i="1"/>
  <c r="E6189" i="1"/>
  <c r="C6189" i="1"/>
  <c r="G6188" i="1"/>
  <c r="E6188" i="1"/>
  <c r="C6188" i="1"/>
  <c r="G6187" i="1"/>
  <c r="E6187" i="1"/>
  <c r="C6187" i="1"/>
  <c r="G6186" i="1"/>
  <c r="E6186" i="1"/>
  <c r="C6186" i="1"/>
  <c r="G6185" i="1"/>
  <c r="E6185" i="1"/>
  <c r="C6185" i="1"/>
  <c r="G6184" i="1"/>
  <c r="E6184" i="1"/>
  <c r="C6184" i="1"/>
  <c r="G6183" i="1"/>
  <c r="E6183" i="1"/>
  <c r="C6183" i="1"/>
  <c r="G6182" i="1"/>
  <c r="E6182" i="1"/>
  <c r="C6182" i="1"/>
  <c r="G6181" i="1"/>
  <c r="E6181" i="1"/>
  <c r="C6181" i="1"/>
  <c r="G6180" i="1"/>
  <c r="E6180" i="1"/>
  <c r="C6180" i="1"/>
  <c r="G6179" i="1"/>
  <c r="E6179" i="1"/>
  <c r="C6179" i="1"/>
  <c r="G6178" i="1"/>
  <c r="E6178" i="1"/>
  <c r="C6178" i="1"/>
  <c r="G6177" i="1"/>
  <c r="E6177" i="1"/>
  <c r="C6177" i="1"/>
  <c r="G6176" i="1"/>
  <c r="E6176" i="1"/>
  <c r="C6176" i="1"/>
  <c r="G6175" i="1"/>
  <c r="E6175" i="1"/>
  <c r="C6175" i="1"/>
  <c r="G6174" i="1"/>
  <c r="E6174" i="1"/>
  <c r="C6174" i="1"/>
  <c r="G6173" i="1"/>
  <c r="E6173" i="1"/>
  <c r="C6173" i="1"/>
  <c r="G6172" i="1"/>
  <c r="E6172" i="1"/>
  <c r="C6172" i="1"/>
  <c r="G6171" i="1"/>
  <c r="E6171" i="1"/>
  <c r="C6171" i="1"/>
  <c r="G6170" i="1"/>
  <c r="E6170" i="1"/>
  <c r="C6170" i="1"/>
  <c r="G6169" i="1"/>
  <c r="E6169" i="1"/>
  <c r="C6169" i="1"/>
  <c r="G6168" i="1"/>
  <c r="E6168" i="1"/>
  <c r="C6168" i="1"/>
  <c r="G6167" i="1"/>
  <c r="E6167" i="1"/>
  <c r="C6167" i="1"/>
  <c r="G6166" i="1"/>
  <c r="E6166" i="1"/>
  <c r="C6166" i="1"/>
  <c r="G6165" i="1"/>
  <c r="E6165" i="1"/>
  <c r="C6165" i="1"/>
  <c r="G6164" i="1"/>
  <c r="E6164" i="1"/>
  <c r="C6164" i="1"/>
  <c r="G6163" i="1"/>
  <c r="E6163" i="1"/>
  <c r="C6163" i="1"/>
  <c r="G6162" i="1"/>
  <c r="E6162" i="1"/>
  <c r="C6162" i="1"/>
  <c r="G6161" i="1"/>
  <c r="E6161" i="1"/>
  <c r="C6161" i="1"/>
  <c r="G6160" i="1"/>
  <c r="E6160" i="1"/>
  <c r="C6160" i="1"/>
  <c r="G6159" i="1"/>
  <c r="E6159" i="1"/>
  <c r="C6159" i="1"/>
  <c r="G6158" i="1"/>
  <c r="E6158" i="1"/>
  <c r="C6158" i="1"/>
  <c r="G6157" i="1"/>
  <c r="E6157" i="1"/>
  <c r="C6157" i="1"/>
  <c r="G6156" i="1"/>
  <c r="E6156" i="1"/>
  <c r="C6156" i="1"/>
  <c r="G6155" i="1"/>
  <c r="E6155" i="1"/>
  <c r="C6155" i="1"/>
  <c r="G6154" i="1"/>
  <c r="E6154" i="1"/>
  <c r="C6154" i="1"/>
  <c r="G6153" i="1"/>
  <c r="E6153" i="1"/>
  <c r="C6153" i="1"/>
  <c r="G6152" i="1"/>
  <c r="E6152" i="1"/>
  <c r="C6152" i="1"/>
  <c r="G6151" i="1"/>
  <c r="E6151" i="1"/>
  <c r="C6151" i="1"/>
  <c r="G6150" i="1"/>
  <c r="E6150" i="1"/>
  <c r="C6150" i="1"/>
  <c r="G6149" i="1"/>
  <c r="E6149" i="1"/>
  <c r="C6149" i="1"/>
  <c r="G6148" i="1"/>
  <c r="E6148" i="1"/>
  <c r="C6148" i="1"/>
  <c r="G6147" i="1"/>
  <c r="E6147" i="1"/>
  <c r="C6147" i="1"/>
  <c r="G6146" i="1"/>
  <c r="E6146" i="1"/>
  <c r="C6146" i="1"/>
  <c r="G6145" i="1"/>
  <c r="E6145" i="1"/>
  <c r="C6145" i="1"/>
  <c r="G6144" i="1"/>
  <c r="E6144" i="1"/>
  <c r="C6144" i="1"/>
  <c r="G6143" i="1"/>
  <c r="E6143" i="1"/>
  <c r="C6143" i="1"/>
  <c r="G6142" i="1"/>
  <c r="E6142" i="1"/>
  <c r="C6142" i="1"/>
  <c r="G6141" i="1"/>
  <c r="E6141" i="1"/>
  <c r="C6141" i="1"/>
  <c r="G6140" i="1"/>
  <c r="E6140" i="1"/>
  <c r="C6140" i="1"/>
  <c r="G6139" i="1"/>
  <c r="E6139" i="1"/>
  <c r="C6139" i="1"/>
  <c r="G6138" i="1"/>
  <c r="E6138" i="1"/>
  <c r="C6138" i="1"/>
  <c r="G6137" i="1"/>
  <c r="E6137" i="1"/>
  <c r="C6137" i="1"/>
  <c r="G6136" i="1"/>
  <c r="E6136" i="1"/>
  <c r="C6136" i="1"/>
  <c r="G6135" i="1"/>
  <c r="E6135" i="1"/>
  <c r="C6135" i="1"/>
  <c r="G6134" i="1"/>
  <c r="E6134" i="1"/>
  <c r="C6134" i="1"/>
  <c r="G6133" i="1"/>
  <c r="E6133" i="1"/>
  <c r="C6133" i="1"/>
  <c r="G6132" i="1"/>
  <c r="E6132" i="1"/>
  <c r="C6132" i="1"/>
  <c r="G6131" i="1"/>
  <c r="E6131" i="1"/>
  <c r="C6131" i="1"/>
  <c r="G6130" i="1"/>
  <c r="E6130" i="1"/>
  <c r="C6130" i="1"/>
  <c r="G6129" i="1"/>
  <c r="E6129" i="1"/>
  <c r="C6129" i="1"/>
  <c r="G6128" i="1"/>
  <c r="E6128" i="1"/>
  <c r="C6128" i="1"/>
  <c r="G6127" i="1"/>
  <c r="E6127" i="1"/>
  <c r="C6127" i="1"/>
  <c r="G6126" i="1"/>
  <c r="E6126" i="1"/>
  <c r="C6126" i="1"/>
  <c r="G6125" i="1"/>
  <c r="E6125" i="1"/>
  <c r="C6125" i="1"/>
  <c r="G6124" i="1"/>
  <c r="E6124" i="1"/>
  <c r="C6124" i="1"/>
  <c r="G6123" i="1"/>
  <c r="E6123" i="1"/>
  <c r="C6123" i="1"/>
  <c r="G6122" i="1"/>
  <c r="E6122" i="1"/>
  <c r="C6122" i="1"/>
  <c r="G6121" i="1"/>
  <c r="E6121" i="1"/>
  <c r="C6121" i="1"/>
  <c r="G6120" i="1"/>
  <c r="E6120" i="1"/>
  <c r="C6120" i="1"/>
  <c r="G6119" i="1"/>
  <c r="E6119" i="1"/>
  <c r="C6119" i="1"/>
  <c r="G6118" i="1"/>
  <c r="E6118" i="1"/>
  <c r="C6118" i="1"/>
  <c r="G6117" i="1"/>
  <c r="E6117" i="1"/>
  <c r="C6117" i="1"/>
  <c r="G6116" i="1"/>
  <c r="E6116" i="1"/>
  <c r="C6116" i="1"/>
  <c r="G6115" i="1"/>
  <c r="E6115" i="1"/>
  <c r="C6115" i="1"/>
  <c r="G6114" i="1"/>
  <c r="E6114" i="1"/>
  <c r="C6114" i="1"/>
  <c r="G6113" i="1"/>
  <c r="E6113" i="1"/>
  <c r="C6113" i="1"/>
  <c r="G6112" i="1"/>
  <c r="E6112" i="1"/>
  <c r="C6112" i="1"/>
  <c r="G6111" i="1"/>
  <c r="E6111" i="1"/>
  <c r="C6111" i="1"/>
  <c r="G6110" i="1"/>
  <c r="E6110" i="1"/>
  <c r="C6110" i="1"/>
  <c r="G6109" i="1"/>
  <c r="E6109" i="1"/>
  <c r="C6109" i="1"/>
  <c r="G6108" i="1"/>
  <c r="E6108" i="1"/>
  <c r="C6108" i="1"/>
  <c r="G6107" i="1"/>
  <c r="E6107" i="1"/>
  <c r="C6107" i="1"/>
  <c r="G6106" i="1"/>
  <c r="E6106" i="1"/>
  <c r="C6106" i="1"/>
  <c r="G6105" i="1"/>
  <c r="E6105" i="1"/>
  <c r="C6105" i="1"/>
  <c r="G6104" i="1"/>
  <c r="E6104" i="1"/>
  <c r="C6104" i="1"/>
  <c r="G6103" i="1"/>
  <c r="E6103" i="1"/>
  <c r="C6103" i="1"/>
  <c r="G6102" i="1"/>
  <c r="E6102" i="1"/>
  <c r="C6102" i="1"/>
  <c r="G6101" i="1"/>
  <c r="E6101" i="1"/>
  <c r="C6101" i="1"/>
  <c r="G6100" i="1"/>
  <c r="E6100" i="1"/>
  <c r="C6100" i="1"/>
  <c r="G6099" i="1"/>
  <c r="E6099" i="1"/>
  <c r="C6099" i="1"/>
  <c r="G6098" i="1"/>
  <c r="E6098" i="1"/>
  <c r="C6098" i="1"/>
  <c r="G6097" i="1"/>
  <c r="E6097" i="1"/>
  <c r="C6097" i="1"/>
  <c r="G6096" i="1"/>
  <c r="E6096" i="1"/>
  <c r="C6096" i="1"/>
  <c r="G6095" i="1"/>
  <c r="E6095" i="1"/>
  <c r="C6095" i="1"/>
  <c r="G6094" i="1"/>
  <c r="E6094" i="1"/>
  <c r="C6094" i="1"/>
  <c r="G6093" i="1"/>
  <c r="E6093" i="1"/>
  <c r="C6093" i="1"/>
  <c r="G6092" i="1"/>
  <c r="E6092" i="1"/>
  <c r="C6092" i="1"/>
  <c r="G6091" i="1"/>
  <c r="E6091" i="1"/>
  <c r="C6091" i="1"/>
  <c r="G6090" i="1"/>
  <c r="E6090" i="1"/>
  <c r="C6090" i="1"/>
  <c r="G6089" i="1"/>
  <c r="E6089" i="1"/>
  <c r="C6089" i="1"/>
  <c r="G6088" i="1"/>
  <c r="E6088" i="1"/>
  <c r="C6088" i="1"/>
  <c r="G6087" i="1"/>
  <c r="E6087" i="1"/>
  <c r="C6087" i="1"/>
  <c r="G6086" i="1"/>
  <c r="E6086" i="1"/>
  <c r="C6086" i="1"/>
  <c r="G6085" i="1"/>
  <c r="E6085" i="1"/>
  <c r="C6085" i="1"/>
  <c r="G6084" i="1"/>
  <c r="E6084" i="1"/>
  <c r="C6084" i="1"/>
  <c r="G6083" i="1"/>
  <c r="E6083" i="1"/>
  <c r="C6083" i="1"/>
  <c r="G6082" i="1"/>
  <c r="E6082" i="1"/>
  <c r="C6082" i="1"/>
  <c r="G6081" i="1"/>
  <c r="E6081" i="1"/>
  <c r="C6081" i="1"/>
  <c r="G6080" i="1"/>
  <c r="E6080" i="1"/>
  <c r="C6080" i="1"/>
  <c r="G6079" i="1"/>
  <c r="E6079" i="1"/>
  <c r="C6079" i="1"/>
  <c r="G6078" i="1"/>
  <c r="E6078" i="1"/>
  <c r="C6078" i="1"/>
  <c r="G6077" i="1"/>
  <c r="E6077" i="1"/>
  <c r="C6077" i="1"/>
  <c r="G6076" i="1"/>
  <c r="E6076" i="1"/>
  <c r="C6076" i="1"/>
  <c r="G6075" i="1"/>
  <c r="E6075" i="1"/>
  <c r="C6075" i="1"/>
  <c r="G6074" i="1"/>
  <c r="E6074" i="1"/>
  <c r="C6074" i="1"/>
  <c r="G6073" i="1"/>
  <c r="E6073" i="1"/>
  <c r="C6073" i="1"/>
  <c r="G6072" i="1"/>
  <c r="E6072" i="1"/>
  <c r="C6072" i="1"/>
  <c r="G6071" i="1"/>
  <c r="E6071" i="1"/>
  <c r="C6071" i="1"/>
  <c r="G6070" i="1"/>
  <c r="E6070" i="1"/>
  <c r="C6070" i="1"/>
  <c r="G6069" i="1"/>
  <c r="E6069" i="1"/>
  <c r="C6069" i="1"/>
  <c r="G6068" i="1"/>
  <c r="E6068" i="1"/>
  <c r="C6068" i="1"/>
  <c r="G6067" i="1"/>
  <c r="E6067" i="1"/>
  <c r="C6067" i="1"/>
  <c r="G6066" i="1"/>
  <c r="E6066" i="1"/>
  <c r="C6066" i="1"/>
  <c r="G6065" i="1"/>
  <c r="E6065" i="1"/>
  <c r="C6065" i="1"/>
  <c r="G6064" i="1"/>
  <c r="E6064" i="1"/>
  <c r="C6064" i="1"/>
  <c r="G6063" i="1"/>
  <c r="E6063" i="1"/>
  <c r="C6063" i="1"/>
  <c r="G6062" i="1"/>
  <c r="E6062" i="1"/>
  <c r="C6062" i="1"/>
  <c r="G6061" i="1"/>
  <c r="E6061" i="1"/>
  <c r="C6061" i="1"/>
  <c r="G6060" i="1"/>
  <c r="E6060" i="1"/>
  <c r="C6060" i="1"/>
  <c r="G6059" i="1"/>
  <c r="E6059" i="1"/>
  <c r="C6059" i="1"/>
  <c r="G6058" i="1"/>
  <c r="E6058" i="1"/>
  <c r="C6058" i="1"/>
  <c r="G6057" i="1"/>
  <c r="E6057" i="1"/>
  <c r="C6057" i="1"/>
  <c r="G6056" i="1"/>
  <c r="E6056" i="1"/>
  <c r="C6056" i="1"/>
  <c r="G6055" i="1"/>
  <c r="E6055" i="1"/>
  <c r="C6055" i="1"/>
  <c r="G6054" i="1"/>
  <c r="E6054" i="1"/>
  <c r="C6054" i="1"/>
  <c r="G6053" i="1"/>
  <c r="E6053" i="1"/>
  <c r="C6053" i="1"/>
  <c r="G6052" i="1"/>
  <c r="E6052" i="1"/>
  <c r="C6052" i="1"/>
  <c r="G6051" i="1"/>
  <c r="E6051" i="1"/>
  <c r="C6051" i="1"/>
  <c r="G6050" i="1"/>
  <c r="E6050" i="1"/>
  <c r="C6050" i="1"/>
  <c r="G6049" i="1"/>
  <c r="E6049" i="1"/>
  <c r="C6049" i="1"/>
  <c r="G6048" i="1"/>
  <c r="E6048" i="1"/>
  <c r="C6048" i="1"/>
  <c r="G6047" i="1"/>
  <c r="E6047" i="1"/>
  <c r="C6047" i="1"/>
  <c r="G6046" i="1"/>
  <c r="E6046" i="1"/>
  <c r="C6046" i="1"/>
  <c r="G6045" i="1"/>
  <c r="E6045" i="1"/>
  <c r="C6045" i="1"/>
  <c r="G6044" i="1"/>
  <c r="E6044" i="1"/>
  <c r="C6044" i="1"/>
  <c r="G6043" i="1"/>
  <c r="E6043" i="1"/>
  <c r="C6043" i="1"/>
  <c r="G6042" i="1"/>
  <c r="E6042" i="1"/>
  <c r="C6042" i="1"/>
  <c r="G6041" i="1"/>
  <c r="E6041" i="1"/>
  <c r="C6041" i="1"/>
  <c r="G6040" i="1"/>
  <c r="E6040" i="1"/>
  <c r="C6040" i="1"/>
  <c r="G6039" i="1"/>
  <c r="E6039" i="1"/>
  <c r="C6039" i="1"/>
  <c r="G6038" i="1"/>
  <c r="E6038" i="1"/>
  <c r="C6038" i="1"/>
  <c r="G6037" i="1"/>
  <c r="E6037" i="1"/>
  <c r="C6037" i="1"/>
  <c r="G6036" i="1"/>
  <c r="E6036" i="1"/>
  <c r="C6036" i="1"/>
  <c r="G6035" i="1"/>
  <c r="E6035" i="1"/>
  <c r="C6035" i="1"/>
  <c r="G6034" i="1"/>
  <c r="E6034" i="1"/>
  <c r="C6034" i="1"/>
  <c r="G6033" i="1"/>
  <c r="E6033" i="1"/>
  <c r="C6033" i="1"/>
  <c r="G6032" i="1"/>
  <c r="E6032" i="1"/>
  <c r="C6032" i="1"/>
  <c r="G6031" i="1"/>
  <c r="E6031" i="1"/>
  <c r="C6031" i="1"/>
  <c r="G6030" i="1"/>
  <c r="E6030" i="1"/>
  <c r="C6030" i="1"/>
  <c r="G6029" i="1"/>
  <c r="E6029" i="1"/>
  <c r="C6029" i="1"/>
  <c r="G6028" i="1"/>
  <c r="E6028" i="1"/>
  <c r="C6028" i="1"/>
  <c r="G6027" i="1"/>
  <c r="E6027" i="1"/>
  <c r="C6027" i="1"/>
  <c r="G6026" i="1"/>
  <c r="E6026" i="1"/>
  <c r="C6026" i="1"/>
  <c r="G6025" i="1"/>
  <c r="E6025" i="1"/>
  <c r="C6025" i="1"/>
  <c r="G6024" i="1"/>
  <c r="E6024" i="1"/>
  <c r="C6024" i="1"/>
  <c r="G6023" i="1"/>
  <c r="E6023" i="1"/>
  <c r="C6023" i="1"/>
  <c r="G6022" i="1"/>
  <c r="E6022" i="1"/>
  <c r="C6022" i="1"/>
  <c r="G6021" i="1"/>
  <c r="E6021" i="1"/>
  <c r="C6021" i="1"/>
  <c r="G6020" i="1"/>
  <c r="E6020" i="1"/>
  <c r="C6020" i="1"/>
  <c r="G6019" i="1"/>
  <c r="E6019" i="1"/>
  <c r="C6019" i="1"/>
  <c r="G6018" i="1"/>
  <c r="E6018" i="1"/>
  <c r="C6018" i="1"/>
  <c r="G6017" i="1"/>
  <c r="E6017" i="1"/>
  <c r="C6017" i="1"/>
  <c r="G6016" i="1"/>
  <c r="E6016" i="1"/>
  <c r="C6016" i="1"/>
  <c r="G6015" i="1"/>
  <c r="E6015" i="1"/>
  <c r="C6015" i="1"/>
  <c r="G6014" i="1"/>
  <c r="E6014" i="1"/>
  <c r="C6014" i="1"/>
  <c r="G6013" i="1"/>
  <c r="E6013" i="1"/>
  <c r="C6013" i="1"/>
  <c r="G6012" i="1"/>
  <c r="E6012" i="1"/>
  <c r="C6012" i="1"/>
  <c r="G6011" i="1"/>
  <c r="E6011" i="1"/>
  <c r="C6011" i="1"/>
  <c r="G6010" i="1"/>
  <c r="E6010" i="1"/>
  <c r="C6010" i="1"/>
  <c r="G6009" i="1"/>
  <c r="E6009" i="1"/>
  <c r="C6009" i="1"/>
  <c r="G6008" i="1"/>
  <c r="E6008" i="1"/>
  <c r="C6008" i="1"/>
  <c r="G6007" i="1"/>
  <c r="E6007" i="1"/>
  <c r="C6007" i="1"/>
  <c r="G6006" i="1"/>
  <c r="E6006" i="1"/>
  <c r="C6006" i="1"/>
  <c r="G6005" i="1"/>
  <c r="E6005" i="1"/>
  <c r="C6005" i="1"/>
  <c r="G6004" i="1"/>
  <c r="E6004" i="1"/>
  <c r="C6004" i="1"/>
  <c r="G6003" i="1"/>
  <c r="E6003" i="1"/>
  <c r="C6003" i="1"/>
  <c r="G6002" i="1"/>
  <c r="E6002" i="1"/>
  <c r="C6002" i="1"/>
  <c r="G6001" i="1"/>
  <c r="E6001" i="1"/>
  <c r="C6001" i="1"/>
  <c r="G6000" i="1"/>
  <c r="E6000" i="1"/>
  <c r="C6000" i="1"/>
  <c r="G5999" i="1"/>
  <c r="E5999" i="1"/>
  <c r="C5999" i="1"/>
  <c r="G5998" i="1"/>
  <c r="E5998" i="1"/>
  <c r="C5998" i="1"/>
  <c r="G5997" i="1"/>
  <c r="E5997" i="1"/>
  <c r="C5997" i="1"/>
  <c r="G5996" i="1"/>
  <c r="E5996" i="1"/>
  <c r="C5996" i="1"/>
  <c r="G5995" i="1"/>
  <c r="E5995" i="1"/>
  <c r="C5995" i="1"/>
  <c r="G5994" i="1"/>
  <c r="E5994" i="1"/>
  <c r="C5994" i="1"/>
  <c r="G5993" i="1"/>
  <c r="E5993" i="1"/>
  <c r="C5993" i="1"/>
  <c r="G5992" i="1"/>
  <c r="E5992" i="1"/>
  <c r="C5992" i="1"/>
  <c r="G5991" i="1"/>
  <c r="E5991" i="1"/>
  <c r="C5991" i="1"/>
  <c r="G5990" i="1"/>
  <c r="E5990" i="1"/>
  <c r="C5990" i="1"/>
  <c r="G5989" i="1"/>
  <c r="E5989" i="1"/>
  <c r="C5989" i="1"/>
  <c r="G5988" i="1"/>
  <c r="E5988" i="1"/>
  <c r="C5988" i="1"/>
  <c r="G5987" i="1"/>
  <c r="E5987" i="1"/>
  <c r="C5987" i="1"/>
  <c r="G5986" i="1"/>
  <c r="E5986" i="1"/>
  <c r="C5986" i="1"/>
  <c r="G5985" i="1"/>
  <c r="E5985" i="1"/>
  <c r="C5985" i="1"/>
  <c r="G5984" i="1"/>
  <c r="E5984" i="1"/>
  <c r="C5984" i="1"/>
  <c r="G5983" i="1"/>
  <c r="E5983" i="1"/>
  <c r="C5983" i="1"/>
  <c r="G5982" i="1"/>
  <c r="E5982" i="1"/>
  <c r="C5982" i="1"/>
  <c r="G5981" i="1"/>
  <c r="E5981" i="1"/>
  <c r="C5981" i="1"/>
  <c r="G5980" i="1"/>
  <c r="E5980" i="1"/>
  <c r="C5980" i="1"/>
  <c r="G5979" i="1"/>
  <c r="E5979" i="1"/>
  <c r="C5979" i="1"/>
  <c r="G5978" i="1"/>
  <c r="E5978" i="1"/>
  <c r="C5978" i="1"/>
  <c r="G5977" i="1"/>
  <c r="E5977" i="1"/>
  <c r="C5977" i="1"/>
  <c r="G5976" i="1"/>
  <c r="E5976" i="1"/>
  <c r="C5976" i="1"/>
  <c r="G5975" i="1"/>
  <c r="E5975" i="1"/>
  <c r="C5975" i="1"/>
  <c r="G5974" i="1"/>
  <c r="E5974" i="1"/>
  <c r="C5974" i="1"/>
  <c r="G5973" i="1"/>
  <c r="E5973" i="1"/>
  <c r="C5973" i="1"/>
  <c r="G5972" i="1"/>
  <c r="E5972" i="1"/>
  <c r="C5972" i="1"/>
  <c r="G5971" i="1"/>
  <c r="E5971" i="1"/>
  <c r="C5971" i="1"/>
  <c r="G5970" i="1"/>
  <c r="E5970" i="1"/>
  <c r="C5970" i="1"/>
  <c r="G5969" i="1"/>
  <c r="E5969" i="1"/>
  <c r="C5969" i="1"/>
  <c r="G5968" i="1"/>
  <c r="E5968" i="1"/>
  <c r="C5968" i="1"/>
  <c r="G5967" i="1"/>
  <c r="E5967" i="1"/>
  <c r="C5967" i="1"/>
  <c r="G5966" i="1"/>
  <c r="E5966" i="1"/>
  <c r="C5966" i="1"/>
  <c r="G5965" i="1"/>
  <c r="E5965" i="1"/>
  <c r="C5965" i="1"/>
  <c r="G5964" i="1"/>
  <c r="E5964" i="1"/>
  <c r="C5964" i="1"/>
  <c r="G5963" i="1"/>
  <c r="E5963" i="1"/>
  <c r="C5963" i="1"/>
  <c r="G5962" i="1"/>
  <c r="E5962" i="1"/>
  <c r="C5962" i="1"/>
  <c r="G5961" i="1"/>
  <c r="E5961" i="1"/>
  <c r="C5961" i="1"/>
  <c r="G5960" i="1"/>
  <c r="E5960" i="1"/>
  <c r="C5960" i="1"/>
  <c r="G5959" i="1"/>
  <c r="E5959" i="1"/>
  <c r="C5959" i="1"/>
  <c r="G5958" i="1"/>
  <c r="E5958" i="1"/>
  <c r="C5958" i="1"/>
  <c r="G5957" i="1"/>
  <c r="E5957" i="1"/>
  <c r="C5957" i="1"/>
  <c r="G5956" i="1"/>
  <c r="E5956" i="1"/>
  <c r="C5956" i="1"/>
  <c r="G5955" i="1"/>
  <c r="E5955" i="1"/>
  <c r="C5955" i="1"/>
  <c r="G5954" i="1"/>
  <c r="E5954" i="1"/>
  <c r="C5954" i="1"/>
  <c r="G5953" i="1"/>
  <c r="E5953" i="1"/>
  <c r="C5953" i="1"/>
  <c r="G5952" i="1"/>
  <c r="E5952" i="1"/>
  <c r="C5952" i="1"/>
  <c r="G5951" i="1"/>
  <c r="E5951" i="1"/>
  <c r="C5951" i="1"/>
  <c r="G5950" i="1"/>
  <c r="E5950" i="1"/>
  <c r="C5950" i="1"/>
  <c r="G5949" i="1"/>
  <c r="E5949" i="1"/>
  <c r="C5949" i="1"/>
  <c r="G5948" i="1"/>
  <c r="E5948" i="1"/>
  <c r="C5948" i="1"/>
  <c r="G5947" i="1"/>
  <c r="E5947" i="1"/>
  <c r="C5947" i="1"/>
  <c r="G5946" i="1"/>
  <c r="E5946" i="1"/>
  <c r="C5946" i="1"/>
  <c r="G5945" i="1"/>
  <c r="E5945" i="1"/>
  <c r="C5945" i="1"/>
  <c r="G5944" i="1"/>
  <c r="E5944" i="1"/>
  <c r="C5944" i="1"/>
  <c r="G5943" i="1"/>
  <c r="E5943" i="1"/>
  <c r="C5943" i="1"/>
  <c r="G5942" i="1"/>
  <c r="E5942" i="1"/>
  <c r="C5942" i="1"/>
  <c r="G5941" i="1"/>
  <c r="E5941" i="1"/>
  <c r="C5941" i="1"/>
  <c r="G5940" i="1"/>
  <c r="E5940" i="1"/>
  <c r="C5940" i="1"/>
  <c r="G5939" i="1"/>
  <c r="E5939" i="1"/>
  <c r="C5939" i="1"/>
  <c r="G5938" i="1"/>
  <c r="E5938" i="1"/>
  <c r="C5938" i="1"/>
  <c r="G5937" i="1"/>
  <c r="E5937" i="1"/>
  <c r="C5937" i="1"/>
  <c r="G5936" i="1"/>
  <c r="E5936" i="1"/>
  <c r="C5936" i="1"/>
  <c r="G5935" i="1"/>
  <c r="E5935" i="1"/>
  <c r="C5935" i="1"/>
  <c r="G5934" i="1"/>
  <c r="E5934" i="1"/>
  <c r="C5934" i="1"/>
  <c r="G5933" i="1"/>
  <c r="E5933" i="1"/>
  <c r="C5933" i="1"/>
  <c r="G5932" i="1"/>
  <c r="E5932" i="1"/>
  <c r="C5932" i="1"/>
  <c r="G5931" i="1"/>
  <c r="E5931" i="1"/>
  <c r="C5931" i="1"/>
  <c r="G5930" i="1"/>
  <c r="E5930" i="1"/>
  <c r="C5930" i="1"/>
  <c r="G5929" i="1"/>
  <c r="E5929" i="1"/>
  <c r="C5929" i="1"/>
  <c r="G5928" i="1"/>
  <c r="E5928" i="1"/>
  <c r="C5928" i="1"/>
  <c r="G5927" i="1"/>
  <c r="E5927" i="1"/>
  <c r="C5927" i="1"/>
  <c r="G5926" i="1"/>
  <c r="E5926" i="1"/>
  <c r="C5926" i="1"/>
  <c r="G5925" i="1"/>
  <c r="E5925" i="1"/>
  <c r="C5925" i="1"/>
  <c r="G5924" i="1"/>
  <c r="E5924" i="1"/>
  <c r="C5924" i="1"/>
  <c r="G5923" i="1"/>
  <c r="E5923" i="1"/>
  <c r="C5923" i="1"/>
  <c r="G5922" i="1"/>
  <c r="E5922" i="1"/>
  <c r="C5922" i="1"/>
  <c r="G5921" i="1"/>
  <c r="E5921" i="1"/>
  <c r="C5921" i="1"/>
  <c r="G5920" i="1"/>
  <c r="E5920" i="1"/>
  <c r="C5920" i="1"/>
  <c r="G5919" i="1"/>
  <c r="E5919" i="1"/>
  <c r="C5919" i="1"/>
  <c r="G5918" i="1"/>
  <c r="E5918" i="1"/>
  <c r="C5918" i="1"/>
  <c r="G5917" i="1"/>
  <c r="E5917" i="1"/>
  <c r="C5917" i="1"/>
  <c r="G5916" i="1"/>
  <c r="E5916" i="1"/>
  <c r="C5916" i="1"/>
  <c r="G5915" i="1"/>
  <c r="E5915" i="1"/>
  <c r="C5915" i="1"/>
  <c r="G5914" i="1"/>
  <c r="E5914" i="1"/>
  <c r="C5914" i="1"/>
  <c r="G5913" i="1"/>
  <c r="E5913" i="1"/>
  <c r="C5913" i="1"/>
  <c r="G5912" i="1"/>
  <c r="E5912" i="1"/>
  <c r="C5912" i="1"/>
  <c r="G5911" i="1"/>
  <c r="E5911" i="1"/>
  <c r="C5911" i="1"/>
  <c r="G5910" i="1"/>
  <c r="E5910" i="1"/>
  <c r="C5910" i="1"/>
  <c r="G5909" i="1"/>
  <c r="E5909" i="1"/>
  <c r="C5909" i="1"/>
  <c r="G5908" i="1"/>
  <c r="E5908" i="1"/>
  <c r="C5908" i="1"/>
  <c r="G5907" i="1"/>
  <c r="E5907" i="1"/>
  <c r="C5907" i="1"/>
  <c r="G5906" i="1"/>
  <c r="E5906" i="1"/>
  <c r="C5906" i="1"/>
  <c r="G5905" i="1"/>
  <c r="E5905" i="1"/>
  <c r="C5905" i="1"/>
  <c r="G5904" i="1"/>
  <c r="E5904" i="1"/>
  <c r="C5904" i="1"/>
  <c r="G5903" i="1"/>
  <c r="E5903" i="1"/>
  <c r="C5903" i="1"/>
  <c r="G5902" i="1"/>
  <c r="E5902" i="1"/>
  <c r="C5902" i="1"/>
  <c r="G5901" i="1"/>
  <c r="E5901" i="1"/>
  <c r="C5901" i="1"/>
  <c r="G5900" i="1"/>
  <c r="E5900" i="1"/>
  <c r="C5900" i="1"/>
  <c r="G5899" i="1"/>
  <c r="E5899" i="1"/>
  <c r="C5899" i="1"/>
  <c r="G5898" i="1"/>
  <c r="E5898" i="1"/>
  <c r="C5898" i="1"/>
  <c r="G5897" i="1"/>
  <c r="E5897" i="1"/>
  <c r="C5897" i="1"/>
  <c r="G5896" i="1"/>
  <c r="E5896" i="1"/>
  <c r="C5896" i="1"/>
  <c r="G5895" i="1"/>
  <c r="E5895" i="1"/>
  <c r="C5895" i="1"/>
  <c r="G5894" i="1"/>
  <c r="E5894" i="1"/>
  <c r="C5894" i="1"/>
  <c r="G5893" i="1"/>
  <c r="E5893" i="1"/>
  <c r="C5893" i="1"/>
  <c r="G5892" i="1"/>
  <c r="E5892" i="1"/>
  <c r="C5892" i="1"/>
  <c r="G5891" i="1"/>
  <c r="E5891" i="1"/>
  <c r="C5891" i="1"/>
  <c r="G5890" i="1"/>
  <c r="E5890" i="1"/>
  <c r="C5890" i="1"/>
  <c r="G5889" i="1"/>
  <c r="E5889" i="1"/>
  <c r="C5889" i="1"/>
  <c r="G5888" i="1"/>
  <c r="E5888" i="1"/>
  <c r="C5888" i="1"/>
  <c r="G5887" i="1"/>
  <c r="E5887" i="1"/>
  <c r="C5887" i="1"/>
  <c r="G5886" i="1"/>
  <c r="E5886" i="1"/>
  <c r="C5886" i="1"/>
  <c r="G5885" i="1"/>
  <c r="E5885" i="1"/>
  <c r="C5885" i="1"/>
  <c r="G5884" i="1"/>
  <c r="E5884" i="1"/>
  <c r="C5884" i="1"/>
  <c r="G5883" i="1"/>
  <c r="E5883" i="1"/>
  <c r="C5883" i="1"/>
  <c r="G5882" i="1"/>
  <c r="E5882" i="1"/>
  <c r="C5882" i="1"/>
  <c r="G5881" i="1"/>
  <c r="E5881" i="1"/>
  <c r="C5881" i="1"/>
  <c r="G5880" i="1"/>
  <c r="E5880" i="1"/>
  <c r="C5880" i="1"/>
  <c r="G5879" i="1"/>
  <c r="E5879" i="1"/>
  <c r="C5879" i="1"/>
  <c r="G5878" i="1"/>
  <c r="E5878" i="1"/>
  <c r="C5878" i="1"/>
  <c r="G5877" i="1"/>
  <c r="E5877" i="1"/>
  <c r="C5877" i="1"/>
  <c r="G5876" i="1"/>
  <c r="E5876" i="1"/>
  <c r="C5876" i="1"/>
  <c r="G5875" i="1"/>
  <c r="E5875" i="1"/>
  <c r="C5875" i="1"/>
  <c r="G5874" i="1"/>
  <c r="E5874" i="1"/>
  <c r="C5874" i="1"/>
  <c r="G5873" i="1"/>
  <c r="E5873" i="1"/>
  <c r="C5873" i="1"/>
  <c r="G5872" i="1"/>
  <c r="E5872" i="1"/>
  <c r="C5872" i="1"/>
  <c r="G5871" i="1"/>
  <c r="E5871" i="1"/>
  <c r="C5871" i="1"/>
  <c r="G5870" i="1"/>
  <c r="E5870" i="1"/>
  <c r="C5870" i="1"/>
  <c r="G5869" i="1"/>
  <c r="E5869" i="1"/>
  <c r="C5869" i="1"/>
  <c r="G5868" i="1"/>
  <c r="E5868" i="1"/>
  <c r="C5868" i="1"/>
  <c r="G5867" i="1"/>
  <c r="E5867" i="1"/>
  <c r="C5867" i="1"/>
  <c r="G5866" i="1"/>
  <c r="E5866" i="1"/>
  <c r="C5866" i="1"/>
  <c r="G5865" i="1"/>
  <c r="E5865" i="1"/>
  <c r="C5865" i="1"/>
  <c r="G5864" i="1"/>
  <c r="E5864" i="1"/>
  <c r="C5864" i="1"/>
  <c r="G5863" i="1"/>
  <c r="E5863" i="1"/>
  <c r="C5863" i="1"/>
  <c r="G5862" i="1"/>
  <c r="E5862" i="1"/>
  <c r="C5862" i="1"/>
  <c r="G5861" i="1"/>
  <c r="E5861" i="1"/>
  <c r="C5861" i="1"/>
  <c r="G5860" i="1"/>
  <c r="E5860" i="1"/>
  <c r="C5860" i="1"/>
  <c r="G5859" i="1"/>
  <c r="E5859" i="1"/>
  <c r="C5859" i="1"/>
  <c r="G5858" i="1"/>
  <c r="E5858" i="1"/>
  <c r="C5858" i="1"/>
  <c r="G5857" i="1"/>
  <c r="E5857" i="1"/>
  <c r="C5857" i="1"/>
  <c r="G5856" i="1"/>
  <c r="E5856" i="1"/>
  <c r="C5856" i="1"/>
  <c r="G5855" i="1"/>
  <c r="E5855" i="1"/>
  <c r="C5855" i="1"/>
  <c r="G5854" i="1"/>
  <c r="E5854" i="1"/>
  <c r="C5854" i="1"/>
  <c r="G5853" i="1"/>
  <c r="E5853" i="1"/>
  <c r="C5853" i="1"/>
  <c r="G5852" i="1"/>
  <c r="E5852" i="1"/>
  <c r="C5852" i="1"/>
  <c r="G5851" i="1"/>
  <c r="E5851" i="1"/>
  <c r="C5851" i="1"/>
  <c r="G5850" i="1"/>
  <c r="E5850" i="1"/>
  <c r="C5850" i="1"/>
  <c r="G5849" i="1"/>
  <c r="E5849" i="1"/>
  <c r="C5849" i="1"/>
  <c r="G5848" i="1"/>
  <c r="E5848" i="1"/>
  <c r="C5848" i="1"/>
  <c r="G5847" i="1"/>
  <c r="E5847" i="1"/>
  <c r="C5847" i="1"/>
  <c r="G5846" i="1"/>
  <c r="E5846" i="1"/>
  <c r="C5846" i="1"/>
  <c r="G5845" i="1"/>
  <c r="E5845" i="1"/>
  <c r="C5845" i="1"/>
  <c r="G5844" i="1"/>
  <c r="E5844" i="1"/>
  <c r="C5844" i="1"/>
  <c r="G5843" i="1"/>
  <c r="E5843" i="1"/>
  <c r="C5843" i="1"/>
  <c r="G5842" i="1"/>
  <c r="E5842" i="1"/>
  <c r="C5842" i="1"/>
  <c r="G5841" i="1"/>
  <c r="E5841" i="1"/>
  <c r="C5841" i="1"/>
  <c r="G5840" i="1"/>
  <c r="E5840" i="1"/>
  <c r="C5840" i="1"/>
  <c r="G5839" i="1"/>
  <c r="E5839" i="1"/>
  <c r="C5839" i="1"/>
  <c r="G5838" i="1"/>
  <c r="E5838" i="1"/>
  <c r="C5838" i="1"/>
  <c r="G5837" i="1"/>
  <c r="E5837" i="1"/>
  <c r="C5837" i="1"/>
  <c r="G5836" i="1"/>
  <c r="E5836" i="1"/>
  <c r="C5836" i="1"/>
  <c r="G5835" i="1"/>
  <c r="E5835" i="1"/>
  <c r="C5835" i="1"/>
  <c r="G5834" i="1"/>
  <c r="E5834" i="1"/>
  <c r="C5834" i="1"/>
  <c r="G5833" i="1"/>
  <c r="E5833" i="1"/>
  <c r="C5833" i="1"/>
  <c r="G5832" i="1"/>
  <c r="E5832" i="1"/>
  <c r="C5832" i="1"/>
  <c r="G5831" i="1"/>
  <c r="E5831" i="1"/>
  <c r="C5831" i="1"/>
  <c r="G5830" i="1"/>
  <c r="E5830" i="1"/>
  <c r="C5830" i="1"/>
  <c r="G5829" i="1"/>
  <c r="E5829" i="1"/>
  <c r="C5829" i="1"/>
  <c r="G5828" i="1"/>
  <c r="E5828" i="1"/>
  <c r="C5828" i="1"/>
  <c r="G5827" i="1"/>
  <c r="E5827" i="1"/>
  <c r="C5827" i="1"/>
  <c r="G5826" i="1"/>
  <c r="E5826" i="1"/>
  <c r="C5826" i="1"/>
  <c r="G5825" i="1"/>
  <c r="E5825" i="1"/>
  <c r="C5825" i="1"/>
  <c r="G5824" i="1"/>
  <c r="E5824" i="1"/>
  <c r="C5824" i="1"/>
  <c r="G5823" i="1"/>
  <c r="E5823" i="1"/>
  <c r="C5823" i="1"/>
  <c r="G5822" i="1"/>
  <c r="E5822" i="1"/>
  <c r="C5822" i="1"/>
  <c r="G5821" i="1"/>
  <c r="E5821" i="1"/>
  <c r="C5821" i="1"/>
  <c r="G5820" i="1"/>
  <c r="E5820" i="1"/>
  <c r="C5820" i="1"/>
  <c r="G5819" i="1"/>
  <c r="E5819" i="1"/>
  <c r="C5819" i="1"/>
  <c r="G5818" i="1"/>
  <c r="E5818" i="1"/>
  <c r="C5818" i="1"/>
  <c r="G5817" i="1"/>
  <c r="E5817" i="1"/>
  <c r="C5817" i="1"/>
  <c r="G5816" i="1"/>
  <c r="E5816" i="1"/>
  <c r="C5816" i="1"/>
  <c r="G5815" i="1"/>
  <c r="E5815" i="1"/>
  <c r="C5815" i="1"/>
  <c r="G5814" i="1"/>
  <c r="E5814" i="1"/>
  <c r="C5814" i="1"/>
  <c r="G5813" i="1"/>
  <c r="E5813" i="1"/>
  <c r="C5813" i="1"/>
  <c r="G5812" i="1"/>
  <c r="E5812" i="1"/>
  <c r="C5812" i="1"/>
  <c r="G5811" i="1"/>
  <c r="E5811" i="1"/>
  <c r="C5811" i="1"/>
  <c r="G5810" i="1"/>
  <c r="E5810" i="1"/>
  <c r="C5810" i="1"/>
  <c r="G5809" i="1"/>
  <c r="E5809" i="1"/>
  <c r="C5809" i="1"/>
  <c r="G5808" i="1"/>
  <c r="E5808" i="1"/>
  <c r="C5808" i="1"/>
  <c r="G5807" i="1"/>
  <c r="E5807" i="1"/>
  <c r="C5807" i="1"/>
  <c r="G5806" i="1"/>
  <c r="E5806" i="1"/>
  <c r="C5806" i="1"/>
  <c r="G5805" i="1"/>
  <c r="E5805" i="1"/>
  <c r="C5805" i="1"/>
  <c r="G5804" i="1"/>
  <c r="E5804" i="1"/>
  <c r="C5804" i="1"/>
  <c r="G5803" i="1"/>
  <c r="E5803" i="1"/>
  <c r="C5803" i="1"/>
  <c r="G5802" i="1"/>
  <c r="E5802" i="1"/>
  <c r="C5802" i="1"/>
  <c r="G5801" i="1"/>
  <c r="E5801" i="1"/>
  <c r="C5801" i="1"/>
  <c r="G5800" i="1"/>
  <c r="E5800" i="1"/>
  <c r="C5800" i="1"/>
  <c r="G5799" i="1"/>
  <c r="E5799" i="1"/>
  <c r="C5799" i="1"/>
  <c r="G5798" i="1"/>
  <c r="E5798" i="1"/>
  <c r="C5798" i="1"/>
  <c r="G5797" i="1"/>
  <c r="E5797" i="1"/>
  <c r="C5797" i="1"/>
  <c r="G5796" i="1"/>
  <c r="E5796" i="1"/>
  <c r="C5796" i="1"/>
  <c r="G5795" i="1"/>
  <c r="E5795" i="1"/>
  <c r="C5795" i="1"/>
  <c r="G5794" i="1"/>
  <c r="E5794" i="1"/>
  <c r="C5794" i="1"/>
  <c r="G5793" i="1"/>
  <c r="E5793" i="1"/>
  <c r="C5793" i="1"/>
  <c r="G5792" i="1"/>
  <c r="E5792" i="1"/>
  <c r="C5792" i="1"/>
  <c r="G5791" i="1"/>
  <c r="E5791" i="1"/>
  <c r="C5791" i="1"/>
  <c r="G5790" i="1"/>
  <c r="E5790" i="1"/>
  <c r="C5790" i="1"/>
  <c r="G5789" i="1"/>
  <c r="E5789" i="1"/>
  <c r="C5789" i="1"/>
  <c r="G5788" i="1"/>
  <c r="E5788" i="1"/>
  <c r="C5788" i="1"/>
  <c r="G5787" i="1"/>
  <c r="E5787" i="1"/>
  <c r="C5787" i="1"/>
  <c r="G5786" i="1"/>
  <c r="E5786" i="1"/>
  <c r="C5786" i="1"/>
  <c r="G5785" i="1"/>
  <c r="E5785" i="1"/>
  <c r="C5785" i="1"/>
  <c r="G5784" i="1"/>
  <c r="E5784" i="1"/>
  <c r="C5784" i="1"/>
  <c r="G5783" i="1"/>
  <c r="E5783" i="1"/>
  <c r="C5783" i="1"/>
  <c r="G5782" i="1"/>
  <c r="E5782" i="1"/>
  <c r="C5782" i="1"/>
  <c r="G5781" i="1"/>
  <c r="E5781" i="1"/>
  <c r="C5781" i="1"/>
  <c r="G5780" i="1"/>
  <c r="E5780" i="1"/>
  <c r="C5780" i="1"/>
  <c r="G5779" i="1"/>
  <c r="E5779" i="1"/>
  <c r="C5779" i="1"/>
  <c r="G5778" i="1"/>
  <c r="E5778" i="1"/>
  <c r="C5778" i="1"/>
  <c r="G5777" i="1"/>
  <c r="E5777" i="1"/>
  <c r="C5777" i="1"/>
  <c r="G5776" i="1"/>
  <c r="E5776" i="1"/>
  <c r="C5776" i="1"/>
  <c r="G5775" i="1"/>
  <c r="E5775" i="1"/>
  <c r="C5775" i="1"/>
  <c r="G5774" i="1"/>
  <c r="E5774" i="1"/>
  <c r="C5774" i="1"/>
  <c r="G5773" i="1"/>
  <c r="E5773" i="1"/>
  <c r="C5773" i="1"/>
  <c r="G5772" i="1"/>
  <c r="E5772" i="1"/>
  <c r="C5772" i="1"/>
  <c r="G5771" i="1"/>
  <c r="E5771" i="1"/>
  <c r="C5771" i="1"/>
  <c r="G5770" i="1"/>
  <c r="E5770" i="1"/>
  <c r="C5770" i="1"/>
  <c r="G5769" i="1"/>
  <c r="E5769" i="1"/>
  <c r="C5769" i="1"/>
  <c r="G5768" i="1"/>
  <c r="E5768" i="1"/>
  <c r="C5768" i="1"/>
  <c r="G5767" i="1"/>
  <c r="E5767" i="1"/>
  <c r="C5767" i="1"/>
  <c r="G5766" i="1"/>
  <c r="E5766" i="1"/>
  <c r="C5766" i="1"/>
  <c r="G5765" i="1"/>
  <c r="E5765" i="1"/>
  <c r="C5765" i="1"/>
  <c r="G5764" i="1"/>
  <c r="E5764" i="1"/>
  <c r="C5764" i="1"/>
  <c r="G5763" i="1"/>
  <c r="E5763" i="1"/>
  <c r="C5763" i="1"/>
  <c r="G5762" i="1"/>
  <c r="E5762" i="1"/>
  <c r="C5762" i="1"/>
  <c r="G5761" i="1"/>
  <c r="E5761" i="1"/>
  <c r="C5761" i="1"/>
  <c r="G5760" i="1"/>
  <c r="E5760" i="1"/>
  <c r="C5760" i="1"/>
  <c r="G5759" i="1"/>
  <c r="E5759" i="1"/>
  <c r="C5759" i="1"/>
  <c r="G5758" i="1"/>
  <c r="E5758" i="1"/>
  <c r="C5758" i="1"/>
  <c r="G5757" i="1"/>
  <c r="E5757" i="1"/>
  <c r="C5757" i="1"/>
  <c r="G5756" i="1"/>
  <c r="E5756" i="1"/>
  <c r="C5756" i="1"/>
  <c r="G5755" i="1"/>
  <c r="E5755" i="1"/>
  <c r="C5755" i="1"/>
  <c r="G5754" i="1"/>
  <c r="E5754" i="1"/>
  <c r="C5754" i="1"/>
  <c r="G5753" i="1"/>
  <c r="E5753" i="1"/>
  <c r="C5753" i="1"/>
  <c r="G5752" i="1"/>
  <c r="E5752" i="1"/>
  <c r="C5752" i="1"/>
  <c r="G5751" i="1"/>
  <c r="E5751" i="1"/>
  <c r="C5751" i="1"/>
  <c r="G5750" i="1"/>
  <c r="E5750" i="1"/>
  <c r="C5750" i="1"/>
  <c r="G5749" i="1"/>
  <c r="E5749" i="1"/>
  <c r="C5749" i="1"/>
  <c r="G5748" i="1"/>
  <c r="E5748" i="1"/>
  <c r="C5748" i="1"/>
  <c r="G5747" i="1"/>
  <c r="E5747" i="1"/>
  <c r="C5747" i="1"/>
  <c r="G5746" i="1"/>
  <c r="E5746" i="1"/>
  <c r="C5746" i="1"/>
  <c r="G5745" i="1"/>
  <c r="E5745" i="1"/>
  <c r="C5745" i="1"/>
  <c r="G5744" i="1"/>
  <c r="E5744" i="1"/>
  <c r="C5744" i="1"/>
  <c r="G5743" i="1"/>
  <c r="E5743" i="1"/>
  <c r="C5743" i="1"/>
  <c r="G5742" i="1"/>
  <c r="E5742" i="1"/>
  <c r="C5742" i="1"/>
  <c r="G5741" i="1"/>
  <c r="E5741" i="1"/>
  <c r="C5741" i="1"/>
  <c r="G5740" i="1"/>
  <c r="E5740" i="1"/>
  <c r="C5740" i="1"/>
  <c r="G5739" i="1"/>
  <c r="E5739" i="1"/>
  <c r="C5739" i="1"/>
  <c r="G5738" i="1"/>
  <c r="E5738" i="1"/>
  <c r="C5738" i="1"/>
  <c r="G5737" i="1"/>
  <c r="E5737" i="1"/>
  <c r="C5737" i="1"/>
  <c r="G5736" i="1"/>
  <c r="E5736" i="1"/>
  <c r="C5736" i="1"/>
  <c r="G5735" i="1"/>
  <c r="E5735" i="1"/>
  <c r="C5735" i="1"/>
  <c r="G5734" i="1"/>
  <c r="E5734" i="1"/>
  <c r="C5734" i="1"/>
  <c r="G5733" i="1"/>
  <c r="E5733" i="1"/>
  <c r="C5733" i="1"/>
  <c r="G5732" i="1"/>
  <c r="E5732" i="1"/>
  <c r="C5732" i="1"/>
  <c r="G5731" i="1"/>
  <c r="E5731" i="1"/>
  <c r="C5731" i="1"/>
  <c r="G5730" i="1"/>
  <c r="E5730" i="1"/>
  <c r="C5730" i="1"/>
  <c r="G5729" i="1"/>
  <c r="E5729" i="1"/>
  <c r="C5729" i="1"/>
  <c r="G5728" i="1"/>
  <c r="E5728" i="1"/>
  <c r="C5728" i="1"/>
  <c r="G5727" i="1"/>
  <c r="E5727" i="1"/>
  <c r="C5727" i="1"/>
  <c r="G5726" i="1"/>
  <c r="E5726" i="1"/>
  <c r="C5726" i="1"/>
  <c r="G5725" i="1"/>
  <c r="E5725" i="1"/>
  <c r="C5725" i="1"/>
  <c r="G5724" i="1"/>
  <c r="E5724" i="1"/>
  <c r="C5724" i="1"/>
  <c r="G5723" i="1"/>
  <c r="E5723" i="1"/>
  <c r="C5723" i="1"/>
  <c r="G5722" i="1"/>
  <c r="E5722" i="1"/>
  <c r="C5722" i="1"/>
  <c r="G5721" i="1"/>
  <c r="E5721" i="1"/>
  <c r="C5721" i="1"/>
  <c r="G5720" i="1"/>
  <c r="E5720" i="1"/>
  <c r="C5720" i="1"/>
  <c r="G5719" i="1"/>
  <c r="E5719" i="1"/>
  <c r="C5719" i="1"/>
  <c r="G5718" i="1"/>
  <c r="E5718" i="1"/>
  <c r="C5718" i="1"/>
  <c r="G5717" i="1"/>
  <c r="E5717" i="1"/>
  <c r="C5717" i="1"/>
  <c r="G5716" i="1"/>
  <c r="E5716" i="1"/>
  <c r="C5716" i="1"/>
  <c r="G5715" i="1"/>
  <c r="E5715" i="1"/>
  <c r="C5715" i="1"/>
  <c r="G5714" i="1"/>
  <c r="E5714" i="1"/>
  <c r="C5714" i="1"/>
  <c r="G5713" i="1"/>
  <c r="E5713" i="1"/>
  <c r="C5713" i="1"/>
  <c r="G5712" i="1"/>
  <c r="E5712" i="1"/>
  <c r="C5712" i="1"/>
  <c r="G5711" i="1"/>
  <c r="E5711" i="1"/>
  <c r="C5711" i="1"/>
  <c r="G5710" i="1"/>
  <c r="E5710" i="1"/>
  <c r="C5710" i="1"/>
  <c r="G5709" i="1"/>
  <c r="E5709" i="1"/>
  <c r="C5709" i="1"/>
  <c r="G5708" i="1"/>
  <c r="E5708" i="1"/>
  <c r="C5708" i="1"/>
  <c r="G5707" i="1"/>
  <c r="E5707" i="1"/>
  <c r="C5707" i="1"/>
  <c r="G5706" i="1"/>
  <c r="E5706" i="1"/>
  <c r="C5706" i="1"/>
  <c r="G5705" i="1"/>
  <c r="E5705" i="1"/>
  <c r="C5705" i="1"/>
  <c r="G5704" i="1"/>
  <c r="E5704" i="1"/>
  <c r="C5704" i="1"/>
  <c r="G5703" i="1"/>
  <c r="E5703" i="1"/>
  <c r="C5703" i="1"/>
  <c r="G5702" i="1"/>
  <c r="E5702" i="1"/>
  <c r="C5702" i="1"/>
  <c r="G5701" i="1"/>
  <c r="E5701" i="1"/>
  <c r="C5701" i="1"/>
  <c r="G5700" i="1"/>
  <c r="E5700" i="1"/>
  <c r="C5700" i="1"/>
  <c r="G5699" i="1"/>
  <c r="E5699" i="1"/>
  <c r="C5699" i="1"/>
  <c r="G5698" i="1"/>
  <c r="E5698" i="1"/>
  <c r="C5698" i="1"/>
  <c r="G5697" i="1"/>
  <c r="E5697" i="1"/>
  <c r="C5697" i="1"/>
  <c r="G5696" i="1"/>
  <c r="E5696" i="1"/>
  <c r="C5696" i="1"/>
  <c r="G5695" i="1"/>
  <c r="E5695" i="1"/>
  <c r="C5695" i="1"/>
  <c r="G5694" i="1"/>
  <c r="E5694" i="1"/>
  <c r="C5694" i="1"/>
  <c r="G5693" i="1"/>
  <c r="E5693" i="1"/>
  <c r="C5693" i="1"/>
  <c r="G5692" i="1"/>
  <c r="E5692" i="1"/>
  <c r="C5692" i="1"/>
  <c r="G5691" i="1"/>
  <c r="E5691" i="1"/>
  <c r="C5691" i="1"/>
  <c r="G5690" i="1"/>
  <c r="E5690" i="1"/>
  <c r="C5690" i="1"/>
  <c r="G5689" i="1"/>
  <c r="E5689" i="1"/>
  <c r="C5689" i="1"/>
  <c r="G5688" i="1"/>
  <c r="E5688" i="1"/>
  <c r="C5688" i="1"/>
  <c r="G5687" i="1"/>
  <c r="E5687" i="1"/>
  <c r="C5687" i="1"/>
  <c r="G5686" i="1"/>
  <c r="E5686" i="1"/>
  <c r="C5686" i="1"/>
  <c r="G5685" i="1"/>
  <c r="E5685" i="1"/>
  <c r="C5685" i="1"/>
  <c r="G5684" i="1"/>
  <c r="E5684" i="1"/>
  <c r="C5684" i="1"/>
  <c r="G5683" i="1"/>
  <c r="E5683" i="1"/>
  <c r="C5683" i="1"/>
  <c r="G5682" i="1"/>
  <c r="E5682" i="1"/>
  <c r="C5682" i="1"/>
  <c r="G5681" i="1"/>
  <c r="E5681" i="1"/>
  <c r="C5681" i="1"/>
  <c r="G5680" i="1"/>
  <c r="E5680" i="1"/>
  <c r="C5680" i="1"/>
  <c r="G5679" i="1"/>
  <c r="E5679" i="1"/>
  <c r="C5679" i="1"/>
  <c r="G5678" i="1"/>
  <c r="E5678" i="1"/>
  <c r="C5678" i="1"/>
  <c r="G5677" i="1"/>
  <c r="E5677" i="1"/>
  <c r="C5677" i="1"/>
  <c r="G5676" i="1"/>
  <c r="E5676" i="1"/>
  <c r="C5676" i="1"/>
  <c r="G5675" i="1"/>
  <c r="E5675" i="1"/>
  <c r="C5675" i="1"/>
  <c r="G5674" i="1"/>
  <c r="E5674" i="1"/>
  <c r="C5674" i="1"/>
  <c r="G5673" i="1"/>
  <c r="E5673" i="1"/>
  <c r="C5673" i="1"/>
  <c r="G5672" i="1"/>
  <c r="E5672" i="1"/>
  <c r="C5672" i="1"/>
  <c r="G5671" i="1"/>
  <c r="E5671" i="1"/>
  <c r="C5671" i="1"/>
  <c r="G5670" i="1"/>
  <c r="E5670" i="1"/>
  <c r="C5670" i="1"/>
  <c r="G5669" i="1"/>
  <c r="E5669" i="1"/>
  <c r="C5669" i="1"/>
  <c r="G5668" i="1"/>
  <c r="E5668" i="1"/>
  <c r="C5668" i="1"/>
  <c r="G5667" i="1"/>
  <c r="E5667" i="1"/>
  <c r="C5667" i="1"/>
  <c r="G5666" i="1"/>
  <c r="E5666" i="1"/>
  <c r="C5666" i="1"/>
  <c r="G5665" i="1"/>
  <c r="E5665" i="1"/>
  <c r="C5665" i="1"/>
  <c r="G5664" i="1"/>
  <c r="E5664" i="1"/>
  <c r="C5664" i="1"/>
  <c r="G5663" i="1"/>
  <c r="E5663" i="1"/>
  <c r="C5663" i="1"/>
  <c r="G5662" i="1"/>
  <c r="E5662" i="1"/>
  <c r="C5662" i="1"/>
  <c r="G5661" i="1"/>
  <c r="E5661" i="1"/>
  <c r="C5661" i="1"/>
  <c r="G5660" i="1"/>
  <c r="E5660" i="1"/>
  <c r="C5660" i="1"/>
  <c r="G5659" i="1"/>
  <c r="E5659" i="1"/>
  <c r="C5659" i="1"/>
  <c r="G5658" i="1"/>
  <c r="E5658" i="1"/>
  <c r="C5658" i="1"/>
  <c r="G5657" i="1"/>
  <c r="E5657" i="1"/>
  <c r="C5657" i="1"/>
  <c r="G5656" i="1"/>
  <c r="E5656" i="1"/>
  <c r="C5656" i="1"/>
  <c r="G5655" i="1"/>
  <c r="E5655" i="1"/>
  <c r="C5655" i="1"/>
  <c r="G5654" i="1"/>
  <c r="E5654" i="1"/>
  <c r="C5654" i="1"/>
  <c r="G5653" i="1"/>
  <c r="E5653" i="1"/>
  <c r="C5653" i="1"/>
  <c r="G5652" i="1"/>
  <c r="E5652" i="1"/>
  <c r="C5652" i="1"/>
  <c r="G5651" i="1"/>
  <c r="E5651" i="1"/>
  <c r="C5651" i="1"/>
  <c r="G5650" i="1"/>
  <c r="E5650" i="1"/>
  <c r="C5650" i="1"/>
  <c r="G5649" i="1"/>
  <c r="E5649" i="1"/>
  <c r="C5649" i="1"/>
  <c r="G5648" i="1"/>
  <c r="E5648" i="1"/>
  <c r="C5648" i="1"/>
  <c r="G5647" i="1"/>
  <c r="E5647" i="1"/>
  <c r="C5647" i="1"/>
  <c r="G5646" i="1"/>
  <c r="E5646" i="1"/>
  <c r="C5646" i="1"/>
  <c r="G5645" i="1"/>
  <c r="E5645" i="1"/>
  <c r="C5645" i="1"/>
  <c r="G5644" i="1"/>
  <c r="E5644" i="1"/>
  <c r="C5644" i="1"/>
  <c r="G5643" i="1"/>
  <c r="E5643" i="1"/>
  <c r="C5643" i="1"/>
  <c r="G5642" i="1"/>
  <c r="E5642" i="1"/>
  <c r="C5642" i="1"/>
  <c r="G5641" i="1"/>
  <c r="E5641" i="1"/>
  <c r="C5641" i="1"/>
  <c r="G5640" i="1"/>
  <c r="E5640" i="1"/>
  <c r="C5640" i="1"/>
  <c r="G5639" i="1"/>
  <c r="E5639" i="1"/>
  <c r="C5639" i="1"/>
  <c r="G5638" i="1"/>
  <c r="E5638" i="1"/>
  <c r="C5638" i="1"/>
  <c r="G5637" i="1"/>
  <c r="E5637" i="1"/>
  <c r="C5637" i="1"/>
  <c r="G5636" i="1"/>
  <c r="E5636" i="1"/>
  <c r="C5636" i="1"/>
  <c r="G5635" i="1"/>
  <c r="E5635" i="1"/>
  <c r="C5635" i="1"/>
  <c r="G5634" i="1"/>
  <c r="E5634" i="1"/>
  <c r="C5634" i="1"/>
  <c r="G5633" i="1"/>
  <c r="E5633" i="1"/>
  <c r="C5633" i="1"/>
  <c r="G5632" i="1"/>
  <c r="E5632" i="1"/>
  <c r="C5632" i="1"/>
  <c r="G5631" i="1"/>
  <c r="E5631" i="1"/>
  <c r="C5631" i="1"/>
  <c r="G5630" i="1"/>
  <c r="E5630" i="1"/>
  <c r="C5630" i="1"/>
  <c r="G5629" i="1"/>
  <c r="E5629" i="1"/>
  <c r="C5629" i="1"/>
  <c r="G5628" i="1"/>
  <c r="E5628" i="1"/>
  <c r="C5628" i="1"/>
  <c r="G5627" i="1"/>
  <c r="E5627" i="1"/>
  <c r="C5627" i="1"/>
  <c r="G5626" i="1"/>
  <c r="E5626" i="1"/>
  <c r="C5626" i="1"/>
  <c r="G5625" i="1"/>
  <c r="E5625" i="1"/>
  <c r="C5625" i="1"/>
  <c r="G5624" i="1"/>
  <c r="E5624" i="1"/>
  <c r="C5624" i="1"/>
  <c r="G5623" i="1"/>
  <c r="E5623" i="1"/>
  <c r="C5623" i="1"/>
  <c r="G5622" i="1"/>
  <c r="E5622" i="1"/>
  <c r="C5622" i="1"/>
  <c r="G5621" i="1"/>
  <c r="E5621" i="1"/>
  <c r="C5621" i="1"/>
  <c r="G5620" i="1"/>
  <c r="E5620" i="1"/>
  <c r="C5620" i="1"/>
  <c r="G5619" i="1"/>
  <c r="E5619" i="1"/>
  <c r="C5619" i="1"/>
  <c r="G5618" i="1"/>
  <c r="E5618" i="1"/>
  <c r="C5618" i="1"/>
  <c r="G5617" i="1"/>
  <c r="E5617" i="1"/>
  <c r="C5617" i="1"/>
  <c r="G5616" i="1"/>
  <c r="E5616" i="1"/>
  <c r="C5616" i="1"/>
  <c r="G5615" i="1"/>
  <c r="E5615" i="1"/>
  <c r="C5615" i="1"/>
  <c r="G5614" i="1"/>
  <c r="E5614" i="1"/>
  <c r="C5614" i="1"/>
  <c r="G5613" i="1"/>
  <c r="E5613" i="1"/>
  <c r="C5613" i="1"/>
  <c r="G5612" i="1"/>
  <c r="E5612" i="1"/>
  <c r="C5612" i="1"/>
  <c r="G5611" i="1"/>
  <c r="E5611" i="1"/>
  <c r="C5611" i="1"/>
  <c r="G5610" i="1"/>
  <c r="E5610" i="1"/>
  <c r="C5610" i="1"/>
  <c r="G5609" i="1"/>
  <c r="E5609" i="1"/>
  <c r="C5609" i="1"/>
  <c r="G5608" i="1"/>
  <c r="E5608" i="1"/>
  <c r="C5608" i="1"/>
  <c r="G5607" i="1"/>
  <c r="E5607" i="1"/>
  <c r="C5607" i="1"/>
  <c r="G5606" i="1"/>
  <c r="E5606" i="1"/>
  <c r="C5606" i="1"/>
  <c r="G5605" i="1"/>
  <c r="E5605" i="1"/>
  <c r="C5605" i="1"/>
  <c r="G5604" i="1"/>
  <c r="E5604" i="1"/>
  <c r="C5604" i="1"/>
  <c r="G5603" i="1"/>
  <c r="E5603" i="1"/>
  <c r="C5603" i="1"/>
  <c r="G5602" i="1"/>
  <c r="E5602" i="1"/>
  <c r="C5602" i="1"/>
  <c r="G5601" i="1"/>
  <c r="E5601" i="1"/>
  <c r="C5601" i="1"/>
  <c r="G5600" i="1"/>
  <c r="E5600" i="1"/>
  <c r="C5600" i="1"/>
  <c r="G5599" i="1"/>
  <c r="E5599" i="1"/>
  <c r="C5599" i="1"/>
  <c r="G5598" i="1"/>
  <c r="E5598" i="1"/>
  <c r="C5598" i="1"/>
  <c r="G5597" i="1"/>
  <c r="E5597" i="1"/>
  <c r="C5597" i="1"/>
  <c r="G5596" i="1"/>
  <c r="E5596" i="1"/>
  <c r="C5596" i="1"/>
  <c r="G5595" i="1"/>
  <c r="E5595" i="1"/>
  <c r="C5595" i="1"/>
  <c r="G5594" i="1"/>
  <c r="E5594" i="1"/>
  <c r="C5594" i="1"/>
  <c r="G5593" i="1"/>
  <c r="E5593" i="1"/>
  <c r="C5593" i="1"/>
  <c r="G5592" i="1"/>
  <c r="E5592" i="1"/>
  <c r="C5592" i="1"/>
  <c r="G5591" i="1"/>
  <c r="E5591" i="1"/>
  <c r="C5591" i="1"/>
  <c r="G5590" i="1"/>
  <c r="E5590" i="1"/>
  <c r="C5590" i="1"/>
  <c r="G5589" i="1"/>
  <c r="E5589" i="1"/>
  <c r="C5589" i="1"/>
  <c r="G5588" i="1"/>
  <c r="E5588" i="1"/>
  <c r="C5588" i="1"/>
  <c r="G5587" i="1"/>
  <c r="E5587" i="1"/>
  <c r="C5587" i="1"/>
  <c r="G5586" i="1"/>
  <c r="E5586" i="1"/>
  <c r="C5586" i="1"/>
  <c r="G5585" i="1"/>
  <c r="E5585" i="1"/>
  <c r="C5585" i="1"/>
  <c r="G5584" i="1"/>
  <c r="E5584" i="1"/>
  <c r="C5584" i="1"/>
  <c r="G5583" i="1"/>
  <c r="E5583" i="1"/>
  <c r="C5583" i="1"/>
  <c r="G5582" i="1"/>
  <c r="E5582" i="1"/>
  <c r="C5582" i="1"/>
  <c r="G5581" i="1"/>
  <c r="E5581" i="1"/>
  <c r="C5581" i="1"/>
  <c r="G5580" i="1"/>
  <c r="E5580" i="1"/>
  <c r="C5580" i="1"/>
  <c r="G5579" i="1"/>
  <c r="E5579" i="1"/>
  <c r="C5579" i="1"/>
  <c r="G5578" i="1"/>
  <c r="E5578" i="1"/>
  <c r="C5578" i="1"/>
  <c r="G5577" i="1"/>
  <c r="E5577" i="1"/>
  <c r="C5577" i="1"/>
  <c r="G5576" i="1"/>
  <c r="E5576" i="1"/>
  <c r="C5576" i="1"/>
  <c r="G5575" i="1"/>
  <c r="E5575" i="1"/>
  <c r="C5575" i="1"/>
  <c r="G5574" i="1"/>
  <c r="E5574" i="1"/>
  <c r="C5574" i="1"/>
  <c r="G5573" i="1"/>
  <c r="E5573" i="1"/>
  <c r="C5573" i="1"/>
  <c r="G5572" i="1"/>
  <c r="E5572" i="1"/>
  <c r="C5572" i="1"/>
  <c r="G5571" i="1"/>
  <c r="E5571" i="1"/>
  <c r="C5571" i="1"/>
  <c r="G5570" i="1"/>
  <c r="E5570" i="1"/>
  <c r="C5570" i="1"/>
  <c r="G5569" i="1"/>
  <c r="E5569" i="1"/>
  <c r="C5569" i="1"/>
  <c r="G5568" i="1"/>
  <c r="E5568" i="1"/>
  <c r="C5568" i="1"/>
  <c r="G5567" i="1"/>
  <c r="E5567" i="1"/>
  <c r="C5567" i="1"/>
  <c r="G5566" i="1"/>
  <c r="E5566" i="1"/>
  <c r="C5566" i="1"/>
  <c r="G5565" i="1"/>
  <c r="E5565" i="1"/>
  <c r="C5565" i="1"/>
  <c r="G5564" i="1"/>
  <c r="E5564" i="1"/>
  <c r="C5564" i="1"/>
  <c r="G5563" i="1"/>
  <c r="E5563" i="1"/>
  <c r="C5563" i="1"/>
  <c r="G5562" i="1"/>
  <c r="E5562" i="1"/>
  <c r="C5562" i="1"/>
  <c r="G5561" i="1"/>
  <c r="E5561" i="1"/>
  <c r="C5561" i="1"/>
  <c r="G5560" i="1"/>
  <c r="E5560" i="1"/>
  <c r="C5560" i="1"/>
  <c r="G5559" i="1"/>
  <c r="E5559" i="1"/>
  <c r="C5559" i="1"/>
  <c r="G5558" i="1"/>
  <c r="E5558" i="1"/>
  <c r="C5558" i="1"/>
  <c r="G5557" i="1"/>
  <c r="E5557" i="1"/>
  <c r="C5557" i="1"/>
  <c r="G5556" i="1"/>
  <c r="E5556" i="1"/>
  <c r="C5556" i="1"/>
  <c r="G5555" i="1"/>
  <c r="E5555" i="1"/>
  <c r="C5555" i="1"/>
  <c r="G5554" i="1"/>
  <c r="E5554" i="1"/>
  <c r="C5554" i="1"/>
  <c r="G5553" i="1"/>
  <c r="E5553" i="1"/>
  <c r="C5553" i="1"/>
  <c r="G5552" i="1"/>
  <c r="E5552" i="1"/>
  <c r="C5552" i="1"/>
  <c r="G5551" i="1"/>
  <c r="E5551" i="1"/>
  <c r="C5551" i="1"/>
  <c r="G5550" i="1"/>
  <c r="E5550" i="1"/>
  <c r="C5550" i="1"/>
  <c r="G5549" i="1"/>
  <c r="E5549" i="1"/>
  <c r="C5549" i="1"/>
  <c r="G5548" i="1"/>
  <c r="E5548" i="1"/>
  <c r="C5548" i="1"/>
  <c r="G5547" i="1"/>
  <c r="E5547" i="1"/>
  <c r="C5547" i="1"/>
  <c r="G5546" i="1"/>
  <c r="E5546" i="1"/>
  <c r="C5546" i="1"/>
  <c r="G5545" i="1"/>
  <c r="E5545" i="1"/>
  <c r="C5545" i="1"/>
  <c r="G5544" i="1"/>
  <c r="E5544" i="1"/>
  <c r="C5544" i="1"/>
  <c r="G5543" i="1"/>
  <c r="E5543" i="1"/>
  <c r="C5543" i="1"/>
  <c r="G5542" i="1"/>
  <c r="E5542" i="1"/>
  <c r="C5542" i="1"/>
  <c r="G5541" i="1"/>
  <c r="E5541" i="1"/>
  <c r="C5541" i="1"/>
  <c r="G5540" i="1"/>
  <c r="E5540" i="1"/>
  <c r="C5540" i="1"/>
  <c r="G5539" i="1"/>
  <c r="E5539" i="1"/>
  <c r="C5539" i="1"/>
  <c r="G5538" i="1"/>
  <c r="E5538" i="1"/>
  <c r="C5538" i="1"/>
  <c r="G5537" i="1"/>
  <c r="E5537" i="1"/>
  <c r="C5537" i="1"/>
  <c r="G5536" i="1"/>
  <c r="E5536" i="1"/>
  <c r="C5536" i="1"/>
  <c r="G5535" i="1"/>
  <c r="E5535" i="1"/>
  <c r="C5535" i="1"/>
  <c r="G5534" i="1"/>
  <c r="E5534" i="1"/>
  <c r="C5534" i="1"/>
  <c r="G5533" i="1"/>
  <c r="E5533" i="1"/>
  <c r="C5533" i="1"/>
  <c r="G5532" i="1"/>
  <c r="E5532" i="1"/>
  <c r="C5532" i="1"/>
  <c r="G5531" i="1"/>
  <c r="E5531" i="1"/>
  <c r="C5531" i="1"/>
  <c r="G5530" i="1"/>
  <c r="E5530" i="1"/>
  <c r="C5530" i="1"/>
  <c r="G5529" i="1"/>
  <c r="E5529" i="1"/>
  <c r="C5529" i="1"/>
  <c r="G5528" i="1"/>
  <c r="E5528" i="1"/>
  <c r="C5528" i="1"/>
  <c r="G5527" i="1"/>
  <c r="E5527" i="1"/>
  <c r="C5527" i="1"/>
  <c r="G5526" i="1"/>
  <c r="E5526" i="1"/>
  <c r="C5526" i="1"/>
  <c r="G5525" i="1"/>
  <c r="E5525" i="1"/>
  <c r="C5525" i="1"/>
  <c r="G5524" i="1"/>
  <c r="E5524" i="1"/>
  <c r="C5524" i="1"/>
  <c r="G5523" i="1"/>
  <c r="E5523" i="1"/>
  <c r="C5523" i="1"/>
  <c r="G5522" i="1"/>
  <c r="E5522" i="1"/>
  <c r="C5522" i="1"/>
  <c r="G5521" i="1"/>
  <c r="E5521" i="1"/>
  <c r="C5521" i="1"/>
  <c r="G5520" i="1"/>
  <c r="E5520" i="1"/>
  <c r="C5520" i="1"/>
  <c r="G5519" i="1"/>
  <c r="E5519" i="1"/>
  <c r="C5519" i="1"/>
  <c r="G5518" i="1"/>
  <c r="E5518" i="1"/>
  <c r="C5518" i="1"/>
  <c r="G5517" i="1"/>
  <c r="E5517" i="1"/>
  <c r="C5517" i="1"/>
  <c r="G5516" i="1"/>
  <c r="E5516" i="1"/>
  <c r="C5516" i="1"/>
  <c r="G5515" i="1"/>
  <c r="E5515" i="1"/>
  <c r="C5515" i="1"/>
  <c r="G5514" i="1"/>
  <c r="E5514" i="1"/>
  <c r="C5514" i="1"/>
  <c r="G5513" i="1"/>
  <c r="E5513" i="1"/>
  <c r="C5513" i="1"/>
  <c r="G5512" i="1"/>
  <c r="E5512" i="1"/>
  <c r="C5512" i="1"/>
  <c r="G5511" i="1"/>
  <c r="E5511" i="1"/>
  <c r="C5511" i="1"/>
  <c r="G5510" i="1"/>
  <c r="E5510" i="1"/>
  <c r="C5510" i="1"/>
  <c r="G5509" i="1"/>
  <c r="E5509" i="1"/>
  <c r="C5509" i="1"/>
  <c r="G5508" i="1"/>
  <c r="E5508" i="1"/>
  <c r="C5508" i="1"/>
  <c r="G5507" i="1"/>
  <c r="E5507" i="1"/>
  <c r="C5507" i="1"/>
  <c r="G5506" i="1"/>
  <c r="E5506" i="1"/>
  <c r="C5506" i="1"/>
  <c r="G5505" i="1"/>
  <c r="E5505" i="1"/>
  <c r="C5505" i="1"/>
  <c r="G5504" i="1"/>
  <c r="E5504" i="1"/>
  <c r="C5504" i="1"/>
  <c r="G5503" i="1"/>
  <c r="E5503" i="1"/>
  <c r="C5503" i="1"/>
  <c r="G5502" i="1"/>
  <c r="E5502" i="1"/>
  <c r="C5502" i="1"/>
  <c r="G5501" i="1"/>
  <c r="E5501" i="1"/>
  <c r="C5501" i="1"/>
  <c r="G5500" i="1"/>
  <c r="E5500" i="1"/>
  <c r="C5500" i="1"/>
  <c r="G5499" i="1"/>
  <c r="E5499" i="1"/>
  <c r="C5499" i="1"/>
  <c r="G5498" i="1"/>
  <c r="E5498" i="1"/>
  <c r="C5498" i="1"/>
  <c r="G5497" i="1"/>
  <c r="E5497" i="1"/>
  <c r="C5497" i="1"/>
  <c r="G5496" i="1"/>
  <c r="E5496" i="1"/>
  <c r="C5496" i="1"/>
  <c r="G5495" i="1"/>
  <c r="E5495" i="1"/>
  <c r="C5495" i="1"/>
  <c r="G5494" i="1"/>
  <c r="E5494" i="1"/>
  <c r="C5494" i="1"/>
  <c r="G5493" i="1"/>
  <c r="E5493" i="1"/>
  <c r="C5493" i="1"/>
  <c r="G5492" i="1"/>
  <c r="E5492" i="1"/>
  <c r="C5492" i="1"/>
  <c r="G5491" i="1"/>
  <c r="E5491" i="1"/>
  <c r="C5491" i="1"/>
  <c r="G5490" i="1"/>
  <c r="E5490" i="1"/>
  <c r="C5490" i="1"/>
  <c r="G5489" i="1"/>
  <c r="E5489" i="1"/>
  <c r="C5489" i="1"/>
  <c r="G5488" i="1"/>
  <c r="E5488" i="1"/>
  <c r="C5488" i="1"/>
  <c r="G5487" i="1"/>
  <c r="E5487" i="1"/>
  <c r="C5487" i="1"/>
  <c r="G5486" i="1"/>
  <c r="E5486" i="1"/>
  <c r="C5486" i="1"/>
  <c r="G5485" i="1"/>
  <c r="E5485" i="1"/>
  <c r="C5485" i="1"/>
  <c r="G5484" i="1"/>
  <c r="E5484" i="1"/>
  <c r="C5484" i="1"/>
  <c r="G5483" i="1"/>
  <c r="E5483" i="1"/>
  <c r="C5483" i="1"/>
  <c r="G5482" i="1"/>
  <c r="E5482" i="1"/>
  <c r="C5482" i="1"/>
  <c r="G5481" i="1"/>
  <c r="E5481" i="1"/>
  <c r="C5481" i="1"/>
  <c r="G5480" i="1"/>
  <c r="E5480" i="1"/>
  <c r="C5480" i="1"/>
  <c r="G5479" i="1"/>
  <c r="E5479" i="1"/>
  <c r="C5479" i="1"/>
  <c r="G5478" i="1"/>
  <c r="E5478" i="1"/>
  <c r="C5478" i="1"/>
  <c r="G5477" i="1"/>
  <c r="E5477" i="1"/>
  <c r="C5477" i="1"/>
  <c r="G5476" i="1"/>
  <c r="E5476" i="1"/>
  <c r="C5476" i="1"/>
  <c r="G5475" i="1"/>
  <c r="E5475" i="1"/>
  <c r="C5475" i="1"/>
  <c r="G5474" i="1"/>
  <c r="E5474" i="1"/>
  <c r="C5474" i="1"/>
  <c r="G5473" i="1"/>
  <c r="E5473" i="1"/>
  <c r="C5473" i="1"/>
  <c r="G5472" i="1"/>
  <c r="E5472" i="1"/>
  <c r="C5472" i="1"/>
  <c r="G5471" i="1"/>
  <c r="E5471" i="1"/>
  <c r="C5471" i="1"/>
  <c r="G5470" i="1"/>
  <c r="E5470" i="1"/>
  <c r="C5470" i="1"/>
  <c r="G5469" i="1"/>
  <c r="E5469" i="1"/>
  <c r="C5469" i="1"/>
  <c r="G5468" i="1"/>
  <c r="E5468" i="1"/>
  <c r="C5468" i="1"/>
  <c r="G5467" i="1"/>
  <c r="E5467" i="1"/>
  <c r="C5467" i="1"/>
  <c r="G5466" i="1"/>
  <c r="E5466" i="1"/>
  <c r="C5466" i="1"/>
  <c r="G5465" i="1"/>
  <c r="E5465" i="1"/>
  <c r="C5465" i="1"/>
  <c r="G5464" i="1"/>
  <c r="E5464" i="1"/>
  <c r="C5464" i="1"/>
  <c r="G5463" i="1"/>
  <c r="E5463" i="1"/>
  <c r="C5463" i="1"/>
  <c r="G5462" i="1"/>
  <c r="E5462" i="1"/>
  <c r="C5462" i="1"/>
  <c r="G5461" i="1"/>
  <c r="E5461" i="1"/>
  <c r="C5461" i="1"/>
  <c r="G5460" i="1"/>
  <c r="E5460" i="1"/>
  <c r="C5460" i="1"/>
  <c r="G5459" i="1"/>
  <c r="E5459" i="1"/>
  <c r="C5459" i="1"/>
  <c r="G5458" i="1"/>
  <c r="E5458" i="1"/>
  <c r="C5458" i="1"/>
  <c r="G5457" i="1"/>
  <c r="E5457" i="1"/>
  <c r="C5457" i="1"/>
  <c r="G5456" i="1"/>
  <c r="E5456" i="1"/>
  <c r="C5456" i="1"/>
  <c r="G5455" i="1"/>
  <c r="E5455" i="1"/>
  <c r="C5455" i="1"/>
  <c r="G5454" i="1"/>
  <c r="E5454" i="1"/>
  <c r="C5454" i="1"/>
  <c r="G5453" i="1"/>
  <c r="E5453" i="1"/>
  <c r="C5453" i="1"/>
  <c r="G5452" i="1"/>
  <c r="E5452" i="1"/>
  <c r="C5452" i="1"/>
  <c r="G5451" i="1"/>
  <c r="E5451" i="1"/>
  <c r="C5451" i="1"/>
  <c r="G5450" i="1"/>
  <c r="E5450" i="1"/>
  <c r="C5450" i="1"/>
  <c r="G5449" i="1"/>
  <c r="E5449" i="1"/>
  <c r="C5449" i="1"/>
  <c r="G5448" i="1"/>
  <c r="E5448" i="1"/>
  <c r="C5448" i="1"/>
  <c r="G5447" i="1"/>
  <c r="E5447" i="1"/>
  <c r="C5447" i="1"/>
  <c r="G5446" i="1"/>
  <c r="E5446" i="1"/>
  <c r="C5446" i="1"/>
  <c r="G5445" i="1"/>
  <c r="E5445" i="1"/>
  <c r="C5445" i="1"/>
  <c r="G5444" i="1"/>
  <c r="E5444" i="1"/>
  <c r="C5444" i="1"/>
  <c r="G5443" i="1"/>
  <c r="E5443" i="1"/>
  <c r="C5443" i="1"/>
  <c r="G5442" i="1"/>
  <c r="E5442" i="1"/>
  <c r="C5442" i="1"/>
  <c r="G5441" i="1"/>
  <c r="E5441" i="1"/>
  <c r="C5441" i="1"/>
  <c r="G5440" i="1"/>
  <c r="E5440" i="1"/>
  <c r="C5440" i="1"/>
  <c r="G5439" i="1"/>
  <c r="E5439" i="1"/>
  <c r="C5439" i="1"/>
  <c r="G5438" i="1"/>
  <c r="E5438" i="1"/>
  <c r="C5438" i="1"/>
  <c r="G5437" i="1"/>
  <c r="E5437" i="1"/>
  <c r="C5437" i="1"/>
  <c r="G5436" i="1"/>
  <c r="E5436" i="1"/>
  <c r="C5436" i="1"/>
  <c r="G5435" i="1"/>
  <c r="E5435" i="1"/>
  <c r="C5435" i="1"/>
  <c r="G5434" i="1"/>
  <c r="E5434" i="1"/>
  <c r="C5434" i="1"/>
  <c r="G5433" i="1"/>
  <c r="E5433" i="1"/>
  <c r="C5433" i="1"/>
  <c r="G5432" i="1"/>
  <c r="E5432" i="1"/>
  <c r="C5432" i="1"/>
  <c r="G5431" i="1"/>
  <c r="E5431" i="1"/>
  <c r="C5431" i="1"/>
  <c r="G5430" i="1"/>
  <c r="E5430" i="1"/>
  <c r="C5430" i="1"/>
  <c r="G5429" i="1"/>
  <c r="E5429" i="1"/>
  <c r="C5429" i="1"/>
  <c r="G5428" i="1"/>
  <c r="E5428" i="1"/>
  <c r="C5428" i="1"/>
  <c r="G5427" i="1"/>
  <c r="E5427" i="1"/>
  <c r="C5427" i="1"/>
  <c r="G5426" i="1"/>
  <c r="E5426" i="1"/>
  <c r="C5426" i="1"/>
  <c r="G5425" i="1"/>
  <c r="E5425" i="1"/>
  <c r="C5425" i="1"/>
  <c r="G5424" i="1"/>
  <c r="E5424" i="1"/>
  <c r="C5424" i="1"/>
  <c r="G5423" i="1"/>
  <c r="E5423" i="1"/>
  <c r="C5423" i="1"/>
  <c r="G5422" i="1"/>
  <c r="E5422" i="1"/>
  <c r="C5422" i="1"/>
  <c r="G5421" i="1"/>
  <c r="E5421" i="1"/>
  <c r="C5421" i="1"/>
  <c r="G5420" i="1"/>
  <c r="E5420" i="1"/>
  <c r="C5420" i="1"/>
  <c r="G5419" i="1"/>
  <c r="E5419" i="1"/>
  <c r="C5419" i="1"/>
  <c r="G5418" i="1"/>
  <c r="E5418" i="1"/>
  <c r="C5418" i="1"/>
  <c r="G5417" i="1"/>
  <c r="E5417" i="1"/>
  <c r="C5417" i="1"/>
  <c r="G5416" i="1"/>
  <c r="E5416" i="1"/>
  <c r="C5416" i="1"/>
  <c r="G5415" i="1"/>
  <c r="E5415" i="1"/>
  <c r="C5415" i="1"/>
  <c r="G5414" i="1"/>
  <c r="E5414" i="1"/>
  <c r="C5414" i="1"/>
  <c r="G5413" i="1"/>
  <c r="E5413" i="1"/>
  <c r="C5413" i="1"/>
  <c r="G5412" i="1"/>
  <c r="E5412" i="1"/>
  <c r="C5412" i="1"/>
  <c r="G5411" i="1"/>
  <c r="E5411" i="1"/>
  <c r="C5411" i="1"/>
  <c r="G5410" i="1"/>
  <c r="E5410" i="1"/>
  <c r="C5410" i="1"/>
  <c r="G5409" i="1"/>
  <c r="E5409" i="1"/>
  <c r="C5409" i="1"/>
  <c r="G5408" i="1"/>
  <c r="E5408" i="1"/>
  <c r="C5408" i="1"/>
  <c r="G5407" i="1"/>
  <c r="E5407" i="1"/>
  <c r="C5407" i="1"/>
  <c r="G5406" i="1"/>
  <c r="E5406" i="1"/>
  <c r="C5406" i="1"/>
  <c r="G5405" i="1"/>
  <c r="E5405" i="1"/>
  <c r="C5405" i="1"/>
  <c r="G5404" i="1"/>
  <c r="E5404" i="1"/>
  <c r="C5404" i="1"/>
  <c r="G5403" i="1"/>
  <c r="E5403" i="1"/>
  <c r="C5403" i="1"/>
  <c r="G5402" i="1"/>
  <c r="E5402" i="1"/>
  <c r="C5402" i="1"/>
  <c r="G5401" i="1"/>
  <c r="E5401" i="1"/>
  <c r="C5401" i="1"/>
  <c r="G5400" i="1"/>
  <c r="E5400" i="1"/>
  <c r="C5400" i="1"/>
  <c r="G5399" i="1"/>
  <c r="E5399" i="1"/>
  <c r="C5399" i="1"/>
  <c r="G5398" i="1"/>
  <c r="E5398" i="1"/>
  <c r="C5398" i="1"/>
  <c r="G5397" i="1"/>
  <c r="E5397" i="1"/>
  <c r="C5397" i="1"/>
  <c r="G5396" i="1"/>
  <c r="E5396" i="1"/>
  <c r="C5396" i="1"/>
  <c r="G5395" i="1"/>
  <c r="E5395" i="1"/>
  <c r="C5395" i="1"/>
  <c r="G5394" i="1"/>
  <c r="E5394" i="1"/>
  <c r="C5394" i="1"/>
  <c r="G5393" i="1"/>
  <c r="E5393" i="1"/>
  <c r="C5393" i="1"/>
  <c r="G5392" i="1"/>
  <c r="E5392" i="1"/>
  <c r="C5392" i="1"/>
  <c r="G5391" i="1"/>
  <c r="E5391" i="1"/>
  <c r="C5391" i="1"/>
  <c r="G5390" i="1"/>
  <c r="E5390" i="1"/>
  <c r="C5390" i="1"/>
  <c r="G5389" i="1"/>
  <c r="E5389" i="1"/>
  <c r="C5389" i="1"/>
  <c r="G5388" i="1"/>
  <c r="E5388" i="1"/>
  <c r="C5388" i="1"/>
  <c r="G5387" i="1"/>
  <c r="E5387" i="1"/>
  <c r="C5387" i="1"/>
  <c r="G5386" i="1"/>
  <c r="E5386" i="1"/>
  <c r="C5386" i="1"/>
  <c r="G5385" i="1"/>
  <c r="E5385" i="1"/>
  <c r="C5385" i="1"/>
  <c r="G5384" i="1"/>
  <c r="E5384" i="1"/>
  <c r="C5384" i="1"/>
  <c r="G5383" i="1"/>
  <c r="E5383" i="1"/>
  <c r="C5383" i="1"/>
  <c r="G5382" i="1"/>
  <c r="E5382" i="1"/>
  <c r="C5382" i="1"/>
  <c r="G5381" i="1"/>
  <c r="E5381" i="1"/>
  <c r="C5381" i="1"/>
  <c r="G5380" i="1"/>
  <c r="E5380" i="1"/>
  <c r="C5380" i="1"/>
  <c r="G5379" i="1"/>
  <c r="E5379" i="1"/>
  <c r="C5379" i="1"/>
  <c r="G5378" i="1"/>
  <c r="E5378" i="1"/>
  <c r="C5378" i="1"/>
  <c r="G5377" i="1"/>
  <c r="E5377" i="1"/>
  <c r="C5377" i="1"/>
  <c r="G5376" i="1"/>
  <c r="E5376" i="1"/>
  <c r="C5376" i="1"/>
  <c r="G5375" i="1"/>
  <c r="E5375" i="1"/>
  <c r="C5375" i="1"/>
  <c r="G5374" i="1"/>
  <c r="E5374" i="1"/>
  <c r="C5374" i="1"/>
  <c r="G5373" i="1"/>
  <c r="E5373" i="1"/>
  <c r="C5373" i="1"/>
  <c r="G5372" i="1"/>
  <c r="E5372" i="1"/>
  <c r="C5372" i="1"/>
  <c r="G5371" i="1"/>
  <c r="E5371" i="1"/>
  <c r="C5371" i="1"/>
  <c r="G5370" i="1"/>
  <c r="E5370" i="1"/>
  <c r="C5370" i="1"/>
  <c r="G5369" i="1"/>
  <c r="E5369" i="1"/>
  <c r="C5369" i="1"/>
  <c r="G5368" i="1"/>
  <c r="E5368" i="1"/>
  <c r="C5368" i="1"/>
  <c r="G5367" i="1"/>
  <c r="E5367" i="1"/>
  <c r="C5367" i="1"/>
  <c r="G5366" i="1"/>
  <c r="E5366" i="1"/>
  <c r="C5366" i="1"/>
  <c r="G5365" i="1"/>
  <c r="E5365" i="1"/>
  <c r="C5365" i="1"/>
  <c r="G5364" i="1"/>
  <c r="E5364" i="1"/>
  <c r="C5364" i="1"/>
  <c r="G5363" i="1"/>
  <c r="E5363" i="1"/>
  <c r="C5363" i="1"/>
  <c r="G5362" i="1"/>
  <c r="E5362" i="1"/>
  <c r="C5362" i="1"/>
  <c r="G5361" i="1"/>
  <c r="E5361" i="1"/>
  <c r="C5361" i="1"/>
  <c r="G5360" i="1"/>
  <c r="E5360" i="1"/>
  <c r="C5360" i="1"/>
  <c r="G5359" i="1"/>
  <c r="E5359" i="1"/>
  <c r="C5359" i="1"/>
  <c r="G5358" i="1"/>
  <c r="E5358" i="1"/>
  <c r="C5358" i="1"/>
  <c r="G5357" i="1"/>
  <c r="E5357" i="1"/>
  <c r="C5357" i="1"/>
  <c r="G5356" i="1"/>
  <c r="E5356" i="1"/>
  <c r="C5356" i="1"/>
  <c r="G5355" i="1"/>
  <c r="E5355" i="1"/>
  <c r="C5355" i="1"/>
  <c r="G5354" i="1"/>
  <c r="E5354" i="1"/>
  <c r="C5354" i="1"/>
  <c r="G5353" i="1"/>
  <c r="E5353" i="1"/>
  <c r="C5353" i="1"/>
  <c r="G5352" i="1"/>
  <c r="E5352" i="1"/>
  <c r="C5352" i="1"/>
  <c r="G5351" i="1"/>
  <c r="E5351" i="1"/>
  <c r="C5351" i="1"/>
  <c r="G5350" i="1"/>
  <c r="E5350" i="1"/>
  <c r="C5350" i="1"/>
  <c r="G5349" i="1"/>
  <c r="E5349" i="1"/>
  <c r="C5349" i="1"/>
  <c r="G5348" i="1"/>
  <c r="E5348" i="1"/>
  <c r="C5348" i="1"/>
  <c r="G5347" i="1"/>
  <c r="E5347" i="1"/>
  <c r="C5347" i="1"/>
  <c r="G5346" i="1"/>
  <c r="E5346" i="1"/>
  <c r="C5346" i="1"/>
  <c r="G5345" i="1"/>
  <c r="E5345" i="1"/>
  <c r="C5345" i="1"/>
  <c r="G5344" i="1"/>
  <c r="E5344" i="1"/>
  <c r="C5344" i="1"/>
  <c r="G5343" i="1"/>
  <c r="E5343" i="1"/>
  <c r="C5343" i="1"/>
  <c r="G5342" i="1"/>
  <c r="E5342" i="1"/>
  <c r="C5342" i="1"/>
  <c r="G5341" i="1"/>
  <c r="E5341" i="1"/>
  <c r="C5341" i="1"/>
  <c r="G5340" i="1"/>
  <c r="E5340" i="1"/>
  <c r="C5340" i="1"/>
  <c r="G5339" i="1"/>
  <c r="E5339" i="1"/>
  <c r="C5339" i="1"/>
  <c r="G5338" i="1"/>
  <c r="E5338" i="1"/>
  <c r="C5338" i="1"/>
  <c r="G5337" i="1"/>
  <c r="E5337" i="1"/>
  <c r="C5337" i="1"/>
  <c r="G5336" i="1"/>
  <c r="E5336" i="1"/>
  <c r="C5336" i="1"/>
  <c r="G5335" i="1"/>
  <c r="E5335" i="1"/>
  <c r="C5335" i="1"/>
  <c r="G5334" i="1"/>
  <c r="E5334" i="1"/>
  <c r="C5334" i="1"/>
  <c r="G5333" i="1"/>
  <c r="E5333" i="1"/>
  <c r="C5333" i="1"/>
  <c r="G5332" i="1"/>
  <c r="E5332" i="1"/>
  <c r="C5332" i="1"/>
  <c r="G5331" i="1"/>
  <c r="E5331" i="1"/>
  <c r="C5331" i="1"/>
  <c r="G5330" i="1"/>
  <c r="E5330" i="1"/>
  <c r="C5330" i="1"/>
  <c r="G5329" i="1"/>
  <c r="E5329" i="1"/>
  <c r="C5329" i="1"/>
  <c r="G5328" i="1"/>
  <c r="E5328" i="1"/>
  <c r="C5328" i="1"/>
  <c r="G5327" i="1"/>
  <c r="E5327" i="1"/>
  <c r="C5327" i="1"/>
  <c r="G5326" i="1"/>
  <c r="E5326" i="1"/>
  <c r="C5326" i="1"/>
  <c r="G5325" i="1"/>
  <c r="E5325" i="1"/>
  <c r="C5325" i="1"/>
  <c r="G5324" i="1"/>
  <c r="E5324" i="1"/>
  <c r="C5324" i="1"/>
  <c r="G5323" i="1"/>
  <c r="E5323" i="1"/>
  <c r="C5323" i="1"/>
  <c r="G5322" i="1"/>
  <c r="E5322" i="1"/>
  <c r="C5322" i="1"/>
  <c r="G5321" i="1"/>
  <c r="E5321" i="1"/>
  <c r="C5321" i="1"/>
  <c r="G5320" i="1"/>
  <c r="E5320" i="1"/>
  <c r="C5320" i="1"/>
  <c r="G5319" i="1"/>
  <c r="E5319" i="1"/>
  <c r="C5319" i="1"/>
  <c r="G5318" i="1"/>
  <c r="E5318" i="1"/>
  <c r="C5318" i="1"/>
  <c r="G5317" i="1"/>
  <c r="E5317" i="1"/>
  <c r="C5317" i="1"/>
  <c r="G5316" i="1"/>
  <c r="E5316" i="1"/>
  <c r="C5316" i="1"/>
  <c r="G5315" i="1"/>
  <c r="E5315" i="1"/>
  <c r="C5315" i="1"/>
  <c r="G5314" i="1"/>
  <c r="E5314" i="1"/>
  <c r="C5314" i="1"/>
  <c r="G5313" i="1"/>
  <c r="E5313" i="1"/>
  <c r="C5313" i="1"/>
  <c r="G5312" i="1"/>
  <c r="E5312" i="1"/>
  <c r="C5312" i="1"/>
  <c r="G5311" i="1"/>
  <c r="E5311" i="1"/>
  <c r="C5311" i="1"/>
  <c r="G5310" i="1"/>
  <c r="E5310" i="1"/>
  <c r="C5310" i="1"/>
  <c r="G5309" i="1"/>
  <c r="E5309" i="1"/>
  <c r="C5309" i="1"/>
  <c r="G5308" i="1"/>
  <c r="E5308" i="1"/>
  <c r="C5308" i="1"/>
  <c r="G5307" i="1"/>
  <c r="E5307" i="1"/>
  <c r="C5307" i="1"/>
  <c r="G5306" i="1"/>
  <c r="E5306" i="1"/>
  <c r="C5306" i="1"/>
  <c r="G5305" i="1"/>
  <c r="E5305" i="1"/>
  <c r="C5305" i="1"/>
  <c r="G5304" i="1"/>
  <c r="E5304" i="1"/>
  <c r="C5304" i="1"/>
  <c r="G5303" i="1"/>
  <c r="E5303" i="1"/>
  <c r="C5303" i="1"/>
  <c r="G5302" i="1"/>
  <c r="E5302" i="1"/>
  <c r="C5302" i="1"/>
  <c r="G5301" i="1"/>
  <c r="E5301" i="1"/>
  <c r="C5301" i="1"/>
  <c r="G5300" i="1"/>
  <c r="E5300" i="1"/>
  <c r="C5300" i="1"/>
  <c r="G5299" i="1"/>
  <c r="E5299" i="1"/>
  <c r="C5299" i="1"/>
  <c r="G5298" i="1"/>
  <c r="E5298" i="1"/>
  <c r="C5298" i="1"/>
  <c r="G5297" i="1"/>
  <c r="E5297" i="1"/>
  <c r="C5297" i="1"/>
  <c r="G5296" i="1"/>
  <c r="E5296" i="1"/>
  <c r="C5296" i="1"/>
  <c r="G5295" i="1"/>
  <c r="E5295" i="1"/>
  <c r="C5295" i="1"/>
  <c r="G5294" i="1"/>
  <c r="E5294" i="1"/>
  <c r="C5294" i="1"/>
  <c r="G5293" i="1"/>
  <c r="E5293" i="1"/>
  <c r="C5293" i="1"/>
  <c r="G5292" i="1"/>
  <c r="E5292" i="1"/>
  <c r="C5292" i="1"/>
  <c r="G5291" i="1"/>
  <c r="E5291" i="1"/>
  <c r="C5291" i="1"/>
  <c r="G5290" i="1"/>
  <c r="E5290" i="1"/>
  <c r="C5290" i="1"/>
  <c r="G5289" i="1"/>
  <c r="E5289" i="1"/>
  <c r="C5289" i="1"/>
  <c r="G5288" i="1"/>
  <c r="E5288" i="1"/>
  <c r="C5288" i="1"/>
  <c r="G5287" i="1"/>
  <c r="E5287" i="1"/>
  <c r="C5287" i="1"/>
  <c r="G5286" i="1"/>
  <c r="E5286" i="1"/>
  <c r="C5286" i="1"/>
  <c r="G5285" i="1"/>
  <c r="E5285" i="1"/>
  <c r="C5285" i="1"/>
  <c r="G5284" i="1"/>
  <c r="E5284" i="1"/>
  <c r="C5284" i="1"/>
  <c r="G5283" i="1"/>
  <c r="E5283" i="1"/>
  <c r="C5283" i="1"/>
  <c r="G5282" i="1"/>
  <c r="E5282" i="1"/>
  <c r="C5282" i="1"/>
  <c r="G5281" i="1"/>
  <c r="E5281" i="1"/>
  <c r="C5281" i="1"/>
  <c r="G5280" i="1"/>
  <c r="E5280" i="1"/>
  <c r="C5280" i="1"/>
  <c r="G5279" i="1"/>
  <c r="E5279" i="1"/>
  <c r="C5279" i="1"/>
  <c r="G5278" i="1"/>
  <c r="E5278" i="1"/>
  <c r="C5278" i="1"/>
  <c r="G5277" i="1"/>
  <c r="E5277" i="1"/>
  <c r="C5277" i="1"/>
  <c r="G5276" i="1"/>
  <c r="E5276" i="1"/>
  <c r="C5276" i="1"/>
  <c r="G5275" i="1"/>
  <c r="E5275" i="1"/>
  <c r="C5275" i="1"/>
  <c r="G5274" i="1"/>
  <c r="E5274" i="1"/>
  <c r="C5274" i="1"/>
  <c r="G5273" i="1"/>
  <c r="E5273" i="1"/>
  <c r="C5273" i="1"/>
  <c r="G5272" i="1"/>
  <c r="E5272" i="1"/>
  <c r="C5272" i="1"/>
  <c r="G5271" i="1"/>
  <c r="E5271" i="1"/>
  <c r="C5271" i="1"/>
  <c r="G5270" i="1"/>
  <c r="E5270" i="1"/>
  <c r="C5270" i="1"/>
  <c r="G5269" i="1"/>
  <c r="E5269" i="1"/>
  <c r="C5269" i="1"/>
  <c r="G5268" i="1"/>
  <c r="E5268" i="1"/>
  <c r="C5268" i="1"/>
  <c r="G5267" i="1"/>
  <c r="E5267" i="1"/>
  <c r="C5267" i="1"/>
  <c r="G5266" i="1"/>
  <c r="E5266" i="1"/>
  <c r="C5266" i="1"/>
  <c r="G5265" i="1"/>
  <c r="E5265" i="1"/>
  <c r="C5265" i="1"/>
  <c r="G5264" i="1"/>
  <c r="E5264" i="1"/>
  <c r="C5264" i="1"/>
  <c r="G5263" i="1"/>
  <c r="E5263" i="1"/>
  <c r="C5263" i="1"/>
  <c r="G5262" i="1"/>
  <c r="E5262" i="1"/>
  <c r="C5262" i="1"/>
  <c r="G5261" i="1"/>
  <c r="E5261" i="1"/>
  <c r="C5261" i="1"/>
  <c r="G5260" i="1"/>
  <c r="E5260" i="1"/>
  <c r="C5260" i="1"/>
  <c r="G5259" i="1"/>
  <c r="E5259" i="1"/>
  <c r="C5259" i="1"/>
  <c r="G5258" i="1"/>
  <c r="E5258" i="1"/>
  <c r="C5258" i="1"/>
  <c r="G5257" i="1"/>
  <c r="E5257" i="1"/>
  <c r="C5257" i="1"/>
  <c r="G5256" i="1"/>
  <c r="E5256" i="1"/>
  <c r="C5256" i="1"/>
  <c r="G5255" i="1"/>
  <c r="E5255" i="1"/>
  <c r="C5255" i="1"/>
  <c r="G5254" i="1"/>
  <c r="E5254" i="1"/>
  <c r="C5254" i="1"/>
  <c r="G5253" i="1"/>
  <c r="E5253" i="1"/>
  <c r="C5253" i="1"/>
  <c r="G5252" i="1"/>
  <c r="E5252" i="1"/>
  <c r="C5252" i="1"/>
  <c r="G5251" i="1"/>
  <c r="E5251" i="1"/>
  <c r="C5251" i="1"/>
  <c r="G5250" i="1"/>
  <c r="E5250" i="1"/>
  <c r="C5250" i="1"/>
  <c r="G5249" i="1"/>
  <c r="E5249" i="1"/>
  <c r="C5249" i="1"/>
  <c r="G5248" i="1"/>
  <c r="E5248" i="1"/>
  <c r="C5248" i="1"/>
  <c r="G5247" i="1"/>
  <c r="E5247" i="1"/>
  <c r="C5247" i="1"/>
  <c r="G5246" i="1"/>
  <c r="E5246" i="1"/>
  <c r="C5246" i="1"/>
  <c r="G5245" i="1"/>
  <c r="E5245" i="1"/>
  <c r="C5245" i="1"/>
  <c r="G5244" i="1"/>
  <c r="E5244" i="1"/>
  <c r="C5244" i="1"/>
  <c r="G5243" i="1"/>
  <c r="E5243" i="1"/>
  <c r="C5243" i="1"/>
  <c r="G5242" i="1"/>
  <c r="E5242" i="1"/>
  <c r="C5242" i="1"/>
  <c r="G5241" i="1"/>
  <c r="E5241" i="1"/>
  <c r="C5241" i="1"/>
  <c r="G5240" i="1"/>
  <c r="E5240" i="1"/>
  <c r="C5240" i="1"/>
  <c r="G5239" i="1"/>
  <c r="E5239" i="1"/>
  <c r="C5239" i="1"/>
  <c r="G5238" i="1"/>
  <c r="E5238" i="1"/>
  <c r="C5238" i="1"/>
  <c r="G5237" i="1"/>
  <c r="E5237" i="1"/>
  <c r="C5237" i="1"/>
  <c r="G5236" i="1"/>
  <c r="E5236" i="1"/>
  <c r="C5236" i="1"/>
  <c r="G5235" i="1"/>
  <c r="E5235" i="1"/>
  <c r="C5235" i="1"/>
  <c r="G5234" i="1"/>
  <c r="E5234" i="1"/>
  <c r="C5234" i="1"/>
  <c r="G5233" i="1"/>
  <c r="E5233" i="1"/>
  <c r="C5233" i="1"/>
  <c r="G5232" i="1"/>
  <c r="E5232" i="1"/>
  <c r="C5232" i="1"/>
  <c r="G5231" i="1"/>
  <c r="E5231" i="1"/>
  <c r="C5231" i="1"/>
  <c r="G5230" i="1"/>
  <c r="E5230" i="1"/>
  <c r="C5230" i="1"/>
  <c r="G5229" i="1"/>
  <c r="E5229" i="1"/>
  <c r="C5229" i="1"/>
  <c r="G5228" i="1"/>
  <c r="E5228" i="1"/>
  <c r="C5228" i="1"/>
  <c r="G5227" i="1"/>
  <c r="E5227" i="1"/>
  <c r="C5227" i="1"/>
  <c r="G5226" i="1"/>
  <c r="E5226" i="1"/>
  <c r="C5226" i="1"/>
  <c r="G5225" i="1"/>
  <c r="E5225" i="1"/>
  <c r="C5225" i="1"/>
  <c r="G5224" i="1"/>
  <c r="E5224" i="1"/>
  <c r="C5224" i="1"/>
  <c r="G5223" i="1"/>
  <c r="E5223" i="1"/>
  <c r="C5223" i="1"/>
  <c r="G5222" i="1"/>
  <c r="E5222" i="1"/>
  <c r="C5222" i="1"/>
  <c r="G5221" i="1"/>
  <c r="E5221" i="1"/>
  <c r="C5221" i="1"/>
  <c r="G5220" i="1"/>
  <c r="E5220" i="1"/>
  <c r="C5220" i="1"/>
  <c r="G5219" i="1"/>
  <c r="E5219" i="1"/>
  <c r="C5219" i="1"/>
  <c r="G5218" i="1"/>
  <c r="E5218" i="1"/>
  <c r="C5218" i="1"/>
  <c r="G5217" i="1"/>
  <c r="E5217" i="1"/>
  <c r="C5217" i="1"/>
  <c r="G5216" i="1"/>
  <c r="E5216" i="1"/>
  <c r="C5216" i="1"/>
  <c r="G5215" i="1"/>
  <c r="E5215" i="1"/>
  <c r="C5215" i="1"/>
  <c r="G5214" i="1"/>
  <c r="E5214" i="1"/>
  <c r="C5214" i="1"/>
  <c r="G5213" i="1"/>
  <c r="E5213" i="1"/>
  <c r="C5213" i="1"/>
  <c r="G5212" i="1"/>
  <c r="E5212" i="1"/>
  <c r="C5212" i="1"/>
  <c r="G5211" i="1"/>
  <c r="E5211" i="1"/>
  <c r="C5211" i="1"/>
  <c r="G5210" i="1"/>
  <c r="E5210" i="1"/>
  <c r="C5210" i="1"/>
  <c r="G5209" i="1"/>
  <c r="E5209" i="1"/>
  <c r="C5209" i="1"/>
  <c r="G5208" i="1"/>
  <c r="E5208" i="1"/>
  <c r="C5208" i="1"/>
  <c r="G5207" i="1"/>
  <c r="E5207" i="1"/>
  <c r="C5207" i="1"/>
  <c r="G5206" i="1"/>
  <c r="E5206" i="1"/>
  <c r="C5206" i="1"/>
  <c r="G5205" i="1"/>
  <c r="E5205" i="1"/>
  <c r="C5205" i="1"/>
  <c r="G5204" i="1"/>
  <c r="E5204" i="1"/>
  <c r="C5204" i="1"/>
  <c r="G5203" i="1"/>
  <c r="E5203" i="1"/>
  <c r="C5203" i="1"/>
  <c r="G5202" i="1"/>
  <c r="E5202" i="1"/>
  <c r="C5202" i="1"/>
  <c r="G5201" i="1"/>
  <c r="E5201" i="1"/>
  <c r="C5201" i="1"/>
  <c r="G5200" i="1"/>
  <c r="E5200" i="1"/>
  <c r="C5200" i="1"/>
  <c r="G5199" i="1"/>
  <c r="E5199" i="1"/>
  <c r="C5199" i="1"/>
  <c r="G5198" i="1"/>
  <c r="E5198" i="1"/>
  <c r="C5198" i="1"/>
  <c r="G5197" i="1"/>
  <c r="E5197" i="1"/>
  <c r="C5197" i="1"/>
  <c r="G5196" i="1"/>
  <c r="E5196" i="1"/>
  <c r="C5196" i="1"/>
  <c r="G5195" i="1"/>
  <c r="E5195" i="1"/>
  <c r="C5195" i="1"/>
  <c r="G5194" i="1"/>
  <c r="E5194" i="1"/>
  <c r="C5194" i="1"/>
  <c r="G5193" i="1"/>
  <c r="E5193" i="1"/>
  <c r="C5193" i="1"/>
  <c r="G5192" i="1"/>
  <c r="E5192" i="1"/>
  <c r="C5192" i="1"/>
  <c r="G5191" i="1"/>
  <c r="E5191" i="1"/>
  <c r="C5191" i="1"/>
  <c r="G5190" i="1"/>
  <c r="E5190" i="1"/>
  <c r="C5190" i="1"/>
  <c r="G5189" i="1"/>
  <c r="E5189" i="1"/>
  <c r="C5189" i="1"/>
  <c r="G5188" i="1"/>
  <c r="E5188" i="1"/>
  <c r="C5188" i="1"/>
  <c r="G5187" i="1"/>
  <c r="E5187" i="1"/>
  <c r="C5187" i="1"/>
  <c r="G5186" i="1"/>
  <c r="E5186" i="1"/>
  <c r="C5186" i="1"/>
  <c r="G5185" i="1"/>
  <c r="E5185" i="1"/>
  <c r="C5185" i="1"/>
  <c r="G5184" i="1"/>
  <c r="E5184" i="1"/>
  <c r="C5184" i="1"/>
  <c r="G5183" i="1"/>
  <c r="E5183" i="1"/>
  <c r="C5183" i="1"/>
  <c r="G5182" i="1"/>
  <c r="E5182" i="1"/>
  <c r="C5182" i="1"/>
  <c r="G5181" i="1"/>
  <c r="E5181" i="1"/>
  <c r="C5181" i="1"/>
  <c r="G5180" i="1"/>
  <c r="E5180" i="1"/>
  <c r="C5180" i="1"/>
  <c r="G5179" i="1"/>
  <c r="E5179" i="1"/>
  <c r="C5179" i="1"/>
  <c r="G5178" i="1"/>
  <c r="E5178" i="1"/>
  <c r="C5178" i="1"/>
  <c r="G5177" i="1"/>
  <c r="E5177" i="1"/>
  <c r="C5177" i="1"/>
  <c r="G5176" i="1"/>
  <c r="E5176" i="1"/>
  <c r="C5176" i="1"/>
  <c r="G5175" i="1"/>
  <c r="E5175" i="1"/>
  <c r="C5175" i="1"/>
  <c r="G5174" i="1"/>
  <c r="E5174" i="1"/>
  <c r="C5174" i="1"/>
  <c r="G5173" i="1"/>
  <c r="E5173" i="1"/>
  <c r="C5173" i="1"/>
  <c r="G5172" i="1"/>
  <c r="E5172" i="1"/>
  <c r="C5172" i="1"/>
  <c r="G5171" i="1"/>
  <c r="E5171" i="1"/>
  <c r="C5171" i="1"/>
  <c r="G5170" i="1"/>
  <c r="E5170" i="1"/>
  <c r="C5170" i="1"/>
  <c r="G5169" i="1"/>
  <c r="E5169" i="1"/>
  <c r="C5169" i="1"/>
  <c r="G5168" i="1"/>
  <c r="E5168" i="1"/>
  <c r="C5168" i="1"/>
  <c r="G5167" i="1"/>
  <c r="E5167" i="1"/>
  <c r="C5167" i="1"/>
  <c r="G5166" i="1"/>
  <c r="E5166" i="1"/>
  <c r="C5166" i="1"/>
  <c r="G5165" i="1"/>
  <c r="E5165" i="1"/>
  <c r="C5165" i="1"/>
  <c r="G5164" i="1"/>
  <c r="E5164" i="1"/>
  <c r="C5164" i="1"/>
  <c r="G5163" i="1"/>
  <c r="E5163" i="1"/>
  <c r="C5163" i="1"/>
  <c r="G5162" i="1"/>
  <c r="E5162" i="1"/>
  <c r="C5162" i="1"/>
  <c r="G5161" i="1"/>
  <c r="E5161" i="1"/>
  <c r="C5161" i="1"/>
  <c r="G5160" i="1"/>
  <c r="E5160" i="1"/>
  <c r="C5160" i="1"/>
  <c r="G5159" i="1"/>
  <c r="E5159" i="1"/>
  <c r="C5159" i="1"/>
  <c r="G5158" i="1"/>
  <c r="E5158" i="1"/>
  <c r="C5158" i="1"/>
  <c r="G5157" i="1"/>
  <c r="E5157" i="1"/>
  <c r="C5157" i="1"/>
  <c r="G5156" i="1"/>
  <c r="E5156" i="1"/>
  <c r="C5156" i="1"/>
  <c r="G5155" i="1"/>
  <c r="E5155" i="1"/>
  <c r="C5155" i="1"/>
  <c r="G5154" i="1"/>
  <c r="E5154" i="1"/>
  <c r="C5154" i="1"/>
  <c r="G5153" i="1"/>
  <c r="E5153" i="1"/>
  <c r="C5153" i="1"/>
  <c r="G5152" i="1"/>
  <c r="E5152" i="1"/>
  <c r="C5152" i="1"/>
  <c r="G5151" i="1"/>
  <c r="E5151" i="1"/>
  <c r="C5151" i="1"/>
  <c r="G5150" i="1"/>
  <c r="E5150" i="1"/>
  <c r="C5150" i="1"/>
  <c r="G5149" i="1"/>
  <c r="E5149" i="1"/>
  <c r="C5149" i="1"/>
  <c r="G5148" i="1"/>
  <c r="E5148" i="1"/>
  <c r="C5148" i="1"/>
  <c r="G5147" i="1"/>
  <c r="E5147" i="1"/>
  <c r="C5147" i="1"/>
  <c r="G5146" i="1"/>
  <c r="E5146" i="1"/>
  <c r="C5146" i="1"/>
  <c r="G5145" i="1"/>
  <c r="E5145" i="1"/>
  <c r="C5145" i="1"/>
  <c r="G5144" i="1"/>
  <c r="E5144" i="1"/>
  <c r="C5144" i="1"/>
  <c r="G5143" i="1"/>
  <c r="E5143" i="1"/>
  <c r="C5143" i="1"/>
  <c r="G5142" i="1"/>
  <c r="E5142" i="1"/>
  <c r="C5142" i="1"/>
  <c r="G5141" i="1"/>
  <c r="E5141" i="1"/>
  <c r="C5141" i="1"/>
  <c r="G5140" i="1"/>
  <c r="E5140" i="1"/>
  <c r="C5140" i="1"/>
  <c r="G5139" i="1"/>
  <c r="E5139" i="1"/>
  <c r="C5139" i="1"/>
  <c r="G5138" i="1"/>
  <c r="E5138" i="1"/>
  <c r="C5138" i="1"/>
  <c r="G5137" i="1"/>
  <c r="E5137" i="1"/>
  <c r="C5137" i="1"/>
  <c r="G5136" i="1"/>
  <c r="E5136" i="1"/>
  <c r="C5136" i="1"/>
  <c r="G5135" i="1"/>
  <c r="E5135" i="1"/>
  <c r="C5135" i="1"/>
  <c r="G5134" i="1"/>
  <c r="E5134" i="1"/>
  <c r="C5134" i="1"/>
  <c r="G5133" i="1"/>
  <c r="E5133" i="1"/>
  <c r="C5133" i="1"/>
  <c r="G5132" i="1"/>
  <c r="E5132" i="1"/>
  <c r="C5132" i="1"/>
  <c r="G5131" i="1"/>
  <c r="E5131" i="1"/>
  <c r="C5131" i="1"/>
  <c r="G5130" i="1"/>
  <c r="E5130" i="1"/>
  <c r="C5130" i="1"/>
  <c r="G5129" i="1"/>
  <c r="E5129" i="1"/>
  <c r="C5129" i="1"/>
  <c r="G5128" i="1"/>
  <c r="E5128" i="1"/>
  <c r="C5128" i="1"/>
  <c r="G5127" i="1"/>
  <c r="E5127" i="1"/>
  <c r="C5127" i="1"/>
  <c r="G5126" i="1"/>
  <c r="E5126" i="1"/>
  <c r="C5126" i="1"/>
  <c r="G5125" i="1"/>
  <c r="E5125" i="1"/>
  <c r="C5125" i="1"/>
  <c r="G5124" i="1"/>
  <c r="E5124" i="1"/>
  <c r="C5124" i="1"/>
  <c r="G5123" i="1"/>
  <c r="E5123" i="1"/>
  <c r="C5123" i="1"/>
  <c r="G5122" i="1"/>
  <c r="E5122" i="1"/>
  <c r="C5122" i="1"/>
  <c r="G5121" i="1"/>
  <c r="E5121" i="1"/>
  <c r="C5121" i="1"/>
  <c r="G5120" i="1"/>
  <c r="E5120" i="1"/>
  <c r="C5120" i="1"/>
  <c r="G5119" i="1"/>
  <c r="E5119" i="1"/>
  <c r="C5119" i="1"/>
  <c r="G5118" i="1"/>
  <c r="E5118" i="1"/>
  <c r="C5118" i="1"/>
  <c r="G5117" i="1"/>
  <c r="E5117" i="1"/>
  <c r="C5117" i="1"/>
  <c r="G5116" i="1"/>
  <c r="E5116" i="1"/>
  <c r="C5116" i="1"/>
  <c r="G5115" i="1"/>
  <c r="E5115" i="1"/>
  <c r="C5115" i="1"/>
  <c r="G5114" i="1"/>
  <c r="E5114" i="1"/>
  <c r="C5114" i="1"/>
  <c r="G5113" i="1"/>
  <c r="E5113" i="1"/>
  <c r="C5113" i="1"/>
  <c r="G5112" i="1"/>
  <c r="E5112" i="1"/>
  <c r="C5112" i="1"/>
  <c r="G5111" i="1"/>
  <c r="E5111" i="1"/>
  <c r="C5111" i="1"/>
  <c r="G5110" i="1"/>
  <c r="E5110" i="1"/>
  <c r="C5110" i="1"/>
  <c r="G5109" i="1"/>
  <c r="E5109" i="1"/>
  <c r="C5109" i="1"/>
  <c r="G5108" i="1"/>
  <c r="E5108" i="1"/>
  <c r="C5108" i="1"/>
  <c r="G5107" i="1"/>
  <c r="E5107" i="1"/>
  <c r="C5107" i="1"/>
  <c r="G5106" i="1"/>
  <c r="E5106" i="1"/>
  <c r="C5106" i="1"/>
  <c r="G5105" i="1"/>
  <c r="E5105" i="1"/>
  <c r="C5105" i="1"/>
  <c r="G5104" i="1"/>
  <c r="E5104" i="1"/>
  <c r="C5104" i="1"/>
  <c r="G5103" i="1"/>
  <c r="E5103" i="1"/>
  <c r="C5103" i="1"/>
  <c r="G5102" i="1"/>
  <c r="E5102" i="1"/>
  <c r="C5102" i="1"/>
  <c r="G5101" i="1"/>
  <c r="E5101" i="1"/>
  <c r="C5101" i="1"/>
  <c r="G5100" i="1"/>
  <c r="E5100" i="1"/>
  <c r="C5100" i="1"/>
  <c r="G5099" i="1"/>
  <c r="E5099" i="1"/>
  <c r="C5099" i="1"/>
  <c r="G5098" i="1"/>
  <c r="E5098" i="1"/>
  <c r="C5098" i="1"/>
  <c r="G5097" i="1"/>
  <c r="E5097" i="1"/>
  <c r="C5097" i="1"/>
  <c r="G5096" i="1"/>
  <c r="E5096" i="1"/>
  <c r="C5096" i="1"/>
  <c r="G5095" i="1"/>
  <c r="E5095" i="1"/>
  <c r="C5095" i="1"/>
  <c r="G5094" i="1"/>
  <c r="E5094" i="1"/>
  <c r="C5094" i="1"/>
  <c r="G5093" i="1"/>
  <c r="E5093" i="1"/>
  <c r="C5093" i="1"/>
  <c r="G5092" i="1"/>
  <c r="E5092" i="1"/>
  <c r="C5092" i="1"/>
  <c r="G5091" i="1"/>
  <c r="E5091" i="1"/>
  <c r="C5091" i="1"/>
  <c r="G5090" i="1"/>
  <c r="E5090" i="1"/>
  <c r="C5090" i="1"/>
  <c r="G5089" i="1"/>
  <c r="E5089" i="1"/>
  <c r="C5089" i="1"/>
  <c r="G5088" i="1"/>
  <c r="E5088" i="1"/>
  <c r="C5088" i="1"/>
  <c r="G5087" i="1"/>
  <c r="E5087" i="1"/>
  <c r="C5087" i="1"/>
  <c r="G5086" i="1"/>
  <c r="E5086" i="1"/>
  <c r="C5086" i="1"/>
  <c r="G5085" i="1"/>
  <c r="E5085" i="1"/>
  <c r="C5085" i="1"/>
  <c r="G5084" i="1"/>
  <c r="E5084" i="1"/>
  <c r="C5084" i="1"/>
  <c r="G5083" i="1"/>
  <c r="E5083" i="1"/>
  <c r="C5083" i="1"/>
  <c r="G5082" i="1"/>
  <c r="E5082" i="1"/>
  <c r="C5082" i="1"/>
  <c r="G5081" i="1"/>
  <c r="E5081" i="1"/>
  <c r="C5081" i="1"/>
  <c r="G5080" i="1"/>
  <c r="E5080" i="1"/>
  <c r="C5080" i="1"/>
  <c r="G5079" i="1"/>
  <c r="E5079" i="1"/>
  <c r="C5079" i="1"/>
  <c r="G5078" i="1"/>
  <c r="E5078" i="1"/>
  <c r="C5078" i="1"/>
  <c r="G5077" i="1"/>
  <c r="E5077" i="1"/>
  <c r="C5077" i="1"/>
  <c r="G5076" i="1"/>
  <c r="E5076" i="1"/>
  <c r="C5076" i="1"/>
  <c r="G5075" i="1"/>
  <c r="E5075" i="1"/>
  <c r="C5075" i="1"/>
  <c r="G5074" i="1"/>
  <c r="E5074" i="1"/>
  <c r="C5074" i="1"/>
  <c r="G5073" i="1"/>
  <c r="E5073" i="1"/>
  <c r="C5073" i="1"/>
  <c r="G5072" i="1"/>
  <c r="E5072" i="1"/>
  <c r="C5072" i="1"/>
  <c r="G5071" i="1"/>
  <c r="E5071" i="1"/>
  <c r="C5071" i="1"/>
  <c r="G5070" i="1"/>
  <c r="E5070" i="1"/>
  <c r="C5070" i="1"/>
  <c r="G5069" i="1"/>
  <c r="E5069" i="1"/>
  <c r="C5069" i="1"/>
  <c r="G5068" i="1"/>
  <c r="E5068" i="1"/>
  <c r="C5068" i="1"/>
  <c r="G5067" i="1"/>
  <c r="E5067" i="1"/>
  <c r="C5067" i="1"/>
  <c r="G5066" i="1"/>
  <c r="E5066" i="1"/>
  <c r="C5066" i="1"/>
  <c r="G5065" i="1"/>
  <c r="E5065" i="1"/>
  <c r="C5065" i="1"/>
  <c r="G5064" i="1"/>
  <c r="E5064" i="1"/>
  <c r="C5064" i="1"/>
  <c r="G5063" i="1"/>
  <c r="E5063" i="1"/>
  <c r="C5063" i="1"/>
  <c r="G5062" i="1"/>
  <c r="E5062" i="1"/>
  <c r="C5062" i="1"/>
  <c r="G5061" i="1"/>
  <c r="E5061" i="1"/>
  <c r="C5061" i="1"/>
  <c r="G5060" i="1"/>
  <c r="E5060" i="1"/>
  <c r="C5060" i="1"/>
  <c r="G5059" i="1"/>
  <c r="E5059" i="1"/>
  <c r="C5059" i="1"/>
  <c r="G5058" i="1"/>
  <c r="E5058" i="1"/>
  <c r="C5058" i="1"/>
  <c r="G5057" i="1"/>
  <c r="E5057" i="1"/>
  <c r="C5057" i="1"/>
  <c r="G5056" i="1"/>
  <c r="E5056" i="1"/>
  <c r="C5056" i="1"/>
  <c r="G5055" i="1"/>
  <c r="E5055" i="1"/>
  <c r="C5055" i="1"/>
  <c r="G5054" i="1"/>
  <c r="E5054" i="1"/>
  <c r="C5054" i="1"/>
  <c r="G5053" i="1"/>
  <c r="E5053" i="1"/>
  <c r="C5053" i="1"/>
  <c r="G5052" i="1"/>
  <c r="E5052" i="1"/>
  <c r="C5052" i="1"/>
  <c r="G5051" i="1"/>
  <c r="E5051" i="1"/>
  <c r="C5051" i="1"/>
  <c r="G5050" i="1"/>
  <c r="E5050" i="1"/>
  <c r="C5050" i="1"/>
  <c r="G5049" i="1"/>
  <c r="E5049" i="1"/>
  <c r="C5049" i="1"/>
  <c r="G5048" i="1"/>
  <c r="E5048" i="1"/>
  <c r="C5048" i="1"/>
  <c r="G5047" i="1"/>
  <c r="E5047" i="1"/>
  <c r="C5047" i="1"/>
  <c r="G5046" i="1"/>
  <c r="E5046" i="1"/>
  <c r="C5046" i="1"/>
  <c r="G5045" i="1"/>
  <c r="E5045" i="1"/>
  <c r="C5045" i="1"/>
  <c r="G5044" i="1"/>
  <c r="E5044" i="1"/>
  <c r="C5044" i="1"/>
  <c r="G5043" i="1"/>
  <c r="E5043" i="1"/>
  <c r="C5043" i="1"/>
  <c r="G5042" i="1"/>
  <c r="E5042" i="1"/>
  <c r="C5042" i="1"/>
  <c r="G5041" i="1"/>
  <c r="E5041" i="1"/>
  <c r="C5041" i="1"/>
  <c r="G5040" i="1"/>
  <c r="E5040" i="1"/>
  <c r="C5040" i="1"/>
  <c r="G5039" i="1"/>
  <c r="E5039" i="1"/>
  <c r="C5039" i="1"/>
  <c r="G5038" i="1"/>
  <c r="E5038" i="1"/>
  <c r="C5038" i="1"/>
  <c r="G5037" i="1"/>
  <c r="E5037" i="1"/>
  <c r="C5037" i="1"/>
  <c r="G5036" i="1"/>
  <c r="E5036" i="1"/>
  <c r="C5036" i="1"/>
  <c r="G5035" i="1"/>
  <c r="E5035" i="1"/>
  <c r="C5035" i="1"/>
  <c r="G5034" i="1"/>
  <c r="E5034" i="1"/>
  <c r="C5034" i="1"/>
  <c r="G5033" i="1"/>
  <c r="E5033" i="1"/>
  <c r="C5033" i="1"/>
  <c r="G5032" i="1"/>
  <c r="E5032" i="1"/>
  <c r="C5032" i="1"/>
  <c r="G5031" i="1"/>
  <c r="E5031" i="1"/>
  <c r="C5031" i="1"/>
  <c r="G5030" i="1"/>
  <c r="E5030" i="1"/>
  <c r="C5030" i="1"/>
  <c r="G5029" i="1"/>
  <c r="E5029" i="1"/>
  <c r="C5029" i="1"/>
  <c r="G5028" i="1"/>
  <c r="E5028" i="1"/>
  <c r="C5028" i="1"/>
  <c r="G5027" i="1"/>
  <c r="E5027" i="1"/>
  <c r="C5027" i="1"/>
  <c r="G5026" i="1"/>
  <c r="E5026" i="1"/>
  <c r="C5026" i="1"/>
  <c r="G5025" i="1"/>
  <c r="E5025" i="1"/>
  <c r="C5025" i="1"/>
  <c r="G5024" i="1"/>
  <c r="E5024" i="1"/>
  <c r="C5024" i="1"/>
  <c r="G5023" i="1"/>
  <c r="E5023" i="1"/>
  <c r="C5023" i="1"/>
  <c r="G5022" i="1"/>
  <c r="E5022" i="1"/>
  <c r="C5022" i="1"/>
  <c r="G5021" i="1"/>
  <c r="E5021" i="1"/>
  <c r="C5021" i="1"/>
  <c r="G5020" i="1"/>
  <c r="E5020" i="1"/>
  <c r="C5020" i="1"/>
  <c r="G5019" i="1"/>
  <c r="E5019" i="1"/>
  <c r="C5019" i="1"/>
  <c r="G5018" i="1"/>
  <c r="E5018" i="1"/>
  <c r="C5018" i="1"/>
  <c r="G5017" i="1"/>
  <c r="E5017" i="1"/>
  <c r="C5017" i="1"/>
  <c r="G5016" i="1"/>
  <c r="E5016" i="1"/>
  <c r="C5016" i="1"/>
  <c r="G5015" i="1"/>
  <c r="E5015" i="1"/>
  <c r="C5015" i="1"/>
  <c r="G5014" i="1"/>
  <c r="E5014" i="1"/>
  <c r="C5014" i="1"/>
  <c r="G5013" i="1"/>
  <c r="E5013" i="1"/>
  <c r="C5013" i="1"/>
  <c r="G5012" i="1"/>
  <c r="E5012" i="1"/>
  <c r="C5012" i="1"/>
  <c r="G5011" i="1"/>
  <c r="E5011" i="1"/>
  <c r="C5011" i="1"/>
  <c r="G5010" i="1"/>
  <c r="E5010" i="1"/>
  <c r="C5010" i="1"/>
  <c r="G5009" i="1"/>
  <c r="E5009" i="1"/>
  <c r="C5009" i="1"/>
  <c r="G5008" i="1"/>
  <c r="E5008" i="1"/>
  <c r="C5008" i="1"/>
  <c r="G5007" i="1"/>
  <c r="E5007" i="1"/>
  <c r="C5007" i="1"/>
  <c r="G5006" i="1"/>
  <c r="E5006" i="1"/>
  <c r="C5006" i="1"/>
  <c r="G5005" i="1"/>
  <c r="E5005" i="1"/>
  <c r="C5005" i="1"/>
  <c r="G5004" i="1"/>
  <c r="E5004" i="1"/>
  <c r="C5004" i="1"/>
  <c r="G5003" i="1"/>
  <c r="E5003" i="1"/>
  <c r="C5003" i="1"/>
  <c r="G5002" i="1"/>
  <c r="E5002" i="1"/>
  <c r="C5002" i="1"/>
  <c r="G5001" i="1"/>
  <c r="E5001" i="1"/>
  <c r="C5001" i="1"/>
  <c r="G5000" i="1"/>
  <c r="E5000" i="1"/>
  <c r="C5000" i="1"/>
  <c r="G4999" i="1"/>
  <c r="E4999" i="1"/>
  <c r="C4999" i="1"/>
  <c r="G4998" i="1"/>
  <c r="E4998" i="1"/>
  <c r="C4998" i="1"/>
  <c r="G4997" i="1"/>
  <c r="E4997" i="1"/>
  <c r="C4997" i="1"/>
  <c r="G4996" i="1"/>
  <c r="E4996" i="1"/>
  <c r="C4996" i="1"/>
  <c r="G4995" i="1"/>
  <c r="E4995" i="1"/>
  <c r="C4995" i="1"/>
  <c r="G4994" i="1"/>
  <c r="E4994" i="1"/>
  <c r="C4994" i="1"/>
  <c r="G4993" i="1"/>
  <c r="E4993" i="1"/>
  <c r="C4993" i="1"/>
  <c r="G4992" i="1"/>
  <c r="E4992" i="1"/>
  <c r="C4992" i="1"/>
  <c r="G4991" i="1"/>
  <c r="E4991" i="1"/>
  <c r="C4991" i="1"/>
  <c r="G4990" i="1"/>
  <c r="E4990" i="1"/>
  <c r="C4990" i="1"/>
  <c r="G4989" i="1"/>
  <c r="E4989" i="1"/>
  <c r="C4989" i="1"/>
  <c r="G4988" i="1"/>
  <c r="E4988" i="1"/>
  <c r="C4988" i="1"/>
  <c r="G4987" i="1"/>
  <c r="E4987" i="1"/>
  <c r="C4987" i="1"/>
  <c r="G4986" i="1"/>
  <c r="E4986" i="1"/>
  <c r="C4986" i="1"/>
  <c r="G4985" i="1"/>
  <c r="E4985" i="1"/>
  <c r="C4985" i="1"/>
  <c r="G4984" i="1"/>
  <c r="E4984" i="1"/>
  <c r="C4984" i="1"/>
  <c r="G4983" i="1"/>
  <c r="E4983" i="1"/>
  <c r="C4983" i="1"/>
  <c r="G4982" i="1"/>
  <c r="E4982" i="1"/>
  <c r="C4982" i="1"/>
  <c r="G4981" i="1"/>
  <c r="E4981" i="1"/>
  <c r="C4981" i="1"/>
  <c r="G4980" i="1"/>
  <c r="E4980" i="1"/>
  <c r="C4980" i="1"/>
  <c r="G4979" i="1"/>
  <c r="E4979" i="1"/>
  <c r="C4979" i="1"/>
  <c r="G4978" i="1"/>
  <c r="E4978" i="1"/>
  <c r="C4978" i="1"/>
  <c r="G4977" i="1"/>
  <c r="E4977" i="1"/>
  <c r="C4977" i="1"/>
  <c r="G4976" i="1"/>
  <c r="E4976" i="1"/>
  <c r="C4976" i="1"/>
  <c r="G4975" i="1"/>
  <c r="E4975" i="1"/>
  <c r="C4975" i="1"/>
  <c r="G4974" i="1"/>
  <c r="E4974" i="1"/>
  <c r="C4974" i="1"/>
  <c r="G4973" i="1"/>
  <c r="E4973" i="1"/>
  <c r="C4973" i="1"/>
  <c r="G4972" i="1"/>
  <c r="E4972" i="1"/>
  <c r="C4972" i="1"/>
  <c r="G4971" i="1"/>
  <c r="E4971" i="1"/>
  <c r="C4971" i="1"/>
  <c r="G4970" i="1"/>
  <c r="E4970" i="1"/>
  <c r="C4970" i="1"/>
  <c r="G4969" i="1"/>
  <c r="E4969" i="1"/>
  <c r="C4969" i="1"/>
  <c r="G4968" i="1"/>
  <c r="E4968" i="1"/>
  <c r="C4968" i="1"/>
  <c r="G4967" i="1"/>
  <c r="E4967" i="1"/>
  <c r="C4967" i="1"/>
  <c r="G4966" i="1"/>
  <c r="E4966" i="1"/>
  <c r="C4966" i="1"/>
  <c r="G4965" i="1"/>
  <c r="E4965" i="1"/>
  <c r="C4965" i="1"/>
  <c r="G4964" i="1"/>
  <c r="E4964" i="1"/>
  <c r="C4964" i="1"/>
  <c r="G4963" i="1"/>
  <c r="E4963" i="1"/>
  <c r="C4963" i="1"/>
  <c r="G4962" i="1"/>
  <c r="E4962" i="1"/>
  <c r="C4962" i="1"/>
  <c r="G4961" i="1"/>
  <c r="E4961" i="1"/>
  <c r="C4961" i="1"/>
  <c r="G4960" i="1"/>
  <c r="E4960" i="1"/>
  <c r="C4960" i="1"/>
  <c r="G4959" i="1"/>
  <c r="E4959" i="1"/>
  <c r="C4959" i="1"/>
  <c r="G4958" i="1"/>
  <c r="E4958" i="1"/>
  <c r="C4958" i="1"/>
  <c r="G4957" i="1"/>
  <c r="E4957" i="1"/>
  <c r="C4957" i="1"/>
  <c r="G4956" i="1"/>
  <c r="E4956" i="1"/>
  <c r="C4956" i="1"/>
  <c r="G4955" i="1"/>
  <c r="E4955" i="1"/>
  <c r="C4955" i="1"/>
  <c r="G4954" i="1"/>
  <c r="E4954" i="1"/>
  <c r="C4954" i="1"/>
  <c r="G4953" i="1"/>
  <c r="E4953" i="1"/>
  <c r="C4953" i="1"/>
  <c r="G4952" i="1"/>
  <c r="E4952" i="1"/>
  <c r="C4952" i="1"/>
  <c r="G4951" i="1"/>
  <c r="E4951" i="1"/>
  <c r="C4951" i="1"/>
  <c r="G4950" i="1"/>
  <c r="E4950" i="1"/>
  <c r="C4950" i="1"/>
  <c r="G4949" i="1"/>
  <c r="E4949" i="1"/>
  <c r="C4949" i="1"/>
  <c r="G4948" i="1"/>
  <c r="E4948" i="1"/>
  <c r="C4948" i="1"/>
  <c r="G4947" i="1"/>
  <c r="E4947" i="1"/>
  <c r="C4947" i="1"/>
  <c r="G4946" i="1"/>
  <c r="E4946" i="1"/>
  <c r="C4946" i="1"/>
  <c r="G4945" i="1"/>
  <c r="E4945" i="1"/>
  <c r="C4945" i="1"/>
  <c r="G4944" i="1"/>
  <c r="E4944" i="1"/>
  <c r="C4944" i="1"/>
  <c r="G4943" i="1"/>
  <c r="E4943" i="1"/>
  <c r="C4943" i="1"/>
  <c r="G4942" i="1"/>
  <c r="E4942" i="1"/>
  <c r="C4942" i="1"/>
  <c r="G4941" i="1"/>
  <c r="E4941" i="1"/>
  <c r="C4941" i="1"/>
  <c r="G4940" i="1"/>
  <c r="E4940" i="1"/>
  <c r="C4940" i="1"/>
  <c r="G4939" i="1"/>
  <c r="E4939" i="1"/>
  <c r="C4939" i="1"/>
  <c r="G4938" i="1"/>
  <c r="E4938" i="1"/>
  <c r="C4938" i="1"/>
  <c r="G4937" i="1"/>
  <c r="E4937" i="1"/>
  <c r="C4937" i="1"/>
  <c r="G4936" i="1"/>
  <c r="E4936" i="1"/>
  <c r="C4936" i="1"/>
  <c r="G4935" i="1"/>
  <c r="E4935" i="1"/>
  <c r="C4935" i="1"/>
  <c r="G4934" i="1"/>
  <c r="E4934" i="1"/>
  <c r="C4934" i="1"/>
  <c r="G4933" i="1"/>
  <c r="E4933" i="1"/>
  <c r="C4933" i="1"/>
  <c r="G4932" i="1"/>
  <c r="E4932" i="1"/>
  <c r="C4932" i="1"/>
  <c r="G4931" i="1"/>
  <c r="E4931" i="1"/>
  <c r="C4931" i="1"/>
  <c r="G4930" i="1"/>
  <c r="E4930" i="1"/>
  <c r="C4930" i="1"/>
  <c r="G4929" i="1"/>
  <c r="E4929" i="1"/>
  <c r="C4929" i="1"/>
  <c r="G4928" i="1"/>
  <c r="E4928" i="1"/>
  <c r="C4928" i="1"/>
  <c r="G4927" i="1"/>
  <c r="E4927" i="1"/>
  <c r="C4927" i="1"/>
  <c r="G4926" i="1"/>
  <c r="E4926" i="1"/>
  <c r="C4926" i="1"/>
  <c r="G4925" i="1"/>
  <c r="E4925" i="1"/>
  <c r="C4925" i="1"/>
  <c r="G4924" i="1"/>
  <c r="E4924" i="1"/>
  <c r="C4924" i="1"/>
  <c r="G4923" i="1"/>
  <c r="E4923" i="1"/>
  <c r="C4923" i="1"/>
  <c r="G4922" i="1"/>
  <c r="E4922" i="1"/>
  <c r="C4922" i="1"/>
  <c r="G4921" i="1"/>
  <c r="E4921" i="1"/>
  <c r="C4921" i="1"/>
  <c r="G4920" i="1"/>
  <c r="E4920" i="1"/>
  <c r="C4920" i="1"/>
  <c r="G4919" i="1"/>
  <c r="E4919" i="1"/>
  <c r="C4919" i="1"/>
  <c r="G4918" i="1"/>
  <c r="E4918" i="1"/>
  <c r="C4918" i="1"/>
  <c r="G4917" i="1"/>
  <c r="E4917" i="1"/>
  <c r="C4917" i="1"/>
  <c r="G4916" i="1"/>
  <c r="E4916" i="1"/>
  <c r="C4916" i="1"/>
  <c r="G4915" i="1"/>
  <c r="E4915" i="1"/>
  <c r="C4915" i="1"/>
  <c r="G4914" i="1"/>
  <c r="E4914" i="1"/>
  <c r="C4914" i="1"/>
  <c r="G4913" i="1"/>
  <c r="E4913" i="1"/>
  <c r="C4913" i="1"/>
  <c r="G4912" i="1"/>
  <c r="E4912" i="1"/>
  <c r="C4912" i="1"/>
  <c r="G4911" i="1"/>
  <c r="E4911" i="1"/>
  <c r="C4911" i="1"/>
  <c r="G4910" i="1"/>
  <c r="E4910" i="1"/>
  <c r="C4910" i="1"/>
  <c r="G4909" i="1"/>
  <c r="E4909" i="1"/>
  <c r="C4909" i="1"/>
  <c r="G4908" i="1"/>
  <c r="E4908" i="1"/>
  <c r="C4908" i="1"/>
  <c r="G4907" i="1"/>
  <c r="E4907" i="1"/>
  <c r="C4907" i="1"/>
  <c r="G4906" i="1"/>
  <c r="E4906" i="1"/>
  <c r="C4906" i="1"/>
  <c r="G4905" i="1"/>
  <c r="E4905" i="1"/>
  <c r="C4905" i="1"/>
  <c r="G4904" i="1"/>
  <c r="E4904" i="1"/>
  <c r="C4904" i="1"/>
  <c r="G4903" i="1"/>
  <c r="E4903" i="1"/>
  <c r="C4903" i="1"/>
  <c r="G4902" i="1"/>
  <c r="E4902" i="1"/>
  <c r="C4902" i="1"/>
  <c r="G4901" i="1"/>
  <c r="E4901" i="1"/>
  <c r="C4901" i="1"/>
  <c r="G4900" i="1"/>
  <c r="E4900" i="1"/>
  <c r="C4900" i="1"/>
  <c r="G4899" i="1"/>
  <c r="E4899" i="1"/>
  <c r="C4899" i="1"/>
  <c r="G4898" i="1"/>
  <c r="E4898" i="1"/>
  <c r="C4898" i="1"/>
  <c r="G4897" i="1"/>
  <c r="E4897" i="1"/>
  <c r="C4897" i="1"/>
  <c r="G4896" i="1"/>
  <c r="E4896" i="1"/>
  <c r="C4896" i="1"/>
  <c r="G4895" i="1"/>
  <c r="E4895" i="1"/>
  <c r="C4895" i="1"/>
  <c r="G4894" i="1"/>
  <c r="E4894" i="1"/>
  <c r="C4894" i="1"/>
  <c r="G4893" i="1"/>
  <c r="E4893" i="1"/>
  <c r="C4893" i="1"/>
  <c r="G4892" i="1"/>
  <c r="E4892" i="1"/>
  <c r="C4892" i="1"/>
  <c r="G4891" i="1"/>
  <c r="E4891" i="1"/>
  <c r="C4891" i="1"/>
  <c r="G4890" i="1"/>
  <c r="E4890" i="1"/>
  <c r="C4890" i="1"/>
  <c r="G4889" i="1"/>
  <c r="E4889" i="1"/>
  <c r="C4889" i="1"/>
  <c r="G4888" i="1"/>
  <c r="E4888" i="1"/>
  <c r="C4888" i="1"/>
  <c r="G4887" i="1"/>
  <c r="E4887" i="1"/>
  <c r="C4887" i="1"/>
  <c r="G4886" i="1"/>
  <c r="E4886" i="1"/>
  <c r="C4886" i="1"/>
  <c r="G4885" i="1"/>
  <c r="E4885" i="1"/>
  <c r="C4885" i="1"/>
  <c r="G4884" i="1"/>
  <c r="E4884" i="1"/>
  <c r="C4884" i="1"/>
  <c r="G4883" i="1"/>
  <c r="E4883" i="1"/>
  <c r="C4883" i="1"/>
  <c r="G4882" i="1"/>
  <c r="E4882" i="1"/>
  <c r="C4882" i="1"/>
  <c r="G4881" i="1"/>
  <c r="E4881" i="1"/>
  <c r="C4881" i="1"/>
  <c r="G4880" i="1"/>
  <c r="E4880" i="1"/>
  <c r="C4880" i="1"/>
  <c r="G4879" i="1"/>
  <c r="E4879" i="1"/>
  <c r="C4879" i="1"/>
  <c r="G4878" i="1"/>
  <c r="E4878" i="1"/>
  <c r="C4878" i="1"/>
  <c r="G4877" i="1"/>
  <c r="E4877" i="1"/>
  <c r="C4877" i="1"/>
  <c r="G4876" i="1"/>
  <c r="E4876" i="1"/>
  <c r="C4876" i="1"/>
  <c r="G4875" i="1"/>
  <c r="E4875" i="1"/>
  <c r="C4875" i="1"/>
  <c r="G4874" i="1"/>
  <c r="E4874" i="1"/>
  <c r="C4874" i="1"/>
  <c r="G4873" i="1"/>
  <c r="E4873" i="1"/>
  <c r="C4873" i="1"/>
  <c r="G4872" i="1"/>
  <c r="E4872" i="1"/>
  <c r="C4872" i="1"/>
  <c r="G4871" i="1"/>
  <c r="E4871" i="1"/>
  <c r="C4871" i="1"/>
  <c r="G4870" i="1"/>
  <c r="E4870" i="1"/>
  <c r="C4870" i="1"/>
  <c r="G4869" i="1"/>
  <c r="E4869" i="1"/>
  <c r="C4869" i="1"/>
  <c r="G4868" i="1"/>
  <c r="E4868" i="1"/>
  <c r="C4868" i="1"/>
  <c r="G4867" i="1"/>
  <c r="E4867" i="1"/>
  <c r="C4867" i="1"/>
  <c r="G4866" i="1"/>
  <c r="E4866" i="1"/>
  <c r="C4866" i="1"/>
  <c r="G4865" i="1"/>
  <c r="E4865" i="1"/>
  <c r="C4865" i="1"/>
  <c r="G4864" i="1"/>
  <c r="E4864" i="1"/>
  <c r="C4864" i="1"/>
  <c r="G4863" i="1"/>
  <c r="E4863" i="1"/>
  <c r="C4863" i="1"/>
  <c r="G4862" i="1"/>
  <c r="E4862" i="1"/>
  <c r="C4862" i="1"/>
  <c r="G4861" i="1"/>
  <c r="E4861" i="1"/>
  <c r="C4861" i="1"/>
  <c r="G4860" i="1"/>
  <c r="E4860" i="1"/>
  <c r="C4860" i="1"/>
  <c r="G4859" i="1"/>
  <c r="E4859" i="1"/>
  <c r="C4859" i="1"/>
  <c r="G4858" i="1"/>
  <c r="E4858" i="1"/>
  <c r="C4858" i="1"/>
  <c r="G4857" i="1"/>
  <c r="E4857" i="1"/>
  <c r="C4857" i="1"/>
  <c r="G4856" i="1"/>
  <c r="E4856" i="1"/>
  <c r="C4856" i="1"/>
  <c r="G4855" i="1"/>
  <c r="E4855" i="1"/>
  <c r="C4855" i="1"/>
  <c r="G4854" i="1"/>
  <c r="E4854" i="1"/>
  <c r="C4854" i="1"/>
  <c r="G4853" i="1"/>
  <c r="E4853" i="1"/>
  <c r="C4853" i="1"/>
  <c r="G4852" i="1"/>
  <c r="E4852" i="1"/>
  <c r="C4852" i="1"/>
  <c r="G4851" i="1"/>
  <c r="E4851" i="1"/>
  <c r="C4851" i="1"/>
  <c r="G4850" i="1"/>
  <c r="E4850" i="1"/>
  <c r="C4850" i="1"/>
  <c r="G4849" i="1"/>
  <c r="E4849" i="1"/>
  <c r="C4849" i="1"/>
  <c r="G4848" i="1"/>
  <c r="E4848" i="1"/>
  <c r="C4848" i="1"/>
  <c r="G4847" i="1"/>
  <c r="E4847" i="1"/>
  <c r="C4847" i="1"/>
  <c r="G4846" i="1"/>
  <c r="E4846" i="1"/>
  <c r="C4846" i="1"/>
  <c r="G4845" i="1"/>
  <c r="E4845" i="1"/>
  <c r="C4845" i="1"/>
  <c r="G4844" i="1"/>
  <c r="E4844" i="1"/>
  <c r="C4844" i="1"/>
  <c r="G4843" i="1"/>
  <c r="E4843" i="1"/>
  <c r="C4843" i="1"/>
  <c r="G4842" i="1"/>
  <c r="E4842" i="1"/>
  <c r="C4842" i="1"/>
  <c r="G4841" i="1"/>
  <c r="E4841" i="1"/>
  <c r="C4841" i="1"/>
  <c r="G4840" i="1"/>
  <c r="E4840" i="1"/>
  <c r="C4840" i="1"/>
  <c r="G4839" i="1"/>
  <c r="E4839" i="1"/>
  <c r="C4839" i="1"/>
  <c r="G4838" i="1"/>
  <c r="E4838" i="1"/>
  <c r="C4838" i="1"/>
  <c r="G4837" i="1"/>
  <c r="E4837" i="1"/>
  <c r="C4837" i="1"/>
  <c r="G4836" i="1"/>
  <c r="E4836" i="1"/>
  <c r="C4836" i="1"/>
  <c r="G4835" i="1"/>
  <c r="E4835" i="1"/>
  <c r="C4835" i="1"/>
  <c r="G4834" i="1"/>
  <c r="E4834" i="1"/>
  <c r="C4834" i="1"/>
  <c r="G4833" i="1"/>
  <c r="E4833" i="1"/>
  <c r="C4833" i="1"/>
  <c r="G4832" i="1"/>
  <c r="E4832" i="1"/>
  <c r="C4832" i="1"/>
  <c r="G4831" i="1"/>
  <c r="E4831" i="1"/>
  <c r="C4831" i="1"/>
  <c r="G4830" i="1"/>
  <c r="E4830" i="1"/>
  <c r="C4830" i="1"/>
  <c r="G4829" i="1"/>
  <c r="E4829" i="1"/>
  <c r="C4829" i="1"/>
  <c r="G4828" i="1"/>
  <c r="E4828" i="1"/>
  <c r="C4828" i="1"/>
  <c r="G4827" i="1"/>
  <c r="E4827" i="1"/>
  <c r="C4827" i="1"/>
  <c r="G4826" i="1"/>
  <c r="E4826" i="1"/>
  <c r="C4826" i="1"/>
  <c r="G4825" i="1"/>
  <c r="E4825" i="1"/>
  <c r="C4825" i="1"/>
  <c r="G4824" i="1"/>
  <c r="E4824" i="1"/>
  <c r="C4824" i="1"/>
  <c r="G4823" i="1"/>
  <c r="E4823" i="1"/>
  <c r="C4823" i="1"/>
  <c r="G4822" i="1"/>
  <c r="E4822" i="1"/>
  <c r="C4822" i="1"/>
  <c r="G4821" i="1"/>
  <c r="E4821" i="1"/>
  <c r="C4821" i="1"/>
  <c r="G4820" i="1"/>
  <c r="E4820" i="1"/>
  <c r="C4820" i="1"/>
  <c r="G4819" i="1"/>
  <c r="E4819" i="1"/>
  <c r="C4819" i="1"/>
  <c r="G4818" i="1"/>
  <c r="E4818" i="1"/>
  <c r="C4818" i="1"/>
  <c r="G4817" i="1"/>
  <c r="E4817" i="1"/>
  <c r="C4817" i="1"/>
  <c r="G4816" i="1"/>
  <c r="E4816" i="1"/>
  <c r="C4816" i="1"/>
  <c r="G4815" i="1"/>
  <c r="E4815" i="1"/>
  <c r="C4815" i="1"/>
  <c r="G4814" i="1"/>
  <c r="E4814" i="1"/>
  <c r="C4814" i="1"/>
  <c r="G4813" i="1"/>
  <c r="E4813" i="1"/>
  <c r="C4813" i="1"/>
  <c r="G4812" i="1"/>
  <c r="E4812" i="1"/>
  <c r="C4812" i="1"/>
  <c r="G4811" i="1"/>
  <c r="E4811" i="1"/>
  <c r="C4811" i="1"/>
  <c r="G4810" i="1"/>
  <c r="E4810" i="1"/>
  <c r="C4810" i="1"/>
  <c r="G4809" i="1"/>
  <c r="E4809" i="1"/>
  <c r="C4809" i="1"/>
  <c r="G4808" i="1"/>
  <c r="E4808" i="1"/>
  <c r="C4808" i="1"/>
  <c r="G4807" i="1"/>
  <c r="E4807" i="1"/>
  <c r="C4807" i="1"/>
  <c r="G4806" i="1"/>
  <c r="E4806" i="1"/>
  <c r="C4806" i="1"/>
  <c r="G4805" i="1"/>
  <c r="E4805" i="1"/>
  <c r="C4805" i="1"/>
  <c r="G4804" i="1"/>
  <c r="E4804" i="1"/>
  <c r="C4804" i="1"/>
  <c r="G4803" i="1"/>
  <c r="E4803" i="1"/>
  <c r="C4803" i="1"/>
  <c r="G4802" i="1"/>
  <c r="E4802" i="1"/>
  <c r="C4802" i="1"/>
  <c r="G4801" i="1"/>
  <c r="E4801" i="1"/>
  <c r="C4801" i="1"/>
  <c r="G4800" i="1"/>
  <c r="E4800" i="1"/>
  <c r="C4800" i="1"/>
  <c r="G4799" i="1"/>
  <c r="E4799" i="1"/>
  <c r="C4799" i="1"/>
  <c r="G4798" i="1"/>
  <c r="E4798" i="1"/>
  <c r="C4798" i="1"/>
  <c r="G4797" i="1"/>
  <c r="E4797" i="1"/>
  <c r="C4797" i="1"/>
  <c r="G4796" i="1"/>
  <c r="E4796" i="1"/>
  <c r="C4796" i="1"/>
  <c r="G4795" i="1"/>
  <c r="E4795" i="1"/>
  <c r="C4795" i="1"/>
  <c r="G4794" i="1"/>
  <c r="E4794" i="1"/>
  <c r="C4794" i="1"/>
  <c r="G4793" i="1"/>
  <c r="E4793" i="1"/>
  <c r="C4793" i="1"/>
  <c r="G4792" i="1"/>
  <c r="E4792" i="1"/>
  <c r="C4792" i="1"/>
  <c r="G4791" i="1"/>
  <c r="E4791" i="1"/>
  <c r="C4791" i="1"/>
  <c r="G4790" i="1"/>
  <c r="E4790" i="1"/>
  <c r="C4790" i="1"/>
  <c r="G4789" i="1"/>
  <c r="E4789" i="1"/>
  <c r="C4789" i="1"/>
  <c r="G4788" i="1"/>
  <c r="E4788" i="1"/>
  <c r="C4788" i="1"/>
  <c r="G4787" i="1"/>
  <c r="E4787" i="1"/>
  <c r="C4787" i="1"/>
  <c r="G4786" i="1"/>
  <c r="E4786" i="1"/>
  <c r="C4786" i="1"/>
  <c r="G4785" i="1"/>
  <c r="E4785" i="1"/>
  <c r="C4785" i="1"/>
  <c r="G4784" i="1"/>
  <c r="E4784" i="1"/>
  <c r="C4784" i="1"/>
  <c r="G4783" i="1"/>
  <c r="E4783" i="1"/>
  <c r="C4783" i="1"/>
  <c r="G4782" i="1"/>
  <c r="E4782" i="1"/>
  <c r="C4782" i="1"/>
  <c r="G4781" i="1"/>
  <c r="E4781" i="1"/>
  <c r="C4781" i="1"/>
  <c r="G4780" i="1"/>
  <c r="E4780" i="1"/>
  <c r="C4780" i="1"/>
  <c r="G4779" i="1"/>
  <c r="E4779" i="1"/>
  <c r="C4779" i="1"/>
  <c r="G4778" i="1"/>
  <c r="E4778" i="1"/>
  <c r="C4778" i="1"/>
  <c r="G4777" i="1"/>
  <c r="E4777" i="1"/>
  <c r="C4777" i="1"/>
  <c r="G4776" i="1"/>
  <c r="E4776" i="1"/>
  <c r="C4776" i="1"/>
  <c r="G4775" i="1"/>
  <c r="E4775" i="1"/>
  <c r="C4775" i="1"/>
  <c r="G4774" i="1"/>
  <c r="E4774" i="1"/>
  <c r="C4774" i="1"/>
  <c r="G4773" i="1"/>
  <c r="E4773" i="1"/>
  <c r="C4773" i="1"/>
  <c r="G4772" i="1"/>
  <c r="E4772" i="1"/>
  <c r="C4772" i="1"/>
  <c r="G4771" i="1"/>
  <c r="E4771" i="1"/>
  <c r="C4771" i="1"/>
  <c r="G4770" i="1"/>
  <c r="E4770" i="1"/>
  <c r="C4770" i="1"/>
  <c r="G4769" i="1"/>
  <c r="E4769" i="1"/>
  <c r="C4769" i="1"/>
  <c r="G4768" i="1"/>
  <c r="E4768" i="1"/>
  <c r="C4768" i="1"/>
  <c r="G4767" i="1"/>
  <c r="E4767" i="1"/>
  <c r="C4767" i="1"/>
  <c r="G4766" i="1"/>
  <c r="E4766" i="1"/>
  <c r="C4766" i="1"/>
  <c r="G4765" i="1"/>
  <c r="E4765" i="1"/>
  <c r="C4765" i="1"/>
  <c r="G4764" i="1"/>
  <c r="E4764" i="1"/>
  <c r="C4764" i="1"/>
  <c r="G4763" i="1"/>
  <c r="E4763" i="1"/>
  <c r="C4763" i="1"/>
  <c r="G4762" i="1"/>
  <c r="E4762" i="1"/>
  <c r="C4762" i="1"/>
  <c r="G4761" i="1"/>
  <c r="E4761" i="1"/>
  <c r="C4761" i="1"/>
  <c r="G4760" i="1"/>
  <c r="E4760" i="1"/>
  <c r="C4760" i="1"/>
  <c r="G4759" i="1"/>
  <c r="E4759" i="1"/>
  <c r="C4759" i="1"/>
  <c r="G4758" i="1"/>
  <c r="E4758" i="1"/>
  <c r="C4758" i="1"/>
  <c r="G4757" i="1"/>
  <c r="E4757" i="1"/>
  <c r="C4757" i="1"/>
  <c r="G4756" i="1"/>
  <c r="E4756" i="1"/>
  <c r="C4756" i="1"/>
  <c r="G4755" i="1"/>
  <c r="E4755" i="1"/>
  <c r="C4755" i="1"/>
  <c r="G4754" i="1"/>
  <c r="E4754" i="1"/>
  <c r="C4754" i="1"/>
  <c r="G4753" i="1"/>
  <c r="E4753" i="1"/>
  <c r="C4753" i="1"/>
  <c r="G4752" i="1"/>
  <c r="E4752" i="1"/>
  <c r="C4752" i="1"/>
  <c r="G4751" i="1"/>
  <c r="E4751" i="1"/>
  <c r="C4751" i="1"/>
  <c r="G4750" i="1"/>
  <c r="E4750" i="1"/>
  <c r="C4750" i="1"/>
  <c r="G4749" i="1"/>
  <c r="E4749" i="1"/>
  <c r="C4749" i="1"/>
  <c r="G4748" i="1"/>
  <c r="E4748" i="1"/>
  <c r="C4748" i="1"/>
  <c r="G4747" i="1"/>
  <c r="E4747" i="1"/>
  <c r="C4747" i="1"/>
  <c r="G4746" i="1"/>
  <c r="E4746" i="1"/>
  <c r="C4746" i="1"/>
  <c r="G4745" i="1"/>
  <c r="E4745" i="1"/>
  <c r="C4745" i="1"/>
  <c r="G4744" i="1"/>
  <c r="E4744" i="1"/>
  <c r="C4744" i="1"/>
  <c r="G4743" i="1"/>
  <c r="E4743" i="1"/>
  <c r="C4743" i="1"/>
  <c r="G4742" i="1"/>
  <c r="E4742" i="1"/>
  <c r="C4742" i="1"/>
  <c r="G4741" i="1"/>
  <c r="E4741" i="1"/>
  <c r="C4741" i="1"/>
  <c r="G4740" i="1"/>
  <c r="E4740" i="1"/>
  <c r="C4740" i="1"/>
  <c r="G4739" i="1"/>
  <c r="E4739" i="1"/>
  <c r="C4739" i="1"/>
  <c r="G4738" i="1"/>
  <c r="E4738" i="1"/>
  <c r="C4738" i="1"/>
  <c r="G4737" i="1"/>
  <c r="E4737" i="1"/>
  <c r="C4737" i="1"/>
  <c r="G4736" i="1"/>
  <c r="E4736" i="1"/>
  <c r="C4736" i="1"/>
  <c r="G4735" i="1"/>
  <c r="E4735" i="1"/>
  <c r="C4735" i="1"/>
  <c r="G4734" i="1"/>
  <c r="E4734" i="1"/>
  <c r="C4734" i="1"/>
  <c r="G4733" i="1"/>
  <c r="E4733" i="1"/>
  <c r="C4733" i="1"/>
  <c r="G4732" i="1"/>
  <c r="E4732" i="1"/>
  <c r="C4732" i="1"/>
  <c r="G4731" i="1"/>
  <c r="E4731" i="1"/>
  <c r="C4731" i="1"/>
  <c r="G4730" i="1"/>
  <c r="E4730" i="1"/>
  <c r="C4730" i="1"/>
  <c r="G4729" i="1"/>
  <c r="E4729" i="1"/>
  <c r="C4729" i="1"/>
  <c r="G4728" i="1"/>
  <c r="E4728" i="1"/>
  <c r="C4728" i="1"/>
  <c r="G4727" i="1"/>
  <c r="E4727" i="1"/>
  <c r="C4727" i="1"/>
  <c r="G4726" i="1"/>
  <c r="E4726" i="1"/>
  <c r="C4726" i="1"/>
  <c r="G4725" i="1"/>
  <c r="E4725" i="1"/>
  <c r="C4725" i="1"/>
  <c r="G4724" i="1"/>
  <c r="E4724" i="1"/>
  <c r="C4724" i="1"/>
  <c r="G4723" i="1"/>
  <c r="E4723" i="1"/>
  <c r="C4723" i="1"/>
  <c r="G4722" i="1"/>
  <c r="E4722" i="1"/>
  <c r="C4722" i="1"/>
  <c r="G4721" i="1"/>
  <c r="E4721" i="1"/>
  <c r="C4721" i="1"/>
  <c r="G4720" i="1"/>
  <c r="E4720" i="1"/>
  <c r="C4720" i="1"/>
  <c r="G4719" i="1"/>
  <c r="E4719" i="1"/>
  <c r="C4719" i="1"/>
  <c r="G4718" i="1"/>
  <c r="E4718" i="1"/>
  <c r="C4718" i="1"/>
  <c r="G4717" i="1"/>
  <c r="E4717" i="1"/>
  <c r="C4717" i="1"/>
  <c r="G4716" i="1"/>
  <c r="E4716" i="1"/>
  <c r="C4716" i="1"/>
  <c r="G4715" i="1"/>
  <c r="E4715" i="1"/>
  <c r="C4715" i="1"/>
  <c r="G4714" i="1"/>
  <c r="E4714" i="1"/>
  <c r="C4714" i="1"/>
  <c r="G4713" i="1"/>
  <c r="E4713" i="1"/>
  <c r="C4713" i="1"/>
  <c r="G4712" i="1"/>
  <c r="E4712" i="1"/>
  <c r="C4712" i="1"/>
  <c r="G4711" i="1"/>
  <c r="E4711" i="1"/>
  <c r="C4711" i="1"/>
  <c r="G4710" i="1"/>
  <c r="E4710" i="1"/>
  <c r="C4710" i="1"/>
  <c r="G4709" i="1"/>
  <c r="E4709" i="1"/>
  <c r="C4709" i="1"/>
  <c r="G4708" i="1"/>
  <c r="E4708" i="1"/>
  <c r="C4708" i="1"/>
  <c r="G4707" i="1"/>
  <c r="E4707" i="1"/>
  <c r="C4707" i="1"/>
  <c r="G4706" i="1"/>
  <c r="E4706" i="1"/>
  <c r="C4706" i="1"/>
  <c r="G4705" i="1"/>
  <c r="E4705" i="1"/>
  <c r="C4705" i="1"/>
  <c r="G4704" i="1"/>
  <c r="E4704" i="1"/>
  <c r="C4704" i="1"/>
  <c r="G4703" i="1"/>
  <c r="E4703" i="1"/>
  <c r="C4703" i="1"/>
  <c r="G4702" i="1"/>
  <c r="E4702" i="1"/>
  <c r="C4702" i="1"/>
  <c r="G4701" i="1"/>
  <c r="E4701" i="1"/>
  <c r="C4701" i="1"/>
  <c r="G4700" i="1"/>
  <c r="E4700" i="1"/>
  <c r="C4700" i="1"/>
  <c r="G4699" i="1"/>
  <c r="E4699" i="1"/>
  <c r="C4699" i="1"/>
  <c r="G4698" i="1"/>
  <c r="E4698" i="1"/>
  <c r="C4698" i="1"/>
  <c r="G4697" i="1"/>
  <c r="E4697" i="1"/>
  <c r="C4697" i="1"/>
  <c r="G4696" i="1"/>
  <c r="E4696" i="1"/>
  <c r="C4696" i="1"/>
  <c r="G4695" i="1"/>
  <c r="E4695" i="1"/>
  <c r="C4695" i="1"/>
  <c r="G4694" i="1"/>
  <c r="E4694" i="1"/>
  <c r="C4694" i="1"/>
  <c r="G4693" i="1"/>
  <c r="E4693" i="1"/>
  <c r="C4693" i="1"/>
  <c r="G4692" i="1"/>
  <c r="E4692" i="1"/>
  <c r="C4692" i="1"/>
  <c r="G4691" i="1"/>
  <c r="E4691" i="1"/>
  <c r="C4691" i="1"/>
  <c r="G4690" i="1"/>
  <c r="E4690" i="1"/>
  <c r="C4690" i="1"/>
  <c r="G4689" i="1"/>
  <c r="E4689" i="1"/>
  <c r="C4689" i="1"/>
  <c r="G4688" i="1"/>
  <c r="E4688" i="1"/>
  <c r="C4688" i="1"/>
  <c r="G4687" i="1"/>
  <c r="E4687" i="1"/>
  <c r="C4687" i="1"/>
  <c r="G4686" i="1"/>
  <c r="E4686" i="1"/>
  <c r="C4686" i="1"/>
  <c r="G4685" i="1"/>
  <c r="E4685" i="1"/>
  <c r="C4685" i="1"/>
  <c r="G4684" i="1"/>
  <c r="E4684" i="1"/>
  <c r="C4684" i="1"/>
  <c r="G4683" i="1"/>
  <c r="E4683" i="1"/>
  <c r="C4683" i="1"/>
  <c r="G4682" i="1"/>
  <c r="E4682" i="1"/>
  <c r="C4682" i="1"/>
  <c r="G4681" i="1"/>
  <c r="E4681" i="1"/>
  <c r="C4681" i="1"/>
  <c r="G4680" i="1"/>
  <c r="E4680" i="1"/>
  <c r="C4680" i="1"/>
  <c r="G4679" i="1"/>
  <c r="E4679" i="1"/>
  <c r="C4679" i="1"/>
  <c r="G4678" i="1"/>
  <c r="E4678" i="1"/>
  <c r="C4678" i="1"/>
  <c r="G4677" i="1"/>
  <c r="E4677" i="1"/>
  <c r="C4677" i="1"/>
  <c r="G4676" i="1"/>
  <c r="E4676" i="1"/>
  <c r="C4676" i="1"/>
  <c r="G4675" i="1"/>
  <c r="E4675" i="1"/>
  <c r="C4675" i="1"/>
  <c r="G4674" i="1"/>
  <c r="E4674" i="1"/>
  <c r="C4674" i="1"/>
  <c r="G4673" i="1"/>
  <c r="E4673" i="1"/>
  <c r="C4673" i="1"/>
  <c r="G4672" i="1"/>
  <c r="E4672" i="1"/>
  <c r="C4672" i="1"/>
  <c r="G4671" i="1"/>
  <c r="E4671" i="1"/>
  <c r="C4671" i="1"/>
  <c r="G4670" i="1"/>
  <c r="E4670" i="1"/>
  <c r="C4670" i="1"/>
  <c r="G4669" i="1"/>
  <c r="E4669" i="1"/>
  <c r="C4669" i="1"/>
  <c r="G4668" i="1"/>
  <c r="E4668" i="1"/>
  <c r="C4668" i="1"/>
  <c r="G4667" i="1"/>
  <c r="E4667" i="1"/>
  <c r="C4667" i="1"/>
  <c r="G4666" i="1"/>
  <c r="E4666" i="1"/>
  <c r="C4666" i="1"/>
  <c r="G4665" i="1"/>
  <c r="E4665" i="1"/>
  <c r="C4665" i="1"/>
  <c r="G4664" i="1"/>
  <c r="E4664" i="1"/>
  <c r="C4664" i="1"/>
  <c r="G4663" i="1"/>
  <c r="E4663" i="1"/>
  <c r="C4663" i="1"/>
  <c r="G4662" i="1"/>
  <c r="E4662" i="1"/>
  <c r="C4662" i="1"/>
  <c r="G4661" i="1"/>
  <c r="E4661" i="1"/>
  <c r="C4661" i="1"/>
  <c r="G4660" i="1"/>
  <c r="E4660" i="1"/>
  <c r="C4660" i="1"/>
  <c r="G4659" i="1"/>
  <c r="E4659" i="1"/>
  <c r="C4659" i="1"/>
  <c r="G4658" i="1"/>
  <c r="E4658" i="1"/>
  <c r="C4658" i="1"/>
  <c r="G4657" i="1"/>
  <c r="E4657" i="1"/>
  <c r="C4657" i="1"/>
  <c r="G4656" i="1"/>
  <c r="E4656" i="1"/>
  <c r="C4656" i="1"/>
  <c r="G4655" i="1"/>
  <c r="E4655" i="1"/>
  <c r="C4655" i="1"/>
  <c r="G4654" i="1"/>
  <c r="E4654" i="1"/>
  <c r="C4654" i="1"/>
  <c r="G4653" i="1"/>
  <c r="E4653" i="1"/>
  <c r="C4653" i="1"/>
  <c r="G4652" i="1"/>
  <c r="E4652" i="1"/>
  <c r="C4652" i="1"/>
  <c r="G4651" i="1"/>
  <c r="E4651" i="1"/>
  <c r="C4651" i="1"/>
  <c r="G4650" i="1"/>
  <c r="E4650" i="1"/>
  <c r="C4650" i="1"/>
  <c r="G4649" i="1"/>
  <c r="E4649" i="1"/>
  <c r="C4649" i="1"/>
  <c r="G4648" i="1"/>
  <c r="E4648" i="1"/>
  <c r="C4648" i="1"/>
  <c r="G4647" i="1"/>
  <c r="E4647" i="1"/>
  <c r="C4647" i="1"/>
  <c r="G4646" i="1"/>
  <c r="E4646" i="1"/>
  <c r="C4646" i="1"/>
  <c r="G4645" i="1"/>
  <c r="E4645" i="1"/>
  <c r="C4645" i="1"/>
  <c r="G4644" i="1"/>
  <c r="E4644" i="1"/>
  <c r="C4644" i="1"/>
  <c r="G4643" i="1"/>
  <c r="E4643" i="1"/>
  <c r="C4643" i="1"/>
  <c r="G4642" i="1"/>
  <c r="E4642" i="1"/>
  <c r="C4642" i="1"/>
  <c r="G4641" i="1"/>
  <c r="E4641" i="1"/>
  <c r="C4641" i="1"/>
  <c r="G4640" i="1"/>
  <c r="E4640" i="1"/>
  <c r="C4640" i="1"/>
  <c r="G4639" i="1"/>
  <c r="E4639" i="1"/>
  <c r="C4639" i="1"/>
  <c r="G4638" i="1"/>
  <c r="E4638" i="1"/>
  <c r="C4638" i="1"/>
  <c r="G4637" i="1"/>
  <c r="E4637" i="1"/>
  <c r="C4637" i="1"/>
  <c r="G4636" i="1"/>
  <c r="E4636" i="1"/>
  <c r="C4636" i="1"/>
  <c r="G4635" i="1"/>
  <c r="E4635" i="1"/>
  <c r="C4635" i="1"/>
  <c r="G4634" i="1"/>
  <c r="E4634" i="1"/>
  <c r="C4634" i="1"/>
  <c r="G4633" i="1"/>
  <c r="E4633" i="1"/>
  <c r="C4633" i="1"/>
  <c r="G4632" i="1"/>
  <c r="E4632" i="1"/>
  <c r="C4632" i="1"/>
  <c r="G4631" i="1"/>
  <c r="E4631" i="1"/>
  <c r="C4631" i="1"/>
  <c r="G4630" i="1"/>
  <c r="E4630" i="1"/>
  <c r="C4630" i="1"/>
  <c r="G4629" i="1"/>
  <c r="E4629" i="1"/>
  <c r="C4629" i="1"/>
  <c r="G4628" i="1"/>
  <c r="E4628" i="1"/>
  <c r="C4628" i="1"/>
  <c r="G4627" i="1"/>
  <c r="E4627" i="1"/>
  <c r="C4627" i="1"/>
  <c r="G4626" i="1"/>
  <c r="E4626" i="1"/>
  <c r="C4626" i="1"/>
  <c r="G4625" i="1"/>
  <c r="E4625" i="1"/>
  <c r="C4625" i="1"/>
  <c r="G4624" i="1"/>
  <c r="E4624" i="1"/>
  <c r="C4624" i="1"/>
  <c r="G4623" i="1"/>
  <c r="E4623" i="1"/>
  <c r="C4623" i="1"/>
  <c r="G4622" i="1"/>
  <c r="E4622" i="1"/>
  <c r="C4622" i="1"/>
  <c r="G4621" i="1"/>
  <c r="E4621" i="1"/>
  <c r="C4621" i="1"/>
  <c r="G4620" i="1"/>
  <c r="E4620" i="1"/>
  <c r="C4620" i="1"/>
  <c r="G4619" i="1"/>
  <c r="E4619" i="1"/>
  <c r="C4619" i="1"/>
  <c r="G4618" i="1"/>
  <c r="E4618" i="1"/>
  <c r="C4618" i="1"/>
  <c r="G4617" i="1"/>
  <c r="E4617" i="1"/>
  <c r="C4617" i="1"/>
  <c r="G4616" i="1"/>
  <c r="E4616" i="1"/>
  <c r="C4616" i="1"/>
  <c r="G4615" i="1"/>
  <c r="E4615" i="1"/>
  <c r="C4615" i="1"/>
  <c r="G4614" i="1"/>
  <c r="E4614" i="1"/>
  <c r="C4614" i="1"/>
  <c r="G4613" i="1"/>
  <c r="E4613" i="1"/>
  <c r="C4613" i="1"/>
  <c r="G4612" i="1"/>
  <c r="E4612" i="1"/>
  <c r="C4612" i="1"/>
  <c r="G4611" i="1"/>
  <c r="E4611" i="1"/>
  <c r="C4611" i="1"/>
  <c r="G4610" i="1"/>
  <c r="E4610" i="1"/>
  <c r="C4610" i="1"/>
  <c r="G4609" i="1"/>
  <c r="E4609" i="1"/>
  <c r="C4609" i="1"/>
  <c r="G4608" i="1"/>
  <c r="E4608" i="1"/>
  <c r="C4608" i="1"/>
  <c r="G4607" i="1"/>
  <c r="E4607" i="1"/>
  <c r="C4607" i="1"/>
  <c r="G4606" i="1"/>
  <c r="E4606" i="1"/>
  <c r="C4606" i="1"/>
  <c r="G4605" i="1"/>
  <c r="E4605" i="1"/>
  <c r="C4605" i="1"/>
  <c r="G4604" i="1"/>
  <c r="E4604" i="1"/>
  <c r="C4604" i="1"/>
  <c r="G4603" i="1"/>
  <c r="E4603" i="1"/>
  <c r="C4603" i="1"/>
  <c r="G4602" i="1"/>
  <c r="E4602" i="1"/>
  <c r="C4602" i="1"/>
  <c r="G4601" i="1"/>
  <c r="E4601" i="1"/>
  <c r="C4601" i="1"/>
  <c r="G4600" i="1"/>
  <c r="E4600" i="1"/>
  <c r="C4600" i="1"/>
  <c r="G4599" i="1"/>
  <c r="E4599" i="1"/>
  <c r="C4599" i="1"/>
  <c r="G4598" i="1"/>
  <c r="E4598" i="1"/>
  <c r="C4598" i="1"/>
  <c r="G4597" i="1"/>
  <c r="E4597" i="1"/>
  <c r="C4597" i="1"/>
  <c r="G4596" i="1"/>
  <c r="E4596" i="1"/>
  <c r="C4596" i="1"/>
  <c r="G4595" i="1"/>
  <c r="E4595" i="1"/>
  <c r="C4595" i="1"/>
  <c r="G4594" i="1"/>
  <c r="E4594" i="1"/>
  <c r="C4594" i="1"/>
  <c r="G4593" i="1"/>
  <c r="E4593" i="1"/>
  <c r="C4593" i="1"/>
  <c r="G4592" i="1"/>
  <c r="E4592" i="1"/>
  <c r="C4592" i="1"/>
  <c r="G4591" i="1"/>
  <c r="E4591" i="1"/>
  <c r="C4591" i="1"/>
  <c r="G4590" i="1"/>
  <c r="E4590" i="1"/>
  <c r="C4590" i="1"/>
  <c r="G4589" i="1"/>
  <c r="E4589" i="1"/>
  <c r="C4589" i="1"/>
  <c r="G4588" i="1"/>
  <c r="E4588" i="1"/>
  <c r="C4588" i="1"/>
  <c r="G4587" i="1"/>
  <c r="E4587" i="1"/>
  <c r="C4587" i="1"/>
  <c r="G4586" i="1"/>
  <c r="E4586" i="1"/>
  <c r="C4586" i="1"/>
  <c r="G4585" i="1"/>
  <c r="E4585" i="1"/>
  <c r="C4585" i="1"/>
  <c r="G4584" i="1"/>
  <c r="E4584" i="1"/>
  <c r="C4584" i="1"/>
  <c r="G4583" i="1"/>
  <c r="E4583" i="1"/>
  <c r="C4583" i="1"/>
  <c r="G4582" i="1"/>
  <c r="E4582" i="1"/>
  <c r="C4582" i="1"/>
  <c r="G4581" i="1"/>
  <c r="E4581" i="1"/>
  <c r="C4581" i="1"/>
  <c r="G4580" i="1"/>
  <c r="E4580" i="1"/>
  <c r="C4580" i="1"/>
  <c r="G4579" i="1"/>
  <c r="E4579" i="1"/>
  <c r="C4579" i="1"/>
  <c r="G4578" i="1"/>
  <c r="E4578" i="1"/>
  <c r="C4578" i="1"/>
  <c r="G4577" i="1"/>
  <c r="E4577" i="1"/>
  <c r="C4577" i="1"/>
  <c r="G4576" i="1"/>
  <c r="E4576" i="1"/>
  <c r="C4576" i="1"/>
  <c r="G4575" i="1"/>
  <c r="E4575" i="1"/>
  <c r="C4575" i="1"/>
  <c r="G4574" i="1"/>
  <c r="E4574" i="1"/>
  <c r="C4574" i="1"/>
  <c r="G4573" i="1"/>
  <c r="E4573" i="1"/>
  <c r="C4573" i="1"/>
  <c r="G4572" i="1"/>
  <c r="E4572" i="1"/>
  <c r="C4572" i="1"/>
  <c r="G4571" i="1"/>
  <c r="E4571" i="1"/>
  <c r="C4571" i="1"/>
  <c r="G4570" i="1"/>
  <c r="E4570" i="1"/>
  <c r="C4570" i="1"/>
  <c r="G4569" i="1"/>
  <c r="E4569" i="1"/>
  <c r="C4569" i="1"/>
  <c r="G4568" i="1"/>
  <c r="E4568" i="1"/>
  <c r="C4568" i="1"/>
  <c r="G4567" i="1"/>
  <c r="E4567" i="1"/>
  <c r="C4567" i="1"/>
  <c r="G4566" i="1"/>
  <c r="E4566" i="1"/>
  <c r="C4566" i="1"/>
  <c r="G4565" i="1"/>
  <c r="E4565" i="1"/>
  <c r="C4565" i="1"/>
  <c r="G4564" i="1"/>
  <c r="E4564" i="1"/>
  <c r="C4564" i="1"/>
  <c r="G4563" i="1"/>
  <c r="E4563" i="1"/>
  <c r="C4563" i="1"/>
  <c r="G4562" i="1"/>
  <c r="E4562" i="1"/>
  <c r="C4562" i="1"/>
  <c r="G4561" i="1"/>
  <c r="E4561" i="1"/>
  <c r="C4561" i="1"/>
  <c r="G4560" i="1"/>
  <c r="E4560" i="1"/>
  <c r="C4560" i="1"/>
  <c r="G4559" i="1"/>
  <c r="E4559" i="1"/>
  <c r="C4559" i="1"/>
  <c r="G4558" i="1"/>
  <c r="E4558" i="1"/>
  <c r="C4558" i="1"/>
  <c r="G4557" i="1"/>
  <c r="E4557" i="1"/>
  <c r="C4557" i="1"/>
  <c r="G4556" i="1"/>
  <c r="E4556" i="1"/>
  <c r="C4556" i="1"/>
  <c r="G4555" i="1"/>
  <c r="E4555" i="1"/>
  <c r="C4555" i="1"/>
  <c r="G4554" i="1"/>
  <c r="E4554" i="1"/>
  <c r="C4554" i="1"/>
  <c r="G4553" i="1"/>
  <c r="E4553" i="1"/>
  <c r="C4553" i="1"/>
  <c r="G4552" i="1"/>
  <c r="E4552" i="1"/>
  <c r="C4552" i="1"/>
  <c r="G4551" i="1"/>
  <c r="E4551" i="1"/>
  <c r="C4551" i="1"/>
  <c r="G4550" i="1"/>
  <c r="E4550" i="1"/>
  <c r="C4550" i="1"/>
  <c r="G4549" i="1"/>
  <c r="E4549" i="1"/>
  <c r="C4549" i="1"/>
  <c r="G4548" i="1"/>
  <c r="E4548" i="1"/>
  <c r="C4548" i="1"/>
  <c r="G4547" i="1"/>
  <c r="E4547" i="1"/>
  <c r="C4547" i="1"/>
  <c r="G4546" i="1"/>
  <c r="E4546" i="1"/>
  <c r="C4546" i="1"/>
  <c r="G4545" i="1"/>
  <c r="E4545" i="1"/>
  <c r="C4545" i="1"/>
  <c r="G4544" i="1"/>
  <c r="E4544" i="1"/>
  <c r="C4544" i="1"/>
  <c r="G4543" i="1"/>
  <c r="E4543" i="1"/>
  <c r="C4543" i="1"/>
  <c r="G4542" i="1"/>
  <c r="E4542" i="1"/>
  <c r="C4542" i="1"/>
  <c r="G4541" i="1"/>
  <c r="E4541" i="1"/>
  <c r="C4541" i="1"/>
  <c r="G4540" i="1"/>
  <c r="E4540" i="1"/>
  <c r="C4540" i="1"/>
  <c r="G4539" i="1"/>
  <c r="E4539" i="1"/>
  <c r="C4539" i="1"/>
  <c r="G4538" i="1"/>
  <c r="E4538" i="1"/>
  <c r="C4538" i="1"/>
  <c r="G4537" i="1"/>
  <c r="E4537" i="1"/>
  <c r="C4537" i="1"/>
  <c r="G4536" i="1"/>
  <c r="E4536" i="1"/>
  <c r="C4536" i="1"/>
  <c r="G4535" i="1"/>
  <c r="E4535" i="1"/>
  <c r="C4535" i="1"/>
  <c r="G4534" i="1"/>
  <c r="E4534" i="1"/>
  <c r="C4534" i="1"/>
  <c r="G4533" i="1"/>
  <c r="E4533" i="1"/>
  <c r="C4533" i="1"/>
  <c r="G4532" i="1"/>
  <c r="E4532" i="1"/>
  <c r="C4532" i="1"/>
  <c r="G4531" i="1"/>
  <c r="E4531" i="1"/>
  <c r="C4531" i="1"/>
  <c r="G4530" i="1"/>
  <c r="E4530" i="1"/>
  <c r="C4530" i="1"/>
  <c r="G4529" i="1"/>
  <c r="E4529" i="1"/>
  <c r="C4529" i="1"/>
  <c r="G4528" i="1"/>
  <c r="E4528" i="1"/>
  <c r="C4528" i="1"/>
  <c r="G4527" i="1"/>
  <c r="E4527" i="1"/>
  <c r="C4527" i="1"/>
  <c r="G4526" i="1"/>
  <c r="E4526" i="1"/>
  <c r="C4526" i="1"/>
  <c r="G4525" i="1"/>
  <c r="E4525" i="1"/>
  <c r="C4525" i="1"/>
  <c r="G4524" i="1"/>
  <c r="E4524" i="1"/>
  <c r="C4524" i="1"/>
  <c r="G4523" i="1"/>
  <c r="E4523" i="1"/>
  <c r="C4523" i="1"/>
  <c r="G4522" i="1"/>
  <c r="E4522" i="1"/>
  <c r="C4522" i="1"/>
  <c r="G4521" i="1"/>
  <c r="E4521" i="1"/>
  <c r="C4521" i="1"/>
  <c r="G4520" i="1"/>
  <c r="E4520" i="1"/>
  <c r="C4520" i="1"/>
  <c r="G4519" i="1"/>
  <c r="E4519" i="1"/>
  <c r="C4519" i="1"/>
  <c r="G4518" i="1"/>
  <c r="E4518" i="1"/>
  <c r="C4518" i="1"/>
  <c r="G4517" i="1"/>
  <c r="E4517" i="1"/>
  <c r="C4517" i="1"/>
  <c r="G4516" i="1"/>
  <c r="E4516" i="1"/>
  <c r="C4516" i="1"/>
  <c r="G4515" i="1"/>
  <c r="E4515" i="1"/>
  <c r="C4515" i="1"/>
  <c r="G4514" i="1"/>
  <c r="E4514" i="1"/>
  <c r="C4514" i="1"/>
  <c r="G4513" i="1"/>
  <c r="E4513" i="1"/>
  <c r="C4513" i="1"/>
  <c r="G4512" i="1"/>
  <c r="E4512" i="1"/>
  <c r="C4512" i="1"/>
  <c r="G4511" i="1"/>
  <c r="E4511" i="1"/>
  <c r="C4511" i="1"/>
  <c r="G4510" i="1"/>
  <c r="E4510" i="1"/>
  <c r="C4510" i="1"/>
  <c r="G4509" i="1"/>
  <c r="E4509" i="1"/>
  <c r="C4509" i="1"/>
  <c r="G4508" i="1"/>
  <c r="E4508" i="1"/>
  <c r="C4508" i="1"/>
  <c r="G4507" i="1"/>
  <c r="E4507" i="1"/>
  <c r="C4507" i="1"/>
  <c r="G4506" i="1"/>
  <c r="E4506" i="1"/>
  <c r="C4506" i="1"/>
  <c r="G4505" i="1"/>
  <c r="E4505" i="1"/>
  <c r="C4505" i="1"/>
  <c r="G4504" i="1"/>
  <c r="E4504" i="1"/>
  <c r="C4504" i="1"/>
  <c r="G4503" i="1"/>
  <c r="E4503" i="1"/>
  <c r="C4503" i="1"/>
  <c r="G4502" i="1"/>
  <c r="E4502" i="1"/>
  <c r="C4502" i="1"/>
  <c r="G4501" i="1"/>
  <c r="E4501" i="1"/>
  <c r="C4501" i="1"/>
  <c r="G4500" i="1"/>
  <c r="E4500" i="1"/>
  <c r="C4500" i="1"/>
  <c r="G4499" i="1"/>
  <c r="E4499" i="1"/>
  <c r="C4499" i="1"/>
  <c r="G4498" i="1"/>
  <c r="E4498" i="1"/>
  <c r="C4498" i="1"/>
  <c r="G4497" i="1"/>
  <c r="E4497" i="1"/>
  <c r="C4497" i="1"/>
  <c r="G4496" i="1"/>
  <c r="E4496" i="1"/>
  <c r="C4496" i="1"/>
  <c r="G4495" i="1"/>
  <c r="E4495" i="1"/>
  <c r="C4495" i="1"/>
  <c r="G4494" i="1"/>
  <c r="E4494" i="1"/>
  <c r="C4494" i="1"/>
  <c r="G4493" i="1"/>
  <c r="E4493" i="1"/>
  <c r="C4493" i="1"/>
  <c r="G4492" i="1"/>
  <c r="E4492" i="1"/>
  <c r="C4492" i="1"/>
  <c r="G4491" i="1"/>
  <c r="E4491" i="1"/>
  <c r="C4491" i="1"/>
  <c r="G4490" i="1"/>
  <c r="E4490" i="1"/>
  <c r="C4490" i="1"/>
  <c r="G4489" i="1"/>
  <c r="E4489" i="1"/>
  <c r="C4489" i="1"/>
  <c r="G4488" i="1"/>
  <c r="E4488" i="1"/>
  <c r="C4488" i="1"/>
  <c r="G4487" i="1"/>
  <c r="E4487" i="1"/>
  <c r="C4487" i="1"/>
  <c r="G4486" i="1"/>
  <c r="E4486" i="1"/>
  <c r="C4486" i="1"/>
  <c r="G4485" i="1"/>
  <c r="E4485" i="1"/>
  <c r="C4485" i="1"/>
  <c r="G4484" i="1"/>
  <c r="E4484" i="1"/>
  <c r="C4484" i="1"/>
  <c r="G4483" i="1"/>
  <c r="E4483" i="1"/>
  <c r="C4483" i="1"/>
  <c r="G4482" i="1"/>
  <c r="E4482" i="1"/>
  <c r="C4482" i="1"/>
  <c r="G4481" i="1"/>
  <c r="E4481" i="1"/>
  <c r="C4481" i="1"/>
  <c r="G4480" i="1"/>
  <c r="E4480" i="1"/>
  <c r="C4480" i="1"/>
  <c r="G4479" i="1"/>
  <c r="E4479" i="1"/>
  <c r="C4479" i="1"/>
  <c r="G4478" i="1"/>
  <c r="E4478" i="1"/>
  <c r="C4478" i="1"/>
  <c r="G4477" i="1"/>
  <c r="E4477" i="1"/>
  <c r="C4477" i="1"/>
  <c r="G4476" i="1"/>
  <c r="E4476" i="1"/>
  <c r="C4476" i="1"/>
  <c r="G4475" i="1"/>
  <c r="E4475" i="1"/>
  <c r="C4475" i="1"/>
  <c r="G4474" i="1"/>
  <c r="E4474" i="1"/>
  <c r="C4474" i="1"/>
  <c r="G4473" i="1"/>
  <c r="E4473" i="1"/>
  <c r="C4473" i="1"/>
  <c r="G4472" i="1"/>
  <c r="E4472" i="1"/>
  <c r="C4472" i="1"/>
  <c r="G4471" i="1"/>
  <c r="E4471" i="1"/>
  <c r="C4471" i="1"/>
  <c r="G4470" i="1"/>
  <c r="E4470" i="1"/>
  <c r="C4470" i="1"/>
  <c r="G4469" i="1"/>
  <c r="E4469" i="1"/>
  <c r="C4469" i="1"/>
  <c r="G4468" i="1"/>
  <c r="E4468" i="1"/>
  <c r="C4468" i="1"/>
  <c r="G4467" i="1"/>
  <c r="E4467" i="1"/>
  <c r="C4467" i="1"/>
  <c r="G4466" i="1"/>
  <c r="E4466" i="1"/>
  <c r="C4466" i="1"/>
  <c r="G4465" i="1"/>
  <c r="E4465" i="1"/>
  <c r="C4465" i="1"/>
  <c r="G4464" i="1"/>
  <c r="E4464" i="1"/>
  <c r="C4464" i="1"/>
  <c r="G4463" i="1"/>
  <c r="E4463" i="1"/>
  <c r="C4463" i="1"/>
  <c r="G4462" i="1"/>
  <c r="E4462" i="1"/>
  <c r="C4462" i="1"/>
  <c r="G4461" i="1"/>
  <c r="E4461" i="1"/>
  <c r="C4461" i="1"/>
  <c r="G4460" i="1"/>
  <c r="E4460" i="1"/>
  <c r="C4460" i="1"/>
  <c r="G4459" i="1"/>
  <c r="E4459" i="1"/>
  <c r="C4459" i="1"/>
  <c r="G4458" i="1"/>
  <c r="E4458" i="1"/>
  <c r="C4458" i="1"/>
  <c r="G4457" i="1"/>
  <c r="E4457" i="1"/>
  <c r="C4457" i="1"/>
  <c r="G4456" i="1"/>
  <c r="E4456" i="1"/>
  <c r="C4456" i="1"/>
  <c r="G4455" i="1"/>
  <c r="E4455" i="1"/>
  <c r="C4455" i="1"/>
  <c r="G4454" i="1"/>
  <c r="E4454" i="1"/>
  <c r="C4454" i="1"/>
  <c r="G4453" i="1"/>
  <c r="E4453" i="1"/>
  <c r="C4453" i="1"/>
  <c r="G4452" i="1"/>
  <c r="E4452" i="1"/>
  <c r="C4452" i="1"/>
  <c r="G4451" i="1"/>
  <c r="E4451" i="1"/>
  <c r="C4451" i="1"/>
  <c r="G4450" i="1"/>
  <c r="E4450" i="1"/>
  <c r="C4450" i="1"/>
  <c r="G4449" i="1"/>
  <c r="E4449" i="1"/>
  <c r="C4449" i="1"/>
  <c r="G4448" i="1"/>
  <c r="E4448" i="1"/>
  <c r="C4448" i="1"/>
  <c r="G4447" i="1"/>
  <c r="E4447" i="1"/>
  <c r="C4447" i="1"/>
  <c r="G4446" i="1"/>
  <c r="E4446" i="1"/>
  <c r="C4446" i="1"/>
  <c r="G4445" i="1"/>
  <c r="E4445" i="1"/>
  <c r="C4445" i="1"/>
  <c r="G4444" i="1"/>
  <c r="E4444" i="1"/>
  <c r="C4444" i="1"/>
  <c r="G4443" i="1"/>
  <c r="E4443" i="1"/>
  <c r="C4443" i="1"/>
  <c r="G4442" i="1"/>
  <c r="E4442" i="1"/>
  <c r="C4442" i="1"/>
  <c r="G4441" i="1"/>
  <c r="E4441" i="1"/>
  <c r="C4441" i="1"/>
  <c r="G4440" i="1"/>
  <c r="E4440" i="1"/>
  <c r="C4440" i="1"/>
  <c r="G4439" i="1"/>
  <c r="E4439" i="1"/>
  <c r="C4439" i="1"/>
  <c r="G4438" i="1"/>
  <c r="E4438" i="1"/>
  <c r="C4438" i="1"/>
  <c r="G4437" i="1"/>
  <c r="E4437" i="1"/>
  <c r="C4437" i="1"/>
  <c r="G4436" i="1"/>
  <c r="E4436" i="1"/>
  <c r="C4436" i="1"/>
  <c r="G4435" i="1"/>
  <c r="E4435" i="1"/>
  <c r="C4435" i="1"/>
  <c r="G4434" i="1"/>
  <c r="E4434" i="1"/>
  <c r="C4434" i="1"/>
  <c r="G4433" i="1"/>
  <c r="E4433" i="1"/>
  <c r="C4433" i="1"/>
  <c r="G4432" i="1"/>
  <c r="E4432" i="1"/>
  <c r="C4432" i="1"/>
  <c r="G4431" i="1"/>
  <c r="E4431" i="1"/>
  <c r="C4431" i="1"/>
  <c r="G4430" i="1"/>
  <c r="E4430" i="1"/>
  <c r="C4430" i="1"/>
  <c r="G4429" i="1"/>
  <c r="E4429" i="1"/>
  <c r="C4429" i="1"/>
  <c r="G4428" i="1"/>
  <c r="E4428" i="1"/>
  <c r="C4428" i="1"/>
  <c r="G4427" i="1"/>
  <c r="E4427" i="1"/>
  <c r="C4427" i="1"/>
  <c r="G4426" i="1"/>
  <c r="E4426" i="1"/>
  <c r="C4426" i="1"/>
  <c r="G4425" i="1"/>
  <c r="E4425" i="1"/>
  <c r="C4425" i="1"/>
  <c r="G4424" i="1"/>
  <c r="E4424" i="1"/>
  <c r="C4424" i="1"/>
  <c r="G4423" i="1"/>
  <c r="E4423" i="1"/>
  <c r="C4423" i="1"/>
  <c r="G4422" i="1"/>
  <c r="E4422" i="1"/>
  <c r="C4422" i="1"/>
  <c r="G4421" i="1"/>
  <c r="E4421" i="1"/>
  <c r="C4421" i="1"/>
  <c r="G4420" i="1"/>
  <c r="E4420" i="1"/>
  <c r="C4420" i="1"/>
  <c r="G4419" i="1"/>
  <c r="E4419" i="1"/>
  <c r="C4419" i="1"/>
  <c r="G4418" i="1"/>
  <c r="E4418" i="1"/>
  <c r="C4418" i="1"/>
  <c r="G4417" i="1"/>
  <c r="E4417" i="1"/>
  <c r="C4417" i="1"/>
  <c r="G4416" i="1"/>
  <c r="E4416" i="1"/>
  <c r="C4416" i="1"/>
  <c r="G4415" i="1"/>
  <c r="E4415" i="1"/>
  <c r="C4415" i="1"/>
  <c r="G4414" i="1"/>
  <c r="E4414" i="1"/>
  <c r="C4414" i="1"/>
  <c r="G4413" i="1"/>
  <c r="E4413" i="1"/>
  <c r="C4413" i="1"/>
  <c r="G4412" i="1"/>
  <c r="E4412" i="1"/>
  <c r="C4412" i="1"/>
  <c r="G4411" i="1"/>
  <c r="E4411" i="1"/>
  <c r="C4411" i="1"/>
  <c r="G4410" i="1"/>
  <c r="E4410" i="1"/>
  <c r="C4410" i="1"/>
  <c r="G4409" i="1"/>
  <c r="E4409" i="1"/>
  <c r="C4409" i="1"/>
  <c r="G4408" i="1"/>
  <c r="E4408" i="1"/>
  <c r="C4408" i="1"/>
  <c r="G4407" i="1"/>
  <c r="E4407" i="1"/>
  <c r="C4407" i="1"/>
  <c r="G4406" i="1"/>
  <c r="E4406" i="1"/>
  <c r="C4406" i="1"/>
  <c r="G4405" i="1"/>
  <c r="E4405" i="1"/>
  <c r="C4405" i="1"/>
  <c r="G4404" i="1"/>
  <c r="E4404" i="1"/>
  <c r="C4404" i="1"/>
  <c r="G4403" i="1"/>
  <c r="E4403" i="1"/>
  <c r="C4403" i="1"/>
  <c r="G4402" i="1"/>
  <c r="E4402" i="1"/>
  <c r="C4402" i="1"/>
  <c r="G4401" i="1"/>
  <c r="E4401" i="1"/>
  <c r="C4401" i="1"/>
  <c r="G4400" i="1"/>
  <c r="E4400" i="1"/>
  <c r="C4400" i="1"/>
  <c r="G4399" i="1"/>
  <c r="E4399" i="1"/>
  <c r="C4399" i="1"/>
  <c r="G4398" i="1"/>
  <c r="E4398" i="1"/>
  <c r="C4398" i="1"/>
  <c r="G4397" i="1"/>
  <c r="E4397" i="1"/>
  <c r="C4397" i="1"/>
  <c r="G4396" i="1"/>
  <c r="E4396" i="1"/>
  <c r="C4396" i="1"/>
  <c r="G4395" i="1"/>
  <c r="E4395" i="1"/>
  <c r="C4395" i="1"/>
  <c r="G4394" i="1"/>
  <c r="E4394" i="1"/>
  <c r="C4394" i="1"/>
  <c r="G4393" i="1"/>
  <c r="E4393" i="1"/>
  <c r="C4393" i="1"/>
  <c r="G4392" i="1"/>
  <c r="E4392" i="1"/>
  <c r="C4392" i="1"/>
  <c r="G4391" i="1"/>
  <c r="E4391" i="1"/>
  <c r="C4391" i="1"/>
  <c r="G4390" i="1"/>
  <c r="E4390" i="1"/>
  <c r="C4390" i="1"/>
  <c r="G4389" i="1"/>
  <c r="E4389" i="1"/>
  <c r="C4389" i="1"/>
  <c r="G4388" i="1"/>
  <c r="E4388" i="1"/>
  <c r="C4388" i="1"/>
  <c r="G4387" i="1"/>
  <c r="E4387" i="1"/>
  <c r="C4387" i="1"/>
  <c r="G4386" i="1"/>
  <c r="E4386" i="1"/>
  <c r="C4386" i="1"/>
  <c r="G4385" i="1"/>
  <c r="E4385" i="1"/>
  <c r="C4385" i="1"/>
  <c r="G4384" i="1"/>
  <c r="E4384" i="1"/>
  <c r="C4384" i="1"/>
  <c r="G4383" i="1"/>
  <c r="E4383" i="1"/>
  <c r="C4383" i="1"/>
  <c r="G4382" i="1"/>
  <c r="E4382" i="1"/>
  <c r="C4382" i="1"/>
  <c r="G4381" i="1"/>
  <c r="E4381" i="1"/>
  <c r="C4381" i="1"/>
  <c r="G4380" i="1"/>
  <c r="E4380" i="1"/>
  <c r="C4380" i="1"/>
  <c r="G4379" i="1"/>
  <c r="E4379" i="1"/>
  <c r="C4379" i="1"/>
  <c r="G4378" i="1"/>
  <c r="E4378" i="1"/>
  <c r="C4378" i="1"/>
  <c r="G4377" i="1"/>
  <c r="E4377" i="1"/>
  <c r="C4377" i="1"/>
  <c r="G4376" i="1"/>
  <c r="E4376" i="1"/>
  <c r="C4376" i="1"/>
  <c r="G4375" i="1"/>
  <c r="E4375" i="1"/>
  <c r="C4375" i="1"/>
  <c r="G4374" i="1"/>
  <c r="E4374" i="1"/>
  <c r="C4374" i="1"/>
  <c r="G4373" i="1"/>
  <c r="E4373" i="1"/>
  <c r="C4373" i="1"/>
  <c r="G4372" i="1"/>
  <c r="E4372" i="1"/>
  <c r="C4372" i="1"/>
  <c r="G4371" i="1"/>
  <c r="E4371" i="1"/>
  <c r="C4371" i="1"/>
  <c r="G4370" i="1"/>
  <c r="E4370" i="1"/>
  <c r="C4370" i="1"/>
  <c r="G4369" i="1"/>
  <c r="E4369" i="1"/>
  <c r="C4369" i="1"/>
  <c r="G4368" i="1"/>
  <c r="E4368" i="1"/>
  <c r="C4368" i="1"/>
  <c r="G4367" i="1"/>
  <c r="E4367" i="1"/>
  <c r="C4367" i="1"/>
  <c r="G4366" i="1"/>
  <c r="E4366" i="1"/>
  <c r="C4366" i="1"/>
  <c r="G4365" i="1"/>
  <c r="E4365" i="1"/>
  <c r="C4365" i="1"/>
  <c r="G4364" i="1"/>
  <c r="E4364" i="1"/>
  <c r="C4364" i="1"/>
  <c r="G4363" i="1"/>
  <c r="E4363" i="1"/>
  <c r="C4363" i="1"/>
  <c r="G4362" i="1"/>
  <c r="E4362" i="1"/>
  <c r="C4362" i="1"/>
  <c r="G4361" i="1"/>
  <c r="E4361" i="1"/>
  <c r="C4361" i="1"/>
  <c r="G4360" i="1"/>
  <c r="E4360" i="1"/>
  <c r="C4360" i="1"/>
  <c r="G4359" i="1"/>
  <c r="E4359" i="1"/>
  <c r="C4359" i="1"/>
  <c r="G4358" i="1"/>
  <c r="E4358" i="1"/>
  <c r="C4358" i="1"/>
  <c r="G4357" i="1"/>
  <c r="E4357" i="1"/>
  <c r="C4357" i="1"/>
  <c r="G4356" i="1"/>
  <c r="E4356" i="1"/>
  <c r="C4356" i="1"/>
  <c r="G4355" i="1"/>
  <c r="E4355" i="1"/>
  <c r="C4355" i="1"/>
  <c r="G4354" i="1"/>
  <c r="E4354" i="1"/>
  <c r="C4354" i="1"/>
  <c r="G4353" i="1"/>
  <c r="E4353" i="1"/>
  <c r="C4353" i="1"/>
  <c r="G4352" i="1"/>
  <c r="E4352" i="1"/>
  <c r="C4352" i="1"/>
  <c r="G4351" i="1"/>
  <c r="E4351" i="1"/>
  <c r="C4351" i="1"/>
  <c r="G4350" i="1"/>
  <c r="E4350" i="1"/>
  <c r="C4350" i="1"/>
  <c r="G4349" i="1"/>
  <c r="E4349" i="1"/>
  <c r="C4349" i="1"/>
  <c r="G4348" i="1"/>
  <c r="E4348" i="1"/>
  <c r="C4348" i="1"/>
  <c r="G4347" i="1"/>
  <c r="E4347" i="1"/>
  <c r="C4347" i="1"/>
  <c r="G4346" i="1"/>
  <c r="E4346" i="1"/>
  <c r="C4346" i="1"/>
  <c r="G4345" i="1"/>
  <c r="E4345" i="1"/>
  <c r="C4345" i="1"/>
  <c r="G4344" i="1"/>
  <c r="E4344" i="1"/>
  <c r="C4344" i="1"/>
  <c r="G4343" i="1"/>
  <c r="E4343" i="1"/>
  <c r="C4343" i="1"/>
  <c r="G4342" i="1"/>
  <c r="E4342" i="1"/>
  <c r="C4342" i="1"/>
  <c r="G4341" i="1"/>
  <c r="E4341" i="1"/>
  <c r="C4341" i="1"/>
  <c r="G4340" i="1"/>
  <c r="E4340" i="1"/>
  <c r="C4340" i="1"/>
  <c r="G4339" i="1"/>
  <c r="E4339" i="1"/>
  <c r="C4339" i="1"/>
  <c r="G4338" i="1"/>
  <c r="E4338" i="1"/>
  <c r="C4338" i="1"/>
  <c r="G4337" i="1"/>
  <c r="E4337" i="1"/>
  <c r="C4337" i="1"/>
  <c r="G4336" i="1"/>
  <c r="E4336" i="1"/>
  <c r="C4336" i="1"/>
  <c r="G4335" i="1"/>
  <c r="E4335" i="1"/>
  <c r="C4335" i="1"/>
  <c r="G4334" i="1"/>
  <c r="E4334" i="1"/>
  <c r="C4334" i="1"/>
  <c r="G4333" i="1"/>
  <c r="E4333" i="1"/>
  <c r="C4333" i="1"/>
  <c r="G4332" i="1"/>
  <c r="E4332" i="1"/>
  <c r="C4332" i="1"/>
  <c r="G4331" i="1"/>
  <c r="E4331" i="1"/>
  <c r="C4331" i="1"/>
  <c r="G4330" i="1"/>
  <c r="E4330" i="1"/>
  <c r="C4330" i="1"/>
  <c r="G4329" i="1"/>
  <c r="E4329" i="1"/>
  <c r="C4329" i="1"/>
  <c r="G4328" i="1"/>
  <c r="E4328" i="1"/>
  <c r="C4328" i="1"/>
  <c r="G4327" i="1"/>
  <c r="E4327" i="1"/>
  <c r="C4327" i="1"/>
  <c r="G4326" i="1"/>
  <c r="E4326" i="1"/>
  <c r="C4326" i="1"/>
  <c r="G4325" i="1"/>
  <c r="E4325" i="1"/>
  <c r="C4325" i="1"/>
  <c r="G4324" i="1"/>
  <c r="E4324" i="1"/>
  <c r="C4324" i="1"/>
  <c r="G4323" i="1"/>
  <c r="E4323" i="1"/>
  <c r="C4323" i="1"/>
  <c r="G4322" i="1"/>
  <c r="E4322" i="1"/>
  <c r="C4322" i="1"/>
  <c r="G4321" i="1"/>
  <c r="E4321" i="1"/>
  <c r="C4321" i="1"/>
  <c r="G4320" i="1"/>
  <c r="E4320" i="1"/>
  <c r="C4320" i="1"/>
  <c r="G4319" i="1"/>
  <c r="E4319" i="1"/>
  <c r="C4319" i="1"/>
  <c r="G4318" i="1"/>
  <c r="E4318" i="1"/>
  <c r="C4318" i="1"/>
  <c r="G4317" i="1"/>
  <c r="E4317" i="1"/>
  <c r="C4317" i="1"/>
  <c r="G4316" i="1"/>
  <c r="E4316" i="1"/>
  <c r="C4316" i="1"/>
  <c r="G4315" i="1"/>
  <c r="E4315" i="1"/>
  <c r="C4315" i="1"/>
  <c r="G4314" i="1"/>
  <c r="E4314" i="1"/>
  <c r="C4314" i="1"/>
  <c r="G4313" i="1"/>
  <c r="E4313" i="1"/>
  <c r="C4313" i="1"/>
  <c r="G4312" i="1"/>
  <c r="E4312" i="1"/>
  <c r="C4312" i="1"/>
  <c r="G4311" i="1"/>
  <c r="E4311" i="1"/>
  <c r="C4311" i="1"/>
  <c r="G4310" i="1"/>
  <c r="E4310" i="1"/>
  <c r="C4310" i="1"/>
  <c r="G4309" i="1"/>
  <c r="E4309" i="1"/>
  <c r="C4309" i="1"/>
  <c r="G4308" i="1"/>
  <c r="E4308" i="1"/>
  <c r="C4308" i="1"/>
  <c r="G4307" i="1"/>
  <c r="E4307" i="1"/>
  <c r="C4307" i="1"/>
  <c r="G4306" i="1"/>
  <c r="E4306" i="1"/>
  <c r="C4306" i="1"/>
  <c r="G4305" i="1"/>
  <c r="E4305" i="1"/>
  <c r="C4305" i="1"/>
  <c r="G4304" i="1"/>
  <c r="E4304" i="1"/>
  <c r="C4304" i="1"/>
  <c r="G4303" i="1"/>
  <c r="E4303" i="1"/>
  <c r="C4303" i="1"/>
  <c r="G4302" i="1"/>
  <c r="E4302" i="1"/>
  <c r="C4302" i="1"/>
  <c r="G4301" i="1"/>
  <c r="E4301" i="1"/>
  <c r="C4301" i="1"/>
  <c r="G4300" i="1"/>
  <c r="E4300" i="1"/>
  <c r="C4300" i="1"/>
  <c r="G4299" i="1"/>
  <c r="E4299" i="1"/>
  <c r="C4299" i="1"/>
  <c r="G4298" i="1"/>
  <c r="E4298" i="1"/>
  <c r="C4298" i="1"/>
  <c r="G4297" i="1"/>
  <c r="E4297" i="1"/>
  <c r="C4297" i="1"/>
  <c r="G4296" i="1"/>
  <c r="E4296" i="1"/>
  <c r="C4296" i="1"/>
  <c r="G4295" i="1"/>
  <c r="E4295" i="1"/>
  <c r="C4295" i="1"/>
  <c r="G4294" i="1"/>
  <c r="E4294" i="1"/>
  <c r="C4294" i="1"/>
  <c r="G4293" i="1"/>
  <c r="E4293" i="1"/>
  <c r="C4293" i="1"/>
  <c r="G4292" i="1"/>
  <c r="E4292" i="1"/>
  <c r="C4292" i="1"/>
  <c r="G4291" i="1"/>
  <c r="E4291" i="1"/>
  <c r="C4291" i="1"/>
  <c r="G4290" i="1"/>
  <c r="E4290" i="1"/>
  <c r="C4290" i="1"/>
  <c r="G4289" i="1"/>
  <c r="E4289" i="1"/>
  <c r="C4289" i="1"/>
  <c r="G4288" i="1"/>
  <c r="E4288" i="1"/>
  <c r="C4288" i="1"/>
  <c r="G4287" i="1"/>
  <c r="E4287" i="1"/>
  <c r="C4287" i="1"/>
  <c r="G4286" i="1"/>
  <c r="E4286" i="1"/>
  <c r="C4286" i="1"/>
  <c r="G4285" i="1"/>
  <c r="E4285" i="1"/>
  <c r="C4285" i="1"/>
  <c r="G4284" i="1"/>
  <c r="E4284" i="1"/>
  <c r="C4284" i="1"/>
  <c r="G4283" i="1"/>
  <c r="E4283" i="1"/>
  <c r="C4283" i="1"/>
  <c r="G4282" i="1"/>
  <c r="E4282" i="1"/>
  <c r="C4282" i="1"/>
  <c r="G4281" i="1"/>
  <c r="E4281" i="1"/>
  <c r="C4281" i="1"/>
  <c r="G4280" i="1"/>
  <c r="E4280" i="1"/>
  <c r="C4280" i="1"/>
  <c r="G4279" i="1"/>
  <c r="E4279" i="1"/>
  <c r="C4279" i="1"/>
  <c r="G4278" i="1"/>
  <c r="E4278" i="1"/>
  <c r="C4278" i="1"/>
  <c r="G4277" i="1"/>
  <c r="E4277" i="1"/>
  <c r="C4277" i="1"/>
  <c r="G4276" i="1"/>
  <c r="E4276" i="1"/>
  <c r="C4276" i="1"/>
  <c r="G4275" i="1"/>
  <c r="E4275" i="1"/>
  <c r="C4275" i="1"/>
  <c r="G4274" i="1"/>
  <c r="E4274" i="1"/>
  <c r="C4274" i="1"/>
  <c r="G4273" i="1"/>
  <c r="E4273" i="1"/>
  <c r="C4273" i="1"/>
  <c r="G4272" i="1"/>
  <c r="E4272" i="1"/>
  <c r="C4272" i="1"/>
  <c r="G4271" i="1"/>
  <c r="E4271" i="1"/>
  <c r="C4271" i="1"/>
  <c r="G4270" i="1"/>
  <c r="E4270" i="1"/>
  <c r="C4270" i="1"/>
  <c r="G4269" i="1"/>
  <c r="E4269" i="1"/>
  <c r="C4269" i="1"/>
  <c r="G4268" i="1"/>
  <c r="E4268" i="1"/>
  <c r="C4268" i="1"/>
  <c r="G4267" i="1"/>
  <c r="E4267" i="1"/>
  <c r="C4267" i="1"/>
  <c r="G4266" i="1"/>
  <c r="E4266" i="1"/>
  <c r="C4266" i="1"/>
  <c r="G4265" i="1"/>
  <c r="E4265" i="1"/>
  <c r="C4265" i="1"/>
  <c r="G4264" i="1"/>
  <c r="E4264" i="1"/>
  <c r="C4264" i="1"/>
  <c r="G4263" i="1"/>
  <c r="E4263" i="1"/>
  <c r="C4263" i="1"/>
  <c r="G4262" i="1"/>
  <c r="E4262" i="1"/>
  <c r="C4262" i="1"/>
  <c r="G4261" i="1"/>
  <c r="E4261" i="1"/>
  <c r="C4261" i="1"/>
  <c r="G4260" i="1"/>
  <c r="E4260" i="1"/>
  <c r="C4260" i="1"/>
  <c r="G4259" i="1"/>
  <c r="E4259" i="1"/>
  <c r="C4259" i="1"/>
  <c r="G4258" i="1"/>
  <c r="E4258" i="1"/>
  <c r="C4258" i="1"/>
  <c r="G4257" i="1"/>
  <c r="E4257" i="1"/>
  <c r="C4257" i="1"/>
  <c r="G4256" i="1"/>
  <c r="E4256" i="1"/>
  <c r="C4256" i="1"/>
  <c r="G4255" i="1"/>
  <c r="E4255" i="1"/>
  <c r="C4255" i="1"/>
  <c r="G4254" i="1"/>
  <c r="E4254" i="1"/>
  <c r="C4254" i="1"/>
  <c r="G4253" i="1"/>
  <c r="E4253" i="1"/>
  <c r="C4253" i="1"/>
  <c r="G4252" i="1"/>
  <c r="E4252" i="1"/>
  <c r="C4252" i="1"/>
  <c r="G4251" i="1"/>
  <c r="E4251" i="1"/>
  <c r="C4251" i="1"/>
  <c r="G4250" i="1"/>
  <c r="E4250" i="1"/>
  <c r="C4250" i="1"/>
  <c r="G4249" i="1"/>
  <c r="E4249" i="1"/>
  <c r="C4249" i="1"/>
  <c r="G4248" i="1"/>
  <c r="E4248" i="1"/>
  <c r="C4248" i="1"/>
  <c r="G4247" i="1"/>
  <c r="E4247" i="1"/>
  <c r="C4247" i="1"/>
  <c r="G4246" i="1"/>
  <c r="E4246" i="1"/>
  <c r="C4246" i="1"/>
  <c r="G4245" i="1"/>
  <c r="E4245" i="1"/>
  <c r="C4245" i="1"/>
  <c r="G4244" i="1"/>
  <c r="E4244" i="1"/>
  <c r="C4244" i="1"/>
  <c r="G4243" i="1"/>
  <c r="E4243" i="1"/>
  <c r="C4243" i="1"/>
  <c r="G4242" i="1"/>
  <c r="E4242" i="1"/>
  <c r="C4242" i="1"/>
  <c r="G4241" i="1"/>
  <c r="E4241" i="1"/>
  <c r="C4241" i="1"/>
  <c r="G4240" i="1"/>
  <c r="E4240" i="1"/>
  <c r="C4240" i="1"/>
  <c r="G4239" i="1"/>
  <c r="E4239" i="1"/>
  <c r="C4239" i="1"/>
  <c r="G4238" i="1"/>
  <c r="E4238" i="1"/>
  <c r="C4238" i="1"/>
  <c r="G4237" i="1"/>
  <c r="E4237" i="1"/>
  <c r="C4237" i="1"/>
  <c r="G4236" i="1"/>
  <c r="E4236" i="1"/>
  <c r="C4236" i="1"/>
  <c r="G4235" i="1"/>
  <c r="E4235" i="1"/>
  <c r="C4235" i="1"/>
  <c r="G4234" i="1"/>
  <c r="E4234" i="1"/>
  <c r="C4234" i="1"/>
  <c r="G4233" i="1"/>
  <c r="E4233" i="1"/>
  <c r="C4233" i="1"/>
  <c r="G4232" i="1"/>
  <c r="E4232" i="1"/>
  <c r="C4232" i="1"/>
  <c r="G4231" i="1"/>
  <c r="E4231" i="1"/>
  <c r="C4231" i="1"/>
  <c r="G4230" i="1"/>
  <c r="E4230" i="1"/>
  <c r="C4230" i="1"/>
  <c r="G4229" i="1"/>
  <c r="E4229" i="1"/>
  <c r="C4229" i="1"/>
  <c r="G4228" i="1"/>
  <c r="E4228" i="1"/>
  <c r="C4228" i="1"/>
  <c r="G4227" i="1"/>
  <c r="E4227" i="1"/>
  <c r="C4227" i="1"/>
  <c r="G4226" i="1"/>
  <c r="E4226" i="1"/>
  <c r="C4226" i="1"/>
  <c r="G4225" i="1"/>
  <c r="E4225" i="1"/>
  <c r="C4225" i="1"/>
  <c r="G4224" i="1"/>
  <c r="E4224" i="1"/>
  <c r="C4224" i="1"/>
  <c r="G4223" i="1"/>
  <c r="E4223" i="1"/>
  <c r="C4223" i="1"/>
  <c r="G4222" i="1"/>
  <c r="E4222" i="1"/>
  <c r="C4222" i="1"/>
  <c r="G4221" i="1"/>
  <c r="E4221" i="1"/>
  <c r="C4221" i="1"/>
  <c r="G4220" i="1"/>
  <c r="E4220" i="1"/>
  <c r="C4220" i="1"/>
  <c r="G4219" i="1"/>
  <c r="E4219" i="1"/>
  <c r="C4219" i="1"/>
  <c r="G4218" i="1"/>
  <c r="E4218" i="1"/>
  <c r="C4218" i="1"/>
  <c r="G4217" i="1"/>
  <c r="E4217" i="1"/>
  <c r="C4217" i="1"/>
  <c r="G4216" i="1"/>
  <c r="E4216" i="1"/>
  <c r="C4216" i="1"/>
  <c r="G4215" i="1"/>
  <c r="E4215" i="1"/>
  <c r="C4215" i="1"/>
  <c r="G4214" i="1"/>
  <c r="E4214" i="1"/>
  <c r="C4214" i="1"/>
  <c r="G4213" i="1"/>
  <c r="E4213" i="1"/>
  <c r="C4213" i="1"/>
  <c r="G4212" i="1"/>
  <c r="E4212" i="1"/>
  <c r="C4212" i="1"/>
  <c r="G4211" i="1"/>
  <c r="E4211" i="1"/>
  <c r="C4211" i="1"/>
  <c r="G4210" i="1"/>
  <c r="E4210" i="1"/>
  <c r="C4210" i="1"/>
  <c r="G4209" i="1"/>
  <c r="E4209" i="1"/>
  <c r="C4209" i="1"/>
  <c r="G4208" i="1"/>
  <c r="E4208" i="1"/>
  <c r="C4208" i="1"/>
  <c r="G4207" i="1"/>
  <c r="E4207" i="1"/>
  <c r="C4207" i="1"/>
  <c r="G4206" i="1"/>
  <c r="E4206" i="1"/>
  <c r="C4206" i="1"/>
  <c r="G4205" i="1"/>
  <c r="E4205" i="1"/>
  <c r="C4205" i="1"/>
  <c r="G4204" i="1"/>
  <c r="E4204" i="1"/>
  <c r="C4204" i="1"/>
  <c r="G4203" i="1"/>
  <c r="E4203" i="1"/>
  <c r="C4203" i="1"/>
  <c r="G4202" i="1"/>
  <c r="E4202" i="1"/>
  <c r="C4202" i="1"/>
  <c r="G4201" i="1"/>
  <c r="E4201" i="1"/>
  <c r="C4201" i="1"/>
  <c r="G4200" i="1"/>
  <c r="E4200" i="1"/>
  <c r="C4200" i="1"/>
  <c r="G4199" i="1"/>
  <c r="E4199" i="1"/>
  <c r="C4199" i="1"/>
  <c r="G4198" i="1"/>
  <c r="E4198" i="1"/>
  <c r="C4198" i="1"/>
  <c r="G4197" i="1"/>
  <c r="E4197" i="1"/>
  <c r="C4197" i="1"/>
  <c r="G4196" i="1"/>
  <c r="E4196" i="1"/>
  <c r="C4196" i="1"/>
  <c r="G4195" i="1"/>
  <c r="E4195" i="1"/>
  <c r="C4195" i="1"/>
  <c r="G4194" i="1"/>
  <c r="E4194" i="1"/>
  <c r="C4194" i="1"/>
  <c r="G4193" i="1"/>
  <c r="E4193" i="1"/>
  <c r="C4193" i="1"/>
  <c r="G4192" i="1"/>
  <c r="E4192" i="1"/>
  <c r="C4192" i="1"/>
  <c r="G4191" i="1"/>
  <c r="E4191" i="1"/>
  <c r="C4191" i="1"/>
  <c r="G4190" i="1"/>
  <c r="E4190" i="1"/>
  <c r="C4190" i="1"/>
  <c r="G4189" i="1"/>
  <c r="E4189" i="1"/>
  <c r="C4189" i="1"/>
  <c r="G4188" i="1"/>
  <c r="E4188" i="1"/>
  <c r="C4188" i="1"/>
  <c r="G4187" i="1"/>
  <c r="E4187" i="1"/>
  <c r="C4187" i="1"/>
  <c r="G4186" i="1"/>
  <c r="E4186" i="1"/>
  <c r="C4186" i="1"/>
  <c r="G4185" i="1"/>
  <c r="E4185" i="1"/>
  <c r="C4185" i="1"/>
  <c r="G4184" i="1"/>
  <c r="E4184" i="1"/>
  <c r="C4184" i="1"/>
  <c r="G4183" i="1"/>
  <c r="E4183" i="1"/>
  <c r="C4183" i="1"/>
  <c r="G4182" i="1"/>
  <c r="E4182" i="1"/>
  <c r="C4182" i="1"/>
  <c r="G4181" i="1"/>
  <c r="E4181" i="1"/>
  <c r="C4181" i="1"/>
  <c r="G4180" i="1"/>
  <c r="E4180" i="1"/>
  <c r="C4180" i="1"/>
  <c r="G4179" i="1"/>
  <c r="E4179" i="1"/>
  <c r="C4179" i="1"/>
  <c r="G4178" i="1"/>
  <c r="E4178" i="1"/>
  <c r="C4178" i="1"/>
  <c r="G4177" i="1"/>
  <c r="E4177" i="1"/>
  <c r="C4177" i="1"/>
  <c r="G4176" i="1"/>
  <c r="E4176" i="1"/>
  <c r="C4176" i="1"/>
  <c r="G4175" i="1"/>
  <c r="E4175" i="1"/>
  <c r="C4175" i="1"/>
  <c r="G4174" i="1"/>
  <c r="E4174" i="1"/>
  <c r="C4174" i="1"/>
  <c r="G4173" i="1"/>
  <c r="E4173" i="1"/>
  <c r="C4173" i="1"/>
  <c r="G4172" i="1"/>
  <c r="E4172" i="1"/>
  <c r="C4172" i="1"/>
  <c r="G4171" i="1"/>
  <c r="E4171" i="1"/>
  <c r="C4171" i="1"/>
  <c r="G4170" i="1"/>
  <c r="E4170" i="1"/>
  <c r="C4170" i="1"/>
  <c r="G4169" i="1"/>
  <c r="E4169" i="1"/>
  <c r="C4169" i="1"/>
  <c r="G4168" i="1"/>
  <c r="E4168" i="1"/>
  <c r="C4168" i="1"/>
  <c r="G4167" i="1"/>
  <c r="E4167" i="1"/>
  <c r="C4167" i="1"/>
  <c r="G4166" i="1"/>
  <c r="E4166" i="1"/>
  <c r="C4166" i="1"/>
  <c r="G4165" i="1"/>
  <c r="E4165" i="1"/>
  <c r="C4165" i="1"/>
  <c r="G4164" i="1"/>
  <c r="E4164" i="1"/>
  <c r="C4164" i="1"/>
  <c r="G4163" i="1"/>
  <c r="E4163" i="1"/>
  <c r="C4163" i="1"/>
  <c r="G4162" i="1"/>
  <c r="E4162" i="1"/>
  <c r="C4162" i="1"/>
  <c r="G4161" i="1"/>
  <c r="E4161" i="1"/>
  <c r="C4161" i="1"/>
  <c r="G4160" i="1"/>
  <c r="E4160" i="1"/>
  <c r="C4160" i="1"/>
  <c r="G4159" i="1"/>
  <c r="E4159" i="1"/>
  <c r="C4159" i="1"/>
  <c r="G4158" i="1"/>
  <c r="E4158" i="1"/>
  <c r="C4158" i="1"/>
  <c r="G4157" i="1"/>
  <c r="E4157" i="1"/>
  <c r="C4157" i="1"/>
  <c r="G4156" i="1"/>
  <c r="E4156" i="1"/>
  <c r="C4156" i="1"/>
  <c r="G4155" i="1"/>
  <c r="E4155" i="1"/>
  <c r="C4155" i="1"/>
  <c r="G4154" i="1"/>
  <c r="E4154" i="1"/>
  <c r="C4154" i="1"/>
  <c r="G4153" i="1"/>
  <c r="E4153" i="1"/>
  <c r="C4153" i="1"/>
  <c r="G4152" i="1"/>
  <c r="E4152" i="1"/>
  <c r="C4152" i="1"/>
  <c r="G4151" i="1"/>
  <c r="E4151" i="1"/>
  <c r="C4151" i="1"/>
  <c r="G4150" i="1"/>
  <c r="E4150" i="1"/>
  <c r="C4150" i="1"/>
  <c r="G4149" i="1"/>
  <c r="E4149" i="1"/>
  <c r="C4149" i="1"/>
  <c r="G4148" i="1"/>
  <c r="E4148" i="1"/>
  <c r="C4148" i="1"/>
  <c r="G4147" i="1"/>
  <c r="E4147" i="1"/>
  <c r="C4147" i="1"/>
  <c r="G4146" i="1"/>
  <c r="E4146" i="1"/>
  <c r="C4146" i="1"/>
  <c r="G4145" i="1"/>
  <c r="E4145" i="1"/>
  <c r="C4145" i="1"/>
  <c r="G4144" i="1"/>
  <c r="E4144" i="1"/>
  <c r="C4144" i="1"/>
  <c r="G4143" i="1"/>
  <c r="E4143" i="1"/>
  <c r="C4143" i="1"/>
  <c r="G4142" i="1"/>
  <c r="E4142" i="1"/>
  <c r="C4142" i="1"/>
  <c r="G4141" i="1"/>
  <c r="E4141" i="1"/>
  <c r="C4141" i="1"/>
  <c r="G4140" i="1"/>
  <c r="E4140" i="1"/>
  <c r="C4140" i="1"/>
  <c r="G4139" i="1"/>
  <c r="E4139" i="1"/>
  <c r="C4139" i="1"/>
  <c r="G4138" i="1"/>
  <c r="E4138" i="1"/>
  <c r="C4138" i="1"/>
  <c r="G4137" i="1"/>
  <c r="E4137" i="1"/>
  <c r="C4137" i="1"/>
  <c r="G4136" i="1"/>
  <c r="E4136" i="1"/>
  <c r="C4136" i="1"/>
  <c r="G4135" i="1"/>
  <c r="E4135" i="1"/>
  <c r="C4135" i="1"/>
  <c r="G4134" i="1"/>
  <c r="E4134" i="1"/>
  <c r="C4134" i="1"/>
  <c r="G4133" i="1"/>
  <c r="E4133" i="1"/>
  <c r="C4133" i="1"/>
  <c r="G4132" i="1"/>
  <c r="E4132" i="1"/>
  <c r="C4132" i="1"/>
  <c r="G4131" i="1"/>
  <c r="E4131" i="1"/>
  <c r="C4131" i="1"/>
  <c r="G4130" i="1"/>
  <c r="E4130" i="1"/>
  <c r="C4130" i="1"/>
  <c r="G4129" i="1"/>
  <c r="E4129" i="1"/>
  <c r="C4129" i="1"/>
  <c r="G4128" i="1"/>
  <c r="E4128" i="1"/>
  <c r="C4128" i="1"/>
  <c r="G4127" i="1"/>
  <c r="E4127" i="1"/>
  <c r="C4127" i="1"/>
  <c r="G4126" i="1"/>
  <c r="E4126" i="1"/>
  <c r="C4126" i="1"/>
  <c r="G4125" i="1"/>
  <c r="E4125" i="1"/>
  <c r="C4125" i="1"/>
  <c r="G4124" i="1"/>
  <c r="E4124" i="1"/>
  <c r="C4124" i="1"/>
  <c r="G4123" i="1"/>
  <c r="E4123" i="1"/>
  <c r="C4123" i="1"/>
  <c r="G4122" i="1"/>
  <c r="E4122" i="1"/>
  <c r="C4122" i="1"/>
  <c r="G4121" i="1"/>
  <c r="E4121" i="1"/>
  <c r="C4121" i="1"/>
  <c r="G4120" i="1"/>
  <c r="E4120" i="1"/>
  <c r="C4120" i="1"/>
  <c r="G4119" i="1"/>
  <c r="E4119" i="1"/>
  <c r="C4119" i="1"/>
  <c r="G4118" i="1"/>
  <c r="E4118" i="1"/>
  <c r="C4118" i="1"/>
  <c r="G4117" i="1"/>
  <c r="E4117" i="1"/>
  <c r="C4117" i="1"/>
  <c r="G4116" i="1"/>
  <c r="E4116" i="1"/>
  <c r="C4116" i="1"/>
  <c r="G4115" i="1"/>
  <c r="E4115" i="1"/>
  <c r="C4115" i="1"/>
  <c r="G4114" i="1"/>
  <c r="E4114" i="1"/>
  <c r="C4114" i="1"/>
  <c r="G4113" i="1"/>
  <c r="E4113" i="1"/>
  <c r="C4113" i="1"/>
  <c r="G4112" i="1"/>
  <c r="E4112" i="1"/>
  <c r="C4112" i="1"/>
  <c r="G4111" i="1"/>
  <c r="E4111" i="1"/>
  <c r="C4111" i="1"/>
  <c r="G4110" i="1"/>
  <c r="E4110" i="1"/>
  <c r="C4110" i="1"/>
  <c r="G4109" i="1"/>
  <c r="E4109" i="1"/>
  <c r="C4109" i="1"/>
  <c r="G4108" i="1"/>
  <c r="E4108" i="1"/>
  <c r="C4108" i="1"/>
  <c r="G4107" i="1"/>
  <c r="E4107" i="1"/>
  <c r="C4107" i="1"/>
  <c r="G4106" i="1"/>
  <c r="E4106" i="1"/>
  <c r="C4106" i="1"/>
  <c r="G4105" i="1"/>
  <c r="E4105" i="1"/>
  <c r="C4105" i="1"/>
  <c r="G4104" i="1"/>
  <c r="E4104" i="1"/>
  <c r="C4104" i="1"/>
  <c r="G4103" i="1"/>
  <c r="E4103" i="1"/>
  <c r="C4103" i="1"/>
  <c r="G4102" i="1"/>
  <c r="E4102" i="1"/>
  <c r="C4102" i="1"/>
  <c r="G4101" i="1"/>
  <c r="E4101" i="1"/>
  <c r="C4101" i="1"/>
  <c r="G4100" i="1"/>
  <c r="E4100" i="1"/>
  <c r="C4100" i="1"/>
  <c r="G4099" i="1"/>
  <c r="E4099" i="1"/>
  <c r="C4099" i="1"/>
  <c r="G4098" i="1"/>
  <c r="E4098" i="1"/>
  <c r="C4098" i="1"/>
  <c r="G4097" i="1"/>
  <c r="E4097" i="1"/>
  <c r="C4097" i="1"/>
  <c r="G4096" i="1"/>
  <c r="E4096" i="1"/>
  <c r="C4096" i="1"/>
  <c r="G4095" i="1"/>
  <c r="E4095" i="1"/>
  <c r="C4095" i="1"/>
  <c r="G4094" i="1"/>
  <c r="E4094" i="1"/>
  <c r="C4094" i="1"/>
  <c r="G4093" i="1"/>
  <c r="E4093" i="1"/>
  <c r="C4093" i="1"/>
  <c r="G4092" i="1"/>
  <c r="E4092" i="1"/>
  <c r="C4092" i="1"/>
  <c r="G4091" i="1"/>
  <c r="E4091" i="1"/>
  <c r="C4091" i="1"/>
  <c r="G4090" i="1"/>
  <c r="E4090" i="1"/>
  <c r="C4090" i="1"/>
  <c r="G4089" i="1"/>
  <c r="E4089" i="1"/>
  <c r="C4089" i="1"/>
  <c r="G4088" i="1"/>
  <c r="E4088" i="1"/>
  <c r="C4088" i="1"/>
  <c r="G4087" i="1"/>
  <c r="E4087" i="1"/>
  <c r="C4087" i="1"/>
  <c r="G4086" i="1"/>
  <c r="E4086" i="1"/>
  <c r="C4086" i="1"/>
  <c r="G4085" i="1"/>
  <c r="E4085" i="1"/>
  <c r="C4085" i="1"/>
  <c r="G4084" i="1"/>
  <c r="E4084" i="1"/>
  <c r="C4084" i="1"/>
  <c r="G4083" i="1"/>
  <c r="E4083" i="1"/>
  <c r="C4083" i="1"/>
  <c r="G4082" i="1"/>
  <c r="E4082" i="1"/>
  <c r="C4082" i="1"/>
  <c r="G4081" i="1"/>
  <c r="E4081" i="1"/>
  <c r="C4081" i="1"/>
  <c r="G4080" i="1"/>
  <c r="E4080" i="1"/>
  <c r="C4080" i="1"/>
  <c r="G4079" i="1"/>
  <c r="E4079" i="1"/>
  <c r="C4079" i="1"/>
  <c r="G4078" i="1"/>
  <c r="E4078" i="1"/>
  <c r="C4078" i="1"/>
  <c r="G4077" i="1"/>
  <c r="E4077" i="1"/>
  <c r="C4077" i="1"/>
  <c r="G4076" i="1"/>
  <c r="E4076" i="1"/>
  <c r="C4076" i="1"/>
  <c r="G4075" i="1"/>
  <c r="E4075" i="1"/>
  <c r="C4075" i="1"/>
  <c r="G4074" i="1"/>
  <c r="E4074" i="1"/>
  <c r="C4074" i="1"/>
  <c r="G4073" i="1"/>
  <c r="E4073" i="1"/>
  <c r="C4073" i="1"/>
  <c r="G4072" i="1"/>
  <c r="E4072" i="1"/>
  <c r="C4072" i="1"/>
  <c r="G4071" i="1"/>
  <c r="E4071" i="1"/>
  <c r="C4071" i="1"/>
  <c r="G4070" i="1"/>
  <c r="E4070" i="1"/>
  <c r="C4070" i="1"/>
  <c r="G4069" i="1"/>
  <c r="E4069" i="1"/>
  <c r="C4069" i="1"/>
  <c r="G4068" i="1"/>
  <c r="E4068" i="1"/>
  <c r="C4068" i="1"/>
  <c r="G4067" i="1"/>
  <c r="E4067" i="1"/>
  <c r="C4067" i="1"/>
  <c r="G4066" i="1"/>
  <c r="E4066" i="1"/>
  <c r="C4066" i="1"/>
  <c r="G4065" i="1"/>
  <c r="E4065" i="1"/>
  <c r="C4065" i="1"/>
  <c r="G4064" i="1"/>
  <c r="E4064" i="1"/>
  <c r="C4064" i="1"/>
  <c r="G4063" i="1"/>
  <c r="E4063" i="1"/>
  <c r="C4063" i="1"/>
  <c r="G4062" i="1"/>
  <c r="E4062" i="1"/>
  <c r="C4062" i="1"/>
  <c r="G4061" i="1"/>
  <c r="E4061" i="1"/>
  <c r="C4061" i="1"/>
  <c r="G4060" i="1"/>
  <c r="E4060" i="1"/>
  <c r="C4060" i="1"/>
  <c r="G4059" i="1"/>
  <c r="E4059" i="1"/>
  <c r="C4059" i="1"/>
  <c r="G4058" i="1"/>
  <c r="E4058" i="1"/>
  <c r="C4058" i="1"/>
  <c r="G4057" i="1"/>
  <c r="E4057" i="1"/>
  <c r="C4057" i="1"/>
  <c r="G4056" i="1"/>
  <c r="E4056" i="1"/>
  <c r="C4056" i="1"/>
  <c r="G4055" i="1"/>
  <c r="E4055" i="1"/>
  <c r="C4055" i="1"/>
  <c r="G4054" i="1"/>
  <c r="E4054" i="1"/>
  <c r="C4054" i="1"/>
  <c r="G4053" i="1"/>
  <c r="E4053" i="1"/>
  <c r="C4053" i="1"/>
  <c r="G4052" i="1"/>
  <c r="E4052" i="1"/>
  <c r="C4052" i="1"/>
  <c r="G4051" i="1"/>
  <c r="E4051" i="1"/>
  <c r="C4051" i="1"/>
  <c r="G4050" i="1"/>
  <c r="E4050" i="1"/>
  <c r="C4050" i="1"/>
  <c r="G4049" i="1"/>
  <c r="E4049" i="1"/>
  <c r="C4049" i="1"/>
  <c r="G4048" i="1"/>
  <c r="E4048" i="1"/>
  <c r="C4048" i="1"/>
  <c r="G4047" i="1"/>
  <c r="E4047" i="1"/>
  <c r="C4047" i="1"/>
  <c r="G4046" i="1"/>
  <c r="E4046" i="1"/>
  <c r="C4046" i="1"/>
  <c r="G4045" i="1"/>
  <c r="E4045" i="1"/>
  <c r="C4045" i="1"/>
  <c r="G4044" i="1"/>
  <c r="E4044" i="1"/>
  <c r="C4044" i="1"/>
  <c r="G4043" i="1"/>
  <c r="E4043" i="1"/>
  <c r="C4043" i="1"/>
  <c r="G4042" i="1"/>
  <c r="E4042" i="1"/>
  <c r="C4042" i="1"/>
  <c r="G4041" i="1"/>
  <c r="E4041" i="1"/>
  <c r="C4041" i="1"/>
  <c r="G4040" i="1"/>
  <c r="E4040" i="1"/>
  <c r="C4040" i="1"/>
  <c r="G4039" i="1"/>
  <c r="E4039" i="1"/>
  <c r="C4039" i="1"/>
  <c r="G4038" i="1"/>
  <c r="E4038" i="1"/>
  <c r="C4038" i="1"/>
  <c r="G4037" i="1"/>
  <c r="E4037" i="1"/>
  <c r="C4037" i="1"/>
  <c r="G4036" i="1"/>
  <c r="E4036" i="1"/>
  <c r="C4036" i="1"/>
  <c r="G4035" i="1"/>
  <c r="E4035" i="1"/>
  <c r="C4035" i="1"/>
  <c r="G4034" i="1"/>
  <c r="E4034" i="1"/>
  <c r="C4034" i="1"/>
  <c r="G4033" i="1"/>
  <c r="E4033" i="1"/>
  <c r="C4033" i="1"/>
  <c r="G4032" i="1"/>
  <c r="E4032" i="1"/>
  <c r="C4032" i="1"/>
  <c r="G4031" i="1"/>
  <c r="E4031" i="1"/>
  <c r="C4031" i="1"/>
  <c r="G4030" i="1"/>
  <c r="E4030" i="1"/>
  <c r="C4030" i="1"/>
  <c r="G4029" i="1"/>
  <c r="E4029" i="1"/>
  <c r="C4029" i="1"/>
  <c r="G4028" i="1"/>
  <c r="E4028" i="1"/>
  <c r="C4028" i="1"/>
  <c r="G4027" i="1"/>
  <c r="E4027" i="1"/>
  <c r="C4027" i="1"/>
  <c r="G4026" i="1"/>
  <c r="E4026" i="1"/>
  <c r="C4026" i="1"/>
  <c r="G4025" i="1"/>
  <c r="E4025" i="1"/>
  <c r="C4025" i="1"/>
  <c r="G4024" i="1"/>
  <c r="E4024" i="1"/>
  <c r="C4024" i="1"/>
  <c r="G4023" i="1"/>
  <c r="E4023" i="1"/>
  <c r="C4023" i="1"/>
  <c r="G4022" i="1"/>
  <c r="E4022" i="1"/>
  <c r="C4022" i="1"/>
  <c r="G4021" i="1"/>
  <c r="E4021" i="1"/>
  <c r="C4021" i="1"/>
  <c r="G4020" i="1"/>
  <c r="E4020" i="1"/>
  <c r="C4020" i="1"/>
  <c r="G4019" i="1"/>
  <c r="E4019" i="1"/>
  <c r="C4019" i="1"/>
  <c r="G4018" i="1"/>
  <c r="E4018" i="1"/>
  <c r="C4018" i="1"/>
  <c r="G4017" i="1"/>
  <c r="E4017" i="1"/>
  <c r="C4017" i="1"/>
  <c r="G4016" i="1"/>
  <c r="E4016" i="1"/>
  <c r="C4016" i="1"/>
  <c r="G4015" i="1"/>
  <c r="E4015" i="1"/>
  <c r="C4015" i="1"/>
  <c r="G4014" i="1"/>
  <c r="E4014" i="1"/>
  <c r="C4014" i="1"/>
  <c r="G4013" i="1"/>
  <c r="E4013" i="1"/>
  <c r="C4013" i="1"/>
  <c r="G4012" i="1"/>
  <c r="E4012" i="1"/>
  <c r="C4012" i="1"/>
  <c r="G4011" i="1"/>
  <c r="E4011" i="1"/>
  <c r="C4011" i="1"/>
  <c r="G4010" i="1"/>
  <c r="E4010" i="1"/>
  <c r="C4010" i="1"/>
  <c r="G4009" i="1"/>
  <c r="E4009" i="1"/>
  <c r="C4009" i="1"/>
  <c r="G4008" i="1"/>
  <c r="E4008" i="1"/>
  <c r="C4008" i="1"/>
  <c r="G4007" i="1"/>
  <c r="E4007" i="1"/>
  <c r="C4007" i="1"/>
  <c r="G4006" i="1"/>
  <c r="E4006" i="1"/>
  <c r="C4006" i="1"/>
  <c r="G4005" i="1"/>
  <c r="E4005" i="1"/>
  <c r="C4005" i="1"/>
  <c r="G4004" i="1"/>
  <c r="E4004" i="1"/>
  <c r="C4004" i="1"/>
  <c r="G4003" i="1"/>
  <c r="E4003" i="1"/>
  <c r="C4003" i="1"/>
  <c r="G4002" i="1"/>
  <c r="E4002" i="1"/>
  <c r="C4002" i="1"/>
  <c r="G4001" i="1"/>
  <c r="E4001" i="1"/>
  <c r="C4001" i="1"/>
  <c r="G4000" i="1"/>
  <c r="E4000" i="1"/>
  <c r="C4000" i="1"/>
  <c r="G3999" i="1"/>
  <c r="E3999" i="1"/>
  <c r="C3999" i="1"/>
  <c r="G3998" i="1"/>
  <c r="E3998" i="1"/>
  <c r="C3998" i="1"/>
  <c r="G3997" i="1"/>
  <c r="E3997" i="1"/>
  <c r="C3997" i="1"/>
  <c r="G3996" i="1"/>
  <c r="E3996" i="1"/>
  <c r="C3996" i="1"/>
  <c r="G3995" i="1"/>
  <c r="E3995" i="1"/>
  <c r="C3995" i="1"/>
  <c r="G3994" i="1"/>
  <c r="E3994" i="1"/>
  <c r="C3994" i="1"/>
  <c r="G3993" i="1"/>
  <c r="E3993" i="1"/>
  <c r="C3993" i="1"/>
  <c r="G3992" i="1"/>
  <c r="E3992" i="1"/>
  <c r="C3992" i="1"/>
  <c r="G3991" i="1"/>
  <c r="E3991" i="1"/>
  <c r="C3991" i="1"/>
  <c r="G3990" i="1"/>
  <c r="E3990" i="1"/>
  <c r="C3990" i="1"/>
  <c r="G3989" i="1"/>
  <c r="E3989" i="1"/>
  <c r="C3989" i="1"/>
  <c r="G3988" i="1"/>
  <c r="E3988" i="1"/>
  <c r="C3988" i="1"/>
  <c r="G3987" i="1"/>
  <c r="E3987" i="1"/>
  <c r="C3987" i="1"/>
  <c r="G3986" i="1"/>
  <c r="E3986" i="1"/>
  <c r="C3986" i="1"/>
  <c r="G3985" i="1"/>
  <c r="E3985" i="1"/>
  <c r="C3985" i="1"/>
  <c r="G3984" i="1"/>
  <c r="E3984" i="1"/>
  <c r="C3984" i="1"/>
  <c r="G3983" i="1"/>
  <c r="E3983" i="1"/>
  <c r="C3983" i="1"/>
  <c r="G3982" i="1"/>
  <c r="E3982" i="1"/>
  <c r="C3982" i="1"/>
  <c r="G3981" i="1"/>
  <c r="E3981" i="1"/>
  <c r="C3981" i="1"/>
  <c r="G3980" i="1"/>
  <c r="E3980" i="1"/>
  <c r="C3980" i="1"/>
  <c r="G3979" i="1"/>
  <c r="E3979" i="1"/>
  <c r="C3979" i="1"/>
  <c r="G3978" i="1"/>
  <c r="E3978" i="1"/>
  <c r="C3978" i="1"/>
  <c r="G3977" i="1"/>
  <c r="E3977" i="1"/>
  <c r="C3977" i="1"/>
  <c r="G3976" i="1"/>
  <c r="E3976" i="1"/>
  <c r="C3976" i="1"/>
  <c r="G3975" i="1"/>
  <c r="E3975" i="1"/>
  <c r="C3975" i="1"/>
  <c r="G3974" i="1"/>
  <c r="E3974" i="1"/>
  <c r="C3974" i="1"/>
  <c r="G3973" i="1"/>
  <c r="E3973" i="1"/>
  <c r="C3973" i="1"/>
  <c r="G3972" i="1"/>
  <c r="E3972" i="1"/>
  <c r="C3972" i="1"/>
  <c r="G3971" i="1"/>
  <c r="E3971" i="1"/>
  <c r="C3971" i="1"/>
  <c r="G3970" i="1"/>
  <c r="E3970" i="1"/>
  <c r="C3970" i="1"/>
  <c r="G3969" i="1"/>
  <c r="E3969" i="1"/>
  <c r="C3969" i="1"/>
  <c r="G3968" i="1"/>
  <c r="E3968" i="1"/>
  <c r="C3968" i="1"/>
  <c r="G3967" i="1"/>
  <c r="E3967" i="1"/>
  <c r="C3967" i="1"/>
  <c r="G3966" i="1"/>
  <c r="E3966" i="1"/>
  <c r="C3966" i="1"/>
  <c r="G3965" i="1"/>
  <c r="E3965" i="1"/>
  <c r="C3965" i="1"/>
  <c r="G3964" i="1"/>
  <c r="E3964" i="1"/>
  <c r="C3964" i="1"/>
  <c r="G3963" i="1"/>
  <c r="E3963" i="1"/>
  <c r="C3963" i="1"/>
  <c r="G3962" i="1"/>
  <c r="E3962" i="1"/>
  <c r="C3962" i="1"/>
  <c r="G3961" i="1"/>
  <c r="E3961" i="1"/>
  <c r="C3961" i="1"/>
  <c r="G3960" i="1"/>
  <c r="E3960" i="1"/>
  <c r="C3960" i="1"/>
  <c r="G3959" i="1"/>
  <c r="E3959" i="1"/>
  <c r="C3959" i="1"/>
  <c r="G3958" i="1"/>
  <c r="E3958" i="1"/>
  <c r="C3958" i="1"/>
  <c r="G3957" i="1"/>
  <c r="E3957" i="1"/>
  <c r="C3957" i="1"/>
  <c r="G3956" i="1"/>
  <c r="E3956" i="1"/>
  <c r="C3956" i="1"/>
  <c r="G3955" i="1"/>
  <c r="E3955" i="1"/>
  <c r="C3955" i="1"/>
  <c r="G3954" i="1"/>
  <c r="E3954" i="1"/>
  <c r="C3954" i="1"/>
  <c r="G3953" i="1"/>
  <c r="E3953" i="1"/>
  <c r="C3953" i="1"/>
  <c r="G3952" i="1"/>
  <c r="E3952" i="1"/>
  <c r="C3952" i="1"/>
  <c r="G3951" i="1"/>
  <c r="E3951" i="1"/>
  <c r="C3951" i="1"/>
  <c r="G3950" i="1"/>
  <c r="E3950" i="1"/>
  <c r="C3950" i="1"/>
  <c r="G3949" i="1"/>
  <c r="E3949" i="1"/>
  <c r="C3949" i="1"/>
  <c r="G3948" i="1"/>
  <c r="E3948" i="1"/>
  <c r="C3948" i="1"/>
  <c r="G3947" i="1"/>
  <c r="E3947" i="1"/>
  <c r="C3947" i="1"/>
  <c r="G3946" i="1"/>
  <c r="E3946" i="1"/>
  <c r="C3946" i="1"/>
  <c r="G3945" i="1"/>
  <c r="E3945" i="1"/>
  <c r="C3945" i="1"/>
  <c r="G3944" i="1"/>
  <c r="E3944" i="1"/>
  <c r="C3944" i="1"/>
  <c r="G3943" i="1"/>
  <c r="E3943" i="1"/>
  <c r="C3943" i="1"/>
  <c r="G3942" i="1"/>
  <c r="E3942" i="1"/>
  <c r="C3942" i="1"/>
  <c r="G3941" i="1"/>
  <c r="E3941" i="1"/>
  <c r="C3941" i="1"/>
  <c r="G3940" i="1"/>
  <c r="E3940" i="1"/>
  <c r="C3940" i="1"/>
  <c r="G3939" i="1"/>
  <c r="E3939" i="1"/>
  <c r="C3939" i="1"/>
  <c r="G3938" i="1"/>
  <c r="E3938" i="1"/>
  <c r="C3938" i="1"/>
  <c r="G3937" i="1"/>
  <c r="E3937" i="1"/>
  <c r="C3937" i="1"/>
  <c r="G3936" i="1"/>
  <c r="E3936" i="1"/>
  <c r="C3936" i="1"/>
  <c r="G3935" i="1"/>
  <c r="E3935" i="1"/>
  <c r="C3935" i="1"/>
  <c r="G3934" i="1"/>
  <c r="E3934" i="1"/>
  <c r="C3934" i="1"/>
  <c r="G3933" i="1"/>
  <c r="E3933" i="1"/>
  <c r="C3933" i="1"/>
  <c r="G3932" i="1"/>
  <c r="E3932" i="1"/>
  <c r="C3932" i="1"/>
  <c r="G3931" i="1"/>
  <c r="E3931" i="1"/>
  <c r="C3931" i="1"/>
  <c r="G3930" i="1"/>
  <c r="E3930" i="1"/>
  <c r="C3930" i="1"/>
  <c r="G3929" i="1"/>
  <c r="E3929" i="1"/>
  <c r="C3929" i="1"/>
  <c r="G3928" i="1"/>
  <c r="E3928" i="1"/>
  <c r="C3928" i="1"/>
  <c r="G3927" i="1"/>
  <c r="E3927" i="1"/>
  <c r="C3927" i="1"/>
  <c r="G3926" i="1"/>
  <c r="E3926" i="1"/>
  <c r="C3926" i="1"/>
  <c r="G3925" i="1"/>
  <c r="E3925" i="1"/>
  <c r="C3925" i="1"/>
  <c r="G3924" i="1"/>
  <c r="E3924" i="1"/>
  <c r="C3924" i="1"/>
  <c r="G3923" i="1"/>
  <c r="E3923" i="1"/>
  <c r="C3923" i="1"/>
  <c r="G3922" i="1"/>
  <c r="E3922" i="1"/>
  <c r="C3922" i="1"/>
  <c r="G3921" i="1"/>
  <c r="E3921" i="1"/>
  <c r="C3921" i="1"/>
  <c r="G3920" i="1"/>
  <c r="E3920" i="1"/>
  <c r="C3920" i="1"/>
  <c r="G3919" i="1"/>
  <c r="E3919" i="1"/>
  <c r="C3919" i="1"/>
  <c r="G3918" i="1"/>
  <c r="E3918" i="1"/>
  <c r="C3918" i="1"/>
  <c r="G3917" i="1"/>
  <c r="E3917" i="1"/>
  <c r="C3917" i="1"/>
  <c r="G3916" i="1"/>
  <c r="E3916" i="1"/>
  <c r="C3916" i="1"/>
  <c r="G3915" i="1"/>
  <c r="E3915" i="1"/>
  <c r="C3915" i="1"/>
  <c r="G3914" i="1"/>
  <c r="E3914" i="1"/>
  <c r="C3914" i="1"/>
  <c r="G3913" i="1"/>
  <c r="E3913" i="1"/>
  <c r="C3913" i="1"/>
  <c r="G3912" i="1"/>
  <c r="E3912" i="1"/>
  <c r="C3912" i="1"/>
  <c r="G3911" i="1"/>
  <c r="E3911" i="1"/>
  <c r="C3911" i="1"/>
  <c r="G3910" i="1"/>
  <c r="E3910" i="1"/>
  <c r="C3910" i="1"/>
  <c r="G3909" i="1"/>
  <c r="E3909" i="1"/>
  <c r="C3909" i="1"/>
  <c r="G3908" i="1"/>
  <c r="E3908" i="1"/>
  <c r="C3908" i="1"/>
  <c r="G3907" i="1"/>
  <c r="E3907" i="1"/>
  <c r="C3907" i="1"/>
  <c r="G3906" i="1"/>
  <c r="E3906" i="1"/>
  <c r="C3906" i="1"/>
  <c r="G3905" i="1"/>
  <c r="E3905" i="1"/>
  <c r="C3905" i="1"/>
  <c r="G3904" i="1"/>
  <c r="E3904" i="1"/>
  <c r="C3904" i="1"/>
  <c r="G3903" i="1"/>
  <c r="E3903" i="1"/>
  <c r="C3903" i="1"/>
  <c r="G3902" i="1"/>
  <c r="E3902" i="1"/>
  <c r="C3902" i="1"/>
  <c r="G3901" i="1"/>
  <c r="E3901" i="1"/>
  <c r="C3901" i="1"/>
  <c r="G3900" i="1"/>
  <c r="E3900" i="1"/>
  <c r="C3900" i="1"/>
  <c r="G3899" i="1"/>
  <c r="E3899" i="1"/>
  <c r="C3899" i="1"/>
  <c r="G3898" i="1"/>
  <c r="E3898" i="1"/>
  <c r="C3898" i="1"/>
  <c r="G3897" i="1"/>
  <c r="E3897" i="1"/>
  <c r="C3897" i="1"/>
  <c r="G3896" i="1"/>
  <c r="E3896" i="1"/>
  <c r="C3896" i="1"/>
  <c r="G3895" i="1"/>
  <c r="E3895" i="1"/>
  <c r="C3895" i="1"/>
  <c r="G3894" i="1"/>
  <c r="E3894" i="1"/>
  <c r="C3894" i="1"/>
  <c r="G3893" i="1"/>
  <c r="E3893" i="1"/>
  <c r="C3893" i="1"/>
  <c r="G3892" i="1"/>
  <c r="E3892" i="1"/>
  <c r="C3892" i="1"/>
  <c r="G3891" i="1"/>
  <c r="E3891" i="1"/>
  <c r="C3891" i="1"/>
  <c r="G3890" i="1"/>
  <c r="E3890" i="1"/>
  <c r="C3890" i="1"/>
  <c r="G3889" i="1"/>
  <c r="E3889" i="1"/>
  <c r="C3889" i="1"/>
  <c r="G3888" i="1"/>
  <c r="E3888" i="1"/>
  <c r="C3888" i="1"/>
  <c r="G3887" i="1"/>
  <c r="E3887" i="1"/>
  <c r="C3887" i="1"/>
  <c r="G3886" i="1"/>
  <c r="E3886" i="1"/>
  <c r="C3886" i="1"/>
  <c r="G3885" i="1"/>
  <c r="E3885" i="1"/>
  <c r="C3885" i="1"/>
  <c r="G3884" i="1"/>
  <c r="E3884" i="1"/>
  <c r="C3884" i="1"/>
  <c r="G3883" i="1"/>
  <c r="E3883" i="1"/>
  <c r="C3883" i="1"/>
  <c r="G3882" i="1"/>
  <c r="E3882" i="1"/>
  <c r="C3882" i="1"/>
  <c r="G3881" i="1"/>
  <c r="E3881" i="1"/>
  <c r="C3881" i="1"/>
  <c r="G3880" i="1"/>
  <c r="E3880" i="1"/>
  <c r="C3880" i="1"/>
  <c r="G3879" i="1"/>
  <c r="E3879" i="1"/>
  <c r="C3879" i="1"/>
  <c r="G3878" i="1"/>
  <c r="E3878" i="1"/>
  <c r="C3878" i="1"/>
  <c r="G3877" i="1"/>
  <c r="E3877" i="1"/>
  <c r="C3877" i="1"/>
  <c r="G3876" i="1"/>
  <c r="E3876" i="1"/>
  <c r="C3876" i="1"/>
  <c r="G3875" i="1"/>
  <c r="E3875" i="1"/>
  <c r="C3875" i="1"/>
  <c r="G3874" i="1"/>
  <c r="E3874" i="1"/>
  <c r="C3874" i="1"/>
  <c r="G3873" i="1"/>
  <c r="E3873" i="1"/>
  <c r="C3873" i="1"/>
  <c r="G3872" i="1"/>
  <c r="E3872" i="1"/>
  <c r="C3872" i="1"/>
  <c r="G3871" i="1"/>
  <c r="E3871" i="1"/>
  <c r="C3871" i="1"/>
  <c r="G3870" i="1"/>
  <c r="E3870" i="1"/>
  <c r="C3870" i="1"/>
  <c r="G3869" i="1"/>
  <c r="E3869" i="1"/>
  <c r="C3869" i="1"/>
  <c r="G3868" i="1"/>
  <c r="E3868" i="1"/>
  <c r="C3868" i="1"/>
  <c r="G3867" i="1"/>
  <c r="E3867" i="1"/>
  <c r="C3867" i="1"/>
  <c r="G3866" i="1"/>
  <c r="E3866" i="1"/>
  <c r="C3866" i="1"/>
  <c r="G3865" i="1"/>
  <c r="E3865" i="1"/>
  <c r="C3865" i="1"/>
  <c r="G3864" i="1"/>
  <c r="E3864" i="1"/>
  <c r="C3864" i="1"/>
  <c r="G3863" i="1"/>
  <c r="E3863" i="1"/>
  <c r="C3863" i="1"/>
  <c r="G3862" i="1"/>
  <c r="E3862" i="1"/>
  <c r="C3862" i="1"/>
  <c r="G3861" i="1"/>
  <c r="E3861" i="1"/>
  <c r="C3861" i="1"/>
  <c r="G3860" i="1"/>
  <c r="E3860" i="1"/>
  <c r="C3860" i="1"/>
  <c r="G3859" i="1"/>
  <c r="E3859" i="1"/>
  <c r="C3859" i="1"/>
  <c r="G3858" i="1"/>
  <c r="E3858" i="1"/>
  <c r="C3858" i="1"/>
  <c r="G3857" i="1"/>
  <c r="E3857" i="1"/>
  <c r="C3857" i="1"/>
  <c r="G3856" i="1"/>
  <c r="E3856" i="1"/>
  <c r="C3856" i="1"/>
  <c r="G3855" i="1"/>
  <c r="E3855" i="1"/>
  <c r="C3855" i="1"/>
  <c r="G3854" i="1"/>
  <c r="E3854" i="1"/>
  <c r="C3854" i="1"/>
  <c r="G3853" i="1"/>
  <c r="E3853" i="1"/>
  <c r="C3853" i="1"/>
  <c r="G3852" i="1"/>
  <c r="E3852" i="1"/>
  <c r="C3852" i="1"/>
  <c r="G3851" i="1"/>
  <c r="E3851" i="1"/>
  <c r="C3851" i="1"/>
  <c r="G3850" i="1"/>
  <c r="E3850" i="1"/>
  <c r="C3850" i="1"/>
  <c r="G3849" i="1"/>
  <c r="E3849" i="1"/>
  <c r="C3849" i="1"/>
  <c r="G3848" i="1"/>
  <c r="E3848" i="1"/>
  <c r="C3848" i="1"/>
  <c r="G3847" i="1"/>
  <c r="E3847" i="1"/>
  <c r="C3847" i="1"/>
  <c r="G3846" i="1"/>
  <c r="E3846" i="1"/>
  <c r="C3846" i="1"/>
  <c r="G3845" i="1"/>
  <c r="E3845" i="1"/>
  <c r="C3845" i="1"/>
  <c r="G3844" i="1"/>
  <c r="E3844" i="1"/>
  <c r="C3844" i="1"/>
  <c r="G3843" i="1"/>
  <c r="E3843" i="1"/>
  <c r="C3843" i="1"/>
  <c r="G3842" i="1"/>
  <c r="E3842" i="1"/>
  <c r="C3842" i="1"/>
  <c r="G3841" i="1"/>
  <c r="E3841" i="1"/>
  <c r="C3841" i="1"/>
  <c r="G3840" i="1"/>
  <c r="E3840" i="1"/>
  <c r="C3840" i="1"/>
  <c r="G3839" i="1"/>
  <c r="E3839" i="1"/>
  <c r="C3839" i="1"/>
  <c r="G3838" i="1"/>
  <c r="E3838" i="1"/>
  <c r="C3838" i="1"/>
  <c r="G3837" i="1"/>
  <c r="E3837" i="1"/>
  <c r="C3837" i="1"/>
  <c r="G3836" i="1"/>
  <c r="E3836" i="1"/>
  <c r="C3836" i="1"/>
  <c r="G3835" i="1"/>
  <c r="E3835" i="1"/>
  <c r="C3835" i="1"/>
  <c r="G3834" i="1"/>
  <c r="E3834" i="1"/>
  <c r="C3834" i="1"/>
  <c r="G3833" i="1"/>
  <c r="E3833" i="1"/>
  <c r="C3833" i="1"/>
  <c r="G3832" i="1"/>
  <c r="E3832" i="1"/>
  <c r="C3832" i="1"/>
  <c r="G3831" i="1"/>
  <c r="E3831" i="1"/>
  <c r="C3831" i="1"/>
  <c r="G3830" i="1"/>
  <c r="E3830" i="1"/>
  <c r="C3830" i="1"/>
  <c r="G3829" i="1"/>
  <c r="E3829" i="1"/>
  <c r="C3829" i="1"/>
  <c r="G3828" i="1"/>
  <c r="E3828" i="1"/>
  <c r="C3828" i="1"/>
  <c r="G3827" i="1"/>
  <c r="E3827" i="1"/>
  <c r="C3827" i="1"/>
  <c r="G3826" i="1"/>
  <c r="E3826" i="1"/>
  <c r="C3826" i="1"/>
  <c r="G3825" i="1"/>
  <c r="E3825" i="1"/>
  <c r="C3825" i="1"/>
  <c r="G3824" i="1"/>
  <c r="E3824" i="1"/>
  <c r="C3824" i="1"/>
  <c r="G3823" i="1"/>
  <c r="E3823" i="1"/>
  <c r="C3823" i="1"/>
  <c r="G3822" i="1"/>
  <c r="E3822" i="1"/>
  <c r="C3822" i="1"/>
  <c r="G3821" i="1"/>
  <c r="E3821" i="1"/>
  <c r="C3821" i="1"/>
  <c r="G3820" i="1"/>
  <c r="E3820" i="1"/>
  <c r="C3820" i="1"/>
  <c r="G3819" i="1"/>
  <c r="E3819" i="1"/>
  <c r="C3819" i="1"/>
  <c r="G3818" i="1"/>
  <c r="E3818" i="1"/>
  <c r="C3818" i="1"/>
  <c r="G3817" i="1"/>
  <c r="E3817" i="1"/>
  <c r="C3817" i="1"/>
  <c r="G3816" i="1"/>
  <c r="E3816" i="1"/>
  <c r="C3816" i="1"/>
  <c r="G3815" i="1"/>
  <c r="E3815" i="1"/>
  <c r="C3815" i="1"/>
  <c r="G3814" i="1"/>
  <c r="E3814" i="1"/>
  <c r="C3814" i="1"/>
  <c r="G3813" i="1"/>
  <c r="E3813" i="1"/>
  <c r="C3813" i="1"/>
  <c r="G3812" i="1"/>
  <c r="E3812" i="1"/>
  <c r="C3812" i="1"/>
  <c r="G3811" i="1"/>
  <c r="E3811" i="1"/>
  <c r="C3811" i="1"/>
  <c r="G3810" i="1"/>
  <c r="E3810" i="1"/>
  <c r="C3810" i="1"/>
  <c r="G3809" i="1"/>
  <c r="E3809" i="1"/>
  <c r="C3809" i="1"/>
  <c r="G3808" i="1"/>
  <c r="E3808" i="1"/>
  <c r="C3808" i="1"/>
  <c r="G3807" i="1"/>
  <c r="E3807" i="1"/>
  <c r="C3807" i="1"/>
  <c r="G3806" i="1"/>
  <c r="E3806" i="1"/>
  <c r="C3806" i="1"/>
  <c r="G3805" i="1"/>
  <c r="E3805" i="1"/>
  <c r="C3805" i="1"/>
  <c r="G3804" i="1"/>
  <c r="E3804" i="1"/>
  <c r="C3804" i="1"/>
  <c r="G3803" i="1"/>
  <c r="E3803" i="1"/>
  <c r="C3803" i="1"/>
  <c r="G3802" i="1"/>
  <c r="E3802" i="1"/>
  <c r="C3802" i="1"/>
  <c r="G3801" i="1"/>
  <c r="E3801" i="1"/>
  <c r="C3801" i="1"/>
  <c r="G3800" i="1"/>
  <c r="E3800" i="1"/>
  <c r="C3800" i="1"/>
  <c r="G3799" i="1"/>
  <c r="E3799" i="1"/>
  <c r="C3799" i="1"/>
  <c r="G3798" i="1"/>
  <c r="E3798" i="1"/>
  <c r="C3798" i="1"/>
  <c r="G3797" i="1"/>
  <c r="E3797" i="1"/>
  <c r="C3797" i="1"/>
  <c r="G3796" i="1"/>
  <c r="E3796" i="1"/>
  <c r="C3796" i="1"/>
  <c r="G3795" i="1"/>
  <c r="E3795" i="1"/>
  <c r="C3795" i="1"/>
  <c r="G3794" i="1"/>
  <c r="E3794" i="1"/>
  <c r="C3794" i="1"/>
  <c r="G3793" i="1"/>
  <c r="E3793" i="1"/>
  <c r="C3793" i="1"/>
  <c r="G3792" i="1"/>
  <c r="E3792" i="1"/>
  <c r="C3792" i="1"/>
  <c r="G3791" i="1"/>
  <c r="E3791" i="1"/>
  <c r="C3791" i="1"/>
  <c r="G3790" i="1"/>
  <c r="E3790" i="1"/>
  <c r="C3790" i="1"/>
  <c r="G3789" i="1"/>
  <c r="E3789" i="1"/>
  <c r="C3789" i="1"/>
  <c r="G3788" i="1"/>
  <c r="E3788" i="1"/>
  <c r="C3788" i="1"/>
  <c r="G3787" i="1"/>
  <c r="E3787" i="1"/>
  <c r="C3787" i="1"/>
  <c r="G3786" i="1"/>
  <c r="E3786" i="1"/>
  <c r="C3786" i="1"/>
  <c r="G3785" i="1"/>
  <c r="E3785" i="1"/>
  <c r="C3785" i="1"/>
  <c r="G3784" i="1"/>
  <c r="E3784" i="1"/>
  <c r="C3784" i="1"/>
  <c r="G3783" i="1"/>
  <c r="E3783" i="1"/>
  <c r="C3783" i="1"/>
  <c r="G3782" i="1"/>
  <c r="E3782" i="1"/>
  <c r="C3782" i="1"/>
  <c r="G3781" i="1"/>
  <c r="E3781" i="1"/>
  <c r="C3781" i="1"/>
  <c r="G3780" i="1"/>
  <c r="E3780" i="1"/>
  <c r="C3780" i="1"/>
  <c r="G3779" i="1"/>
  <c r="E3779" i="1"/>
  <c r="C3779" i="1"/>
  <c r="G3778" i="1"/>
  <c r="E3778" i="1"/>
  <c r="C3778" i="1"/>
  <c r="G3777" i="1"/>
  <c r="E3777" i="1"/>
  <c r="C3777" i="1"/>
  <c r="G3776" i="1"/>
  <c r="E3776" i="1"/>
  <c r="C3776" i="1"/>
  <c r="G3775" i="1"/>
  <c r="E3775" i="1"/>
  <c r="C3775" i="1"/>
  <c r="G3774" i="1"/>
  <c r="E3774" i="1"/>
  <c r="C3774" i="1"/>
  <c r="G3773" i="1"/>
  <c r="E3773" i="1"/>
  <c r="C3773" i="1"/>
  <c r="G3772" i="1"/>
  <c r="E3772" i="1"/>
  <c r="C3772" i="1"/>
  <c r="G3771" i="1"/>
  <c r="E3771" i="1"/>
  <c r="C3771" i="1"/>
  <c r="G3770" i="1"/>
  <c r="E3770" i="1"/>
  <c r="C3770" i="1"/>
  <c r="G3769" i="1"/>
  <c r="E3769" i="1"/>
  <c r="C3769" i="1"/>
  <c r="G3768" i="1"/>
  <c r="E3768" i="1"/>
  <c r="C3768" i="1"/>
  <c r="G3767" i="1"/>
  <c r="E3767" i="1"/>
  <c r="C3767" i="1"/>
  <c r="G3766" i="1"/>
  <c r="E3766" i="1"/>
  <c r="C3766" i="1"/>
  <c r="G3765" i="1"/>
  <c r="E3765" i="1"/>
  <c r="C3765" i="1"/>
  <c r="G3764" i="1"/>
  <c r="E3764" i="1"/>
  <c r="C3764" i="1"/>
  <c r="G3763" i="1"/>
  <c r="E3763" i="1"/>
  <c r="C3763" i="1"/>
  <c r="G3762" i="1"/>
  <c r="E3762" i="1"/>
  <c r="C3762" i="1"/>
  <c r="G3761" i="1"/>
  <c r="E3761" i="1"/>
  <c r="C3761" i="1"/>
  <c r="G3760" i="1"/>
  <c r="E3760" i="1"/>
  <c r="C3760" i="1"/>
  <c r="G3759" i="1"/>
  <c r="E3759" i="1"/>
  <c r="C3759" i="1"/>
  <c r="G3758" i="1"/>
  <c r="E3758" i="1"/>
  <c r="C3758" i="1"/>
  <c r="G3757" i="1"/>
  <c r="E3757" i="1"/>
  <c r="C3757" i="1"/>
  <c r="G3756" i="1"/>
  <c r="E3756" i="1"/>
  <c r="C3756" i="1"/>
  <c r="G3755" i="1"/>
  <c r="E3755" i="1"/>
  <c r="C3755" i="1"/>
  <c r="G3754" i="1"/>
  <c r="E3754" i="1"/>
  <c r="C3754" i="1"/>
  <c r="G3753" i="1"/>
  <c r="E3753" i="1"/>
  <c r="C3753" i="1"/>
  <c r="G3752" i="1"/>
  <c r="E3752" i="1"/>
  <c r="C3752" i="1"/>
  <c r="G3751" i="1"/>
  <c r="E3751" i="1"/>
  <c r="C3751" i="1"/>
  <c r="G3750" i="1"/>
  <c r="E3750" i="1"/>
  <c r="C3750" i="1"/>
  <c r="G3749" i="1"/>
  <c r="E3749" i="1"/>
  <c r="C3749" i="1"/>
  <c r="G3748" i="1"/>
  <c r="E3748" i="1"/>
  <c r="C3748" i="1"/>
  <c r="G3747" i="1"/>
  <c r="E3747" i="1"/>
  <c r="C3747" i="1"/>
  <c r="G3746" i="1"/>
  <c r="E3746" i="1"/>
  <c r="C3746" i="1"/>
  <c r="G3745" i="1"/>
  <c r="E3745" i="1"/>
  <c r="C3745" i="1"/>
  <c r="G3744" i="1"/>
  <c r="E3744" i="1"/>
  <c r="C3744" i="1"/>
  <c r="G3743" i="1"/>
  <c r="E3743" i="1"/>
  <c r="C3743" i="1"/>
  <c r="G3742" i="1"/>
  <c r="E3742" i="1"/>
  <c r="C3742" i="1"/>
  <c r="G3741" i="1"/>
  <c r="E3741" i="1"/>
  <c r="C3741" i="1"/>
  <c r="G3740" i="1"/>
  <c r="E3740" i="1"/>
  <c r="C3740" i="1"/>
  <c r="G3739" i="1"/>
  <c r="E3739" i="1"/>
  <c r="C3739" i="1"/>
  <c r="G3738" i="1"/>
  <c r="E3738" i="1"/>
  <c r="C3738" i="1"/>
  <c r="G3737" i="1"/>
  <c r="E3737" i="1"/>
  <c r="C3737" i="1"/>
  <c r="G3736" i="1"/>
  <c r="E3736" i="1"/>
  <c r="C3736" i="1"/>
  <c r="G3735" i="1"/>
  <c r="E3735" i="1"/>
  <c r="C3735" i="1"/>
  <c r="G3734" i="1"/>
  <c r="E3734" i="1"/>
  <c r="C3734" i="1"/>
  <c r="G3733" i="1"/>
  <c r="E3733" i="1"/>
  <c r="C3733" i="1"/>
  <c r="G3732" i="1"/>
  <c r="E3732" i="1"/>
  <c r="C3732" i="1"/>
  <c r="G3731" i="1"/>
  <c r="E3731" i="1"/>
  <c r="C3731" i="1"/>
  <c r="G3730" i="1"/>
  <c r="E3730" i="1"/>
  <c r="C3730" i="1"/>
  <c r="G3729" i="1"/>
  <c r="E3729" i="1"/>
  <c r="C3729" i="1"/>
  <c r="G3728" i="1"/>
  <c r="E3728" i="1"/>
  <c r="C3728" i="1"/>
  <c r="G3727" i="1"/>
  <c r="E3727" i="1"/>
  <c r="C3727" i="1"/>
  <c r="G3726" i="1"/>
  <c r="E3726" i="1"/>
  <c r="C3726" i="1"/>
  <c r="G3725" i="1"/>
  <c r="E3725" i="1"/>
  <c r="C3725" i="1"/>
  <c r="G3724" i="1"/>
  <c r="E3724" i="1"/>
  <c r="C3724" i="1"/>
  <c r="G3723" i="1"/>
  <c r="E3723" i="1"/>
  <c r="C3723" i="1"/>
  <c r="G3722" i="1"/>
  <c r="E3722" i="1"/>
  <c r="C3722" i="1"/>
  <c r="G3721" i="1"/>
  <c r="E3721" i="1"/>
  <c r="C3721" i="1"/>
  <c r="G3720" i="1"/>
  <c r="E3720" i="1"/>
  <c r="C3720" i="1"/>
  <c r="G3719" i="1"/>
  <c r="E3719" i="1"/>
  <c r="C3719" i="1"/>
  <c r="G3718" i="1"/>
  <c r="E3718" i="1"/>
  <c r="C3718" i="1"/>
  <c r="G3717" i="1"/>
  <c r="E3717" i="1"/>
  <c r="C3717" i="1"/>
  <c r="G3716" i="1"/>
  <c r="E3716" i="1"/>
  <c r="C3716" i="1"/>
  <c r="G3715" i="1"/>
  <c r="E3715" i="1"/>
  <c r="C3715" i="1"/>
  <c r="G3714" i="1"/>
  <c r="E3714" i="1"/>
  <c r="C3714" i="1"/>
  <c r="G3713" i="1"/>
  <c r="E3713" i="1"/>
  <c r="C3713" i="1"/>
  <c r="G3712" i="1"/>
  <c r="E3712" i="1"/>
  <c r="C3712" i="1"/>
  <c r="G3711" i="1"/>
  <c r="E3711" i="1"/>
  <c r="C3711" i="1"/>
  <c r="G3710" i="1"/>
  <c r="E3710" i="1"/>
  <c r="C3710" i="1"/>
  <c r="G3709" i="1"/>
  <c r="E3709" i="1"/>
  <c r="C3709" i="1"/>
  <c r="G3708" i="1"/>
  <c r="E3708" i="1"/>
  <c r="C3708" i="1"/>
  <c r="G3707" i="1"/>
  <c r="E3707" i="1"/>
  <c r="C3707" i="1"/>
  <c r="G3706" i="1"/>
  <c r="E3706" i="1"/>
  <c r="C3706" i="1"/>
  <c r="G3705" i="1"/>
  <c r="E3705" i="1"/>
  <c r="C3705" i="1"/>
  <c r="G3704" i="1"/>
  <c r="E3704" i="1"/>
  <c r="C3704" i="1"/>
  <c r="G3703" i="1"/>
  <c r="E3703" i="1"/>
  <c r="C3703" i="1"/>
  <c r="G3702" i="1"/>
  <c r="E3702" i="1"/>
  <c r="C3702" i="1"/>
  <c r="G3701" i="1"/>
  <c r="E3701" i="1"/>
  <c r="C3701" i="1"/>
  <c r="G3700" i="1"/>
  <c r="E3700" i="1"/>
  <c r="C3700" i="1"/>
  <c r="G3699" i="1"/>
  <c r="E3699" i="1"/>
  <c r="C3699" i="1"/>
  <c r="G3698" i="1"/>
  <c r="E3698" i="1"/>
  <c r="C3698" i="1"/>
  <c r="G3697" i="1"/>
  <c r="E3697" i="1"/>
  <c r="C3697" i="1"/>
  <c r="G3696" i="1"/>
  <c r="E3696" i="1"/>
  <c r="C3696" i="1"/>
  <c r="G3695" i="1"/>
  <c r="E3695" i="1"/>
  <c r="C3695" i="1"/>
  <c r="G3694" i="1"/>
  <c r="E3694" i="1"/>
  <c r="C3694" i="1"/>
  <c r="G3693" i="1"/>
  <c r="E3693" i="1"/>
  <c r="C3693" i="1"/>
  <c r="G3692" i="1"/>
  <c r="E3692" i="1"/>
  <c r="C3692" i="1"/>
  <c r="G3691" i="1"/>
  <c r="E3691" i="1"/>
  <c r="C3691" i="1"/>
  <c r="G3690" i="1"/>
  <c r="E3690" i="1"/>
  <c r="C3690" i="1"/>
  <c r="G3689" i="1"/>
  <c r="E3689" i="1"/>
  <c r="C3689" i="1"/>
  <c r="G3688" i="1"/>
  <c r="E3688" i="1"/>
  <c r="C3688" i="1"/>
  <c r="G3687" i="1"/>
  <c r="E3687" i="1"/>
  <c r="C3687" i="1"/>
  <c r="G3686" i="1"/>
  <c r="E3686" i="1"/>
  <c r="C3686" i="1"/>
  <c r="G3685" i="1"/>
  <c r="E3685" i="1"/>
  <c r="C3685" i="1"/>
  <c r="G3684" i="1"/>
  <c r="E3684" i="1"/>
  <c r="C3684" i="1"/>
  <c r="G3683" i="1"/>
  <c r="E3683" i="1"/>
  <c r="C3683" i="1"/>
  <c r="G3682" i="1"/>
  <c r="E3682" i="1"/>
  <c r="C3682" i="1"/>
  <c r="G3681" i="1"/>
  <c r="E3681" i="1"/>
  <c r="C3681" i="1"/>
  <c r="G3680" i="1"/>
  <c r="E3680" i="1"/>
  <c r="C3680" i="1"/>
  <c r="G3679" i="1"/>
  <c r="E3679" i="1"/>
  <c r="C3679" i="1"/>
  <c r="G3678" i="1"/>
  <c r="E3678" i="1"/>
  <c r="C3678" i="1"/>
  <c r="G3677" i="1"/>
  <c r="E3677" i="1"/>
  <c r="C3677" i="1"/>
  <c r="G3676" i="1"/>
  <c r="E3676" i="1"/>
  <c r="C3676" i="1"/>
  <c r="G3675" i="1"/>
  <c r="E3675" i="1"/>
  <c r="C3675" i="1"/>
  <c r="G3674" i="1"/>
  <c r="E3674" i="1"/>
  <c r="C3674" i="1"/>
  <c r="G3673" i="1"/>
  <c r="E3673" i="1"/>
  <c r="C3673" i="1"/>
  <c r="G3672" i="1"/>
  <c r="E3672" i="1"/>
  <c r="C3672" i="1"/>
  <c r="G3671" i="1"/>
  <c r="E3671" i="1"/>
  <c r="C3671" i="1"/>
  <c r="G3670" i="1"/>
  <c r="E3670" i="1"/>
  <c r="C3670" i="1"/>
  <c r="G3669" i="1"/>
  <c r="E3669" i="1"/>
  <c r="C3669" i="1"/>
  <c r="G3668" i="1"/>
  <c r="E3668" i="1"/>
  <c r="C3668" i="1"/>
  <c r="G3667" i="1"/>
  <c r="E3667" i="1"/>
  <c r="C3667" i="1"/>
  <c r="G3666" i="1"/>
  <c r="E3666" i="1"/>
  <c r="C3666" i="1"/>
  <c r="G3665" i="1"/>
  <c r="E3665" i="1"/>
  <c r="C3665" i="1"/>
  <c r="G3664" i="1"/>
  <c r="E3664" i="1"/>
  <c r="C3664" i="1"/>
  <c r="G3663" i="1"/>
  <c r="E3663" i="1"/>
  <c r="C3663" i="1"/>
  <c r="G3662" i="1"/>
  <c r="E3662" i="1"/>
  <c r="C3662" i="1"/>
  <c r="G3661" i="1"/>
  <c r="E3661" i="1"/>
  <c r="C3661" i="1"/>
  <c r="G3660" i="1"/>
  <c r="E3660" i="1"/>
  <c r="C3660" i="1"/>
  <c r="G3659" i="1"/>
  <c r="E3659" i="1"/>
  <c r="C3659" i="1"/>
  <c r="G3658" i="1"/>
  <c r="E3658" i="1"/>
  <c r="C3658" i="1"/>
  <c r="G3657" i="1"/>
  <c r="E3657" i="1"/>
  <c r="C3657" i="1"/>
  <c r="G3656" i="1"/>
  <c r="E3656" i="1"/>
  <c r="C3656" i="1"/>
  <c r="G3655" i="1"/>
  <c r="E3655" i="1"/>
  <c r="C3655" i="1"/>
  <c r="G3654" i="1"/>
  <c r="E3654" i="1"/>
  <c r="C3654" i="1"/>
  <c r="G3653" i="1"/>
  <c r="E3653" i="1"/>
  <c r="C3653" i="1"/>
  <c r="G3652" i="1"/>
  <c r="E3652" i="1"/>
  <c r="C3652" i="1"/>
  <c r="G3651" i="1"/>
  <c r="E3651" i="1"/>
  <c r="C3651" i="1"/>
  <c r="G3650" i="1"/>
  <c r="E3650" i="1"/>
  <c r="C3650" i="1"/>
  <c r="G3649" i="1"/>
  <c r="E3649" i="1"/>
  <c r="C3649" i="1"/>
  <c r="G3648" i="1"/>
  <c r="E3648" i="1"/>
  <c r="C3648" i="1"/>
  <c r="G3647" i="1"/>
  <c r="E3647" i="1"/>
  <c r="C3647" i="1"/>
  <c r="G3646" i="1"/>
  <c r="E3646" i="1"/>
  <c r="C3646" i="1"/>
  <c r="G3645" i="1"/>
  <c r="E3645" i="1"/>
  <c r="C3645" i="1"/>
  <c r="G3644" i="1"/>
  <c r="E3644" i="1"/>
  <c r="C3644" i="1"/>
  <c r="G3643" i="1"/>
  <c r="E3643" i="1"/>
  <c r="C3643" i="1"/>
  <c r="G3642" i="1"/>
  <c r="E3642" i="1"/>
  <c r="C3642" i="1"/>
  <c r="G3641" i="1"/>
  <c r="E3641" i="1"/>
  <c r="C3641" i="1"/>
  <c r="G3640" i="1"/>
  <c r="E3640" i="1"/>
  <c r="C3640" i="1"/>
  <c r="G3639" i="1"/>
  <c r="E3639" i="1"/>
  <c r="C3639" i="1"/>
  <c r="G3638" i="1"/>
  <c r="E3638" i="1"/>
  <c r="C3638" i="1"/>
  <c r="G3637" i="1"/>
  <c r="E3637" i="1"/>
  <c r="C3637" i="1"/>
  <c r="G3636" i="1"/>
  <c r="E3636" i="1"/>
  <c r="C3636" i="1"/>
  <c r="G3635" i="1"/>
  <c r="E3635" i="1"/>
  <c r="C3635" i="1"/>
  <c r="G3634" i="1"/>
  <c r="E3634" i="1"/>
  <c r="C3634" i="1"/>
  <c r="G3633" i="1"/>
  <c r="E3633" i="1"/>
  <c r="C3633" i="1"/>
  <c r="G3632" i="1"/>
  <c r="E3632" i="1"/>
  <c r="C3632" i="1"/>
  <c r="G3631" i="1"/>
  <c r="E3631" i="1"/>
  <c r="C3631" i="1"/>
  <c r="G3630" i="1"/>
  <c r="E3630" i="1"/>
  <c r="C3630" i="1"/>
  <c r="G3629" i="1"/>
  <c r="E3629" i="1"/>
  <c r="C3629" i="1"/>
  <c r="G3628" i="1"/>
  <c r="E3628" i="1"/>
  <c r="C3628" i="1"/>
  <c r="G3627" i="1"/>
  <c r="E3627" i="1"/>
  <c r="C3627" i="1"/>
  <c r="G3626" i="1"/>
  <c r="E3626" i="1"/>
  <c r="C3626" i="1"/>
  <c r="G3625" i="1"/>
  <c r="E3625" i="1"/>
  <c r="C3625" i="1"/>
  <c r="G3624" i="1"/>
  <c r="E3624" i="1"/>
  <c r="C3624" i="1"/>
  <c r="G3623" i="1"/>
  <c r="E3623" i="1"/>
  <c r="C3623" i="1"/>
  <c r="G3622" i="1"/>
  <c r="E3622" i="1"/>
  <c r="C3622" i="1"/>
  <c r="G3621" i="1"/>
  <c r="E3621" i="1"/>
  <c r="C3621" i="1"/>
  <c r="G3620" i="1"/>
  <c r="E3620" i="1"/>
  <c r="C3620" i="1"/>
  <c r="G3619" i="1"/>
  <c r="E3619" i="1"/>
  <c r="C3619" i="1"/>
  <c r="G3618" i="1"/>
  <c r="E3618" i="1"/>
  <c r="C3618" i="1"/>
  <c r="G3617" i="1"/>
  <c r="E3617" i="1"/>
  <c r="C3617" i="1"/>
  <c r="G3616" i="1"/>
  <c r="E3616" i="1"/>
  <c r="C3616" i="1"/>
  <c r="G3615" i="1"/>
  <c r="E3615" i="1"/>
  <c r="C3615" i="1"/>
  <c r="G3614" i="1"/>
  <c r="E3614" i="1"/>
  <c r="C3614" i="1"/>
  <c r="G3613" i="1"/>
  <c r="E3613" i="1"/>
  <c r="C3613" i="1"/>
  <c r="G3612" i="1"/>
  <c r="E3612" i="1"/>
  <c r="C3612" i="1"/>
  <c r="G3611" i="1"/>
  <c r="E3611" i="1"/>
  <c r="C3611" i="1"/>
  <c r="G3610" i="1"/>
  <c r="E3610" i="1"/>
  <c r="C3610" i="1"/>
  <c r="G3609" i="1"/>
  <c r="E3609" i="1"/>
  <c r="C3609" i="1"/>
  <c r="G3608" i="1"/>
  <c r="E3608" i="1"/>
  <c r="C3608" i="1"/>
  <c r="G3607" i="1"/>
  <c r="E3607" i="1"/>
  <c r="C3607" i="1"/>
  <c r="G3606" i="1"/>
  <c r="E3606" i="1"/>
  <c r="C3606" i="1"/>
  <c r="G3605" i="1"/>
  <c r="E3605" i="1"/>
  <c r="C3605" i="1"/>
  <c r="G3604" i="1"/>
  <c r="E3604" i="1"/>
  <c r="C3604" i="1"/>
  <c r="G3603" i="1"/>
  <c r="E3603" i="1"/>
  <c r="C3603" i="1"/>
  <c r="G3602" i="1"/>
  <c r="E3602" i="1"/>
  <c r="C3602" i="1"/>
  <c r="G3601" i="1"/>
  <c r="E3601" i="1"/>
  <c r="C3601" i="1"/>
  <c r="G3600" i="1"/>
  <c r="E3600" i="1"/>
  <c r="C3600" i="1"/>
  <c r="G3599" i="1"/>
  <c r="E3599" i="1"/>
  <c r="C3599" i="1"/>
  <c r="G3598" i="1"/>
  <c r="E3598" i="1"/>
  <c r="C3598" i="1"/>
  <c r="G3597" i="1"/>
  <c r="E3597" i="1"/>
  <c r="C3597" i="1"/>
  <c r="G3596" i="1"/>
  <c r="E3596" i="1"/>
  <c r="C3596" i="1"/>
  <c r="G3595" i="1"/>
  <c r="E3595" i="1"/>
  <c r="C3595" i="1"/>
  <c r="G3594" i="1"/>
  <c r="E3594" i="1"/>
  <c r="C3594" i="1"/>
  <c r="G3593" i="1"/>
  <c r="E3593" i="1"/>
  <c r="C3593" i="1"/>
  <c r="G3592" i="1"/>
  <c r="E3592" i="1"/>
  <c r="C3592" i="1"/>
  <c r="G3591" i="1"/>
  <c r="E3591" i="1"/>
  <c r="C3591" i="1"/>
  <c r="G3590" i="1"/>
  <c r="E3590" i="1"/>
  <c r="C3590" i="1"/>
  <c r="G3589" i="1"/>
  <c r="E3589" i="1"/>
  <c r="C3589" i="1"/>
  <c r="G3588" i="1"/>
  <c r="E3588" i="1"/>
  <c r="C3588" i="1"/>
  <c r="G3587" i="1"/>
  <c r="E3587" i="1"/>
  <c r="C3587" i="1"/>
  <c r="G3586" i="1"/>
  <c r="E3586" i="1"/>
  <c r="C3586" i="1"/>
  <c r="G3585" i="1"/>
  <c r="E3585" i="1"/>
  <c r="C3585" i="1"/>
  <c r="G3584" i="1"/>
  <c r="E3584" i="1"/>
  <c r="C3584" i="1"/>
  <c r="G3583" i="1"/>
  <c r="E3583" i="1"/>
  <c r="C3583" i="1"/>
  <c r="G3582" i="1"/>
  <c r="E3582" i="1"/>
  <c r="C3582" i="1"/>
  <c r="G3581" i="1"/>
  <c r="E3581" i="1"/>
  <c r="C3581" i="1"/>
  <c r="G3580" i="1"/>
  <c r="E3580" i="1"/>
  <c r="C3580" i="1"/>
  <c r="G3579" i="1"/>
  <c r="E3579" i="1"/>
  <c r="C3579" i="1"/>
  <c r="G3578" i="1"/>
  <c r="E3578" i="1"/>
  <c r="C3578" i="1"/>
  <c r="G3577" i="1"/>
  <c r="E3577" i="1"/>
  <c r="C3577" i="1"/>
  <c r="G3576" i="1"/>
  <c r="E3576" i="1"/>
  <c r="C3576" i="1"/>
  <c r="G3575" i="1"/>
  <c r="E3575" i="1"/>
  <c r="C3575" i="1"/>
  <c r="G3574" i="1"/>
  <c r="E3574" i="1"/>
  <c r="C3574" i="1"/>
  <c r="G3573" i="1"/>
  <c r="E3573" i="1"/>
  <c r="C3573" i="1"/>
  <c r="G3572" i="1"/>
  <c r="E3572" i="1"/>
  <c r="C3572" i="1"/>
  <c r="G3571" i="1"/>
  <c r="E3571" i="1"/>
  <c r="C3571" i="1"/>
  <c r="G3570" i="1"/>
  <c r="E3570" i="1"/>
  <c r="C3570" i="1"/>
  <c r="G3569" i="1"/>
  <c r="E3569" i="1"/>
  <c r="C3569" i="1"/>
  <c r="G3568" i="1"/>
  <c r="E3568" i="1"/>
  <c r="C3568" i="1"/>
  <c r="G3567" i="1"/>
  <c r="E3567" i="1"/>
  <c r="C3567" i="1"/>
  <c r="G3566" i="1"/>
  <c r="E3566" i="1"/>
  <c r="C3566" i="1"/>
  <c r="G3565" i="1"/>
  <c r="E3565" i="1"/>
  <c r="C3565" i="1"/>
  <c r="G3564" i="1"/>
  <c r="E3564" i="1"/>
  <c r="C3564" i="1"/>
  <c r="G3563" i="1"/>
  <c r="E3563" i="1"/>
  <c r="C3563" i="1"/>
  <c r="G3562" i="1"/>
  <c r="E3562" i="1"/>
  <c r="C3562" i="1"/>
  <c r="G3561" i="1"/>
  <c r="E3561" i="1"/>
  <c r="C3561" i="1"/>
  <c r="G3560" i="1"/>
  <c r="E3560" i="1"/>
  <c r="C3560" i="1"/>
  <c r="G3559" i="1"/>
  <c r="E3559" i="1"/>
  <c r="C3559" i="1"/>
  <c r="G3558" i="1"/>
  <c r="E3558" i="1"/>
  <c r="C3558" i="1"/>
  <c r="G3557" i="1"/>
  <c r="E3557" i="1"/>
  <c r="C3557" i="1"/>
  <c r="G3556" i="1"/>
  <c r="E3556" i="1"/>
  <c r="C3556" i="1"/>
  <c r="G3555" i="1"/>
  <c r="E3555" i="1"/>
  <c r="C3555" i="1"/>
  <c r="G3554" i="1"/>
  <c r="E3554" i="1"/>
  <c r="C3554" i="1"/>
  <c r="G3553" i="1"/>
  <c r="E3553" i="1"/>
  <c r="C3553" i="1"/>
  <c r="G3552" i="1"/>
  <c r="E3552" i="1"/>
  <c r="C3552" i="1"/>
  <c r="G3551" i="1"/>
  <c r="E3551" i="1"/>
  <c r="C3551" i="1"/>
  <c r="G3550" i="1"/>
  <c r="E3550" i="1"/>
  <c r="C3550" i="1"/>
  <c r="G3549" i="1"/>
  <c r="E3549" i="1"/>
  <c r="C3549" i="1"/>
  <c r="G3548" i="1"/>
  <c r="E3548" i="1"/>
  <c r="C3548" i="1"/>
  <c r="G3547" i="1"/>
  <c r="E3547" i="1"/>
  <c r="C3547" i="1"/>
  <c r="G3546" i="1"/>
  <c r="E3546" i="1"/>
  <c r="C3546" i="1"/>
  <c r="G3545" i="1"/>
  <c r="E3545" i="1"/>
  <c r="C3545" i="1"/>
  <c r="G3544" i="1"/>
  <c r="E3544" i="1"/>
  <c r="C3544" i="1"/>
  <c r="G3543" i="1"/>
  <c r="E3543" i="1"/>
  <c r="C3543" i="1"/>
  <c r="G3542" i="1"/>
  <c r="E3542" i="1"/>
  <c r="C3542" i="1"/>
  <c r="G3541" i="1"/>
  <c r="E3541" i="1"/>
  <c r="C3541" i="1"/>
  <c r="G3540" i="1"/>
  <c r="E3540" i="1"/>
  <c r="C3540" i="1"/>
  <c r="G3539" i="1"/>
  <c r="E3539" i="1"/>
  <c r="C3539" i="1"/>
  <c r="G3538" i="1"/>
  <c r="E3538" i="1"/>
  <c r="C3538" i="1"/>
  <c r="G3537" i="1"/>
  <c r="E3537" i="1"/>
  <c r="C3537" i="1"/>
  <c r="G3536" i="1"/>
  <c r="E3536" i="1"/>
  <c r="C3536" i="1"/>
  <c r="G3535" i="1"/>
  <c r="E3535" i="1"/>
  <c r="C3535" i="1"/>
  <c r="G3534" i="1"/>
  <c r="E3534" i="1"/>
  <c r="C3534" i="1"/>
  <c r="G3533" i="1"/>
  <c r="E3533" i="1"/>
  <c r="C3533" i="1"/>
  <c r="G3532" i="1"/>
  <c r="E3532" i="1"/>
  <c r="C3532" i="1"/>
  <c r="G3531" i="1"/>
  <c r="E3531" i="1"/>
  <c r="C3531" i="1"/>
  <c r="G3530" i="1"/>
  <c r="E3530" i="1"/>
  <c r="C3530" i="1"/>
  <c r="G3529" i="1"/>
  <c r="E3529" i="1"/>
  <c r="C3529" i="1"/>
  <c r="G3528" i="1"/>
  <c r="E3528" i="1"/>
  <c r="C3528" i="1"/>
  <c r="G3527" i="1"/>
  <c r="E3527" i="1"/>
  <c r="C3527" i="1"/>
  <c r="G3526" i="1"/>
  <c r="E3526" i="1"/>
  <c r="C3526" i="1"/>
  <c r="G3525" i="1"/>
  <c r="E3525" i="1"/>
  <c r="C3525" i="1"/>
  <c r="G3524" i="1"/>
  <c r="E3524" i="1"/>
  <c r="C3524" i="1"/>
  <c r="G3523" i="1"/>
  <c r="E3523" i="1"/>
  <c r="C3523" i="1"/>
  <c r="G3522" i="1"/>
  <c r="E3522" i="1"/>
  <c r="C3522" i="1"/>
  <c r="G3521" i="1"/>
  <c r="E3521" i="1"/>
  <c r="C3521" i="1"/>
  <c r="G3520" i="1"/>
  <c r="E3520" i="1"/>
  <c r="C3520" i="1"/>
  <c r="G3519" i="1"/>
  <c r="E3519" i="1"/>
  <c r="C3519" i="1"/>
  <c r="G3518" i="1"/>
  <c r="E3518" i="1"/>
  <c r="C3518" i="1"/>
  <c r="G3517" i="1"/>
  <c r="E3517" i="1"/>
  <c r="C3517" i="1"/>
  <c r="G3516" i="1"/>
  <c r="E3516" i="1"/>
  <c r="C3516" i="1"/>
  <c r="G3515" i="1"/>
  <c r="E3515" i="1"/>
  <c r="C3515" i="1"/>
  <c r="G3514" i="1"/>
  <c r="E3514" i="1"/>
  <c r="C3514" i="1"/>
  <c r="G3513" i="1"/>
  <c r="E3513" i="1"/>
  <c r="C3513" i="1"/>
  <c r="G3512" i="1"/>
  <c r="E3512" i="1"/>
  <c r="C3512" i="1"/>
  <c r="G3511" i="1"/>
  <c r="E3511" i="1"/>
  <c r="C3511" i="1"/>
  <c r="G3510" i="1"/>
  <c r="E3510" i="1"/>
  <c r="C3510" i="1"/>
  <c r="G3509" i="1"/>
  <c r="E3509" i="1"/>
  <c r="C3509" i="1"/>
  <c r="G3508" i="1"/>
  <c r="E3508" i="1"/>
  <c r="C3508" i="1"/>
  <c r="G3507" i="1"/>
  <c r="E3507" i="1"/>
  <c r="C3507" i="1"/>
  <c r="G3506" i="1"/>
  <c r="E3506" i="1"/>
  <c r="C3506" i="1"/>
  <c r="G3505" i="1"/>
  <c r="E3505" i="1"/>
  <c r="C3505" i="1"/>
  <c r="G3504" i="1"/>
  <c r="E3504" i="1"/>
  <c r="C3504" i="1"/>
  <c r="G3503" i="1"/>
  <c r="E3503" i="1"/>
  <c r="C3503" i="1"/>
  <c r="G3502" i="1"/>
  <c r="E3502" i="1"/>
  <c r="C3502" i="1"/>
  <c r="G3501" i="1"/>
  <c r="E3501" i="1"/>
  <c r="C3501" i="1"/>
  <c r="G3500" i="1"/>
  <c r="E3500" i="1"/>
  <c r="C3500" i="1"/>
  <c r="G3499" i="1"/>
  <c r="E3499" i="1"/>
  <c r="C3499" i="1"/>
  <c r="G3498" i="1"/>
  <c r="E3498" i="1"/>
  <c r="C3498" i="1"/>
  <c r="G3497" i="1"/>
  <c r="E3497" i="1"/>
  <c r="C3497" i="1"/>
  <c r="G3496" i="1"/>
  <c r="E3496" i="1"/>
  <c r="C3496" i="1"/>
  <c r="G3495" i="1"/>
  <c r="E3495" i="1"/>
  <c r="C3495" i="1"/>
  <c r="G3494" i="1"/>
  <c r="E3494" i="1"/>
  <c r="C3494" i="1"/>
  <c r="G3493" i="1"/>
  <c r="E3493" i="1"/>
  <c r="C3493" i="1"/>
  <c r="G3492" i="1"/>
  <c r="E3492" i="1"/>
  <c r="C3492" i="1"/>
  <c r="G3491" i="1"/>
  <c r="E3491" i="1"/>
  <c r="C3491" i="1"/>
  <c r="G3490" i="1"/>
  <c r="E3490" i="1"/>
  <c r="C3490" i="1"/>
  <c r="G3489" i="1"/>
  <c r="E3489" i="1"/>
  <c r="C3489" i="1"/>
  <c r="G3488" i="1"/>
  <c r="E3488" i="1"/>
  <c r="C3488" i="1"/>
  <c r="G3487" i="1"/>
  <c r="E3487" i="1"/>
  <c r="C3487" i="1"/>
  <c r="G3486" i="1"/>
  <c r="E3486" i="1"/>
  <c r="C3486" i="1"/>
  <c r="G3485" i="1"/>
  <c r="E3485" i="1"/>
  <c r="C3485" i="1"/>
  <c r="G3484" i="1"/>
  <c r="E3484" i="1"/>
  <c r="C3484" i="1"/>
  <c r="G3483" i="1"/>
  <c r="E3483" i="1"/>
  <c r="C3483" i="1"/>
  <c r="G3482" i="1"/>
  <c r="E3482" i="1"/>
  <c r="C3482" i="1"/>
  <c r="G3481" i="1"/>
  <c r="E3481" i="1"/>
  <c r="C3481" i="1"/>
  <c r="G3480" i="1"/>
  <c r="E3480" i="1"/>
  <c r="C3480" i="1"/>
  <c r="G3479" i="1"/>
  <c r="E3479" i="1"/>
  <c r="C3479" i="1"/>
  <c r="G3478" i="1"/>
  <c r="E3478" i="1"/>
  <c r="C3478" i="1"/>
  <c r="G3477" i="1"/>
  <c r="E3477" i="1"/>
  <c r="C3477" i="1"/>
  <c r="G3476" i="1"/>
  <c r="E3476" i="1"/>
  <c r="C3476" i="1"/>
  <c r="G3475" i="1"/>
  <c r="E3475" i="1"/>
  <c r="C3475" i="1"/>
  <c r="G3474" i="1"/>
  <c r="E3474" i="1"/>
  <c r="C3474" i="1"/>
  <c r="G3473" i="1"/>
  <c r="E3473" i="1"/>
  <c r="C3473" i="1"/>
  <c r="G3472" i="1"/>
  <c r="E3472" i="1"/>
  <c r="C3472" i="1"/>
  <c r="G3471" i="1"/>
  <c r="E3471" i="1"/>
  <c r="C3471" i="1"/>
  <c r="G3470" i="1"/>
  <c r="E3470" i="1"/>
  <c r="C3470" i="1"/>
  <c r="G3469" i="1"/>
  <c r="E3469" i="1"/>
  <c r="C3469" i="1"/>
  <c r="G3468" i="1"/>
  <c r="E3468" i="1"/>
  <c r="C3468" i="1"/>
  <c r="G3467" i="1"/>
  <c r="E3467" i="1"/>
  <c r="C3467" i="1"/>
  <c r="G3466" i="1"/>
  <c r="E3466" i="1"/>
  <c r="C3466" i="1"/>
  <c r="G3465" i="1"/>
  <c r="E3465" i="1"/>
  <c r="C3465" i="1"/>
  <c r="G3464" i="1"/>
  <c r="E3464" i="1"/>
  <c r="C3464" i="1"/>
  <c r="G3463" i="1"/>
  <c r="E3463" i="1"/>
  <c r="C3463" i="1"/>
  <c r="G3462" i="1"/>
  <c r="E3462" i="1"/>
  <c r="C3462" i="1"/>
  <c r="G3461" i="1"/>
  <c r="E3461" i="1"/>
  <c r="C3461" i="1"/>
  <c r="G3460" i="1"/>
  <c r="E3460" i="1"/>
  <c r="C3460" i="1"/>
  <c r="G3459" i="1"/>
  <c r="E3459" i="1"/>
  <c r="C3459" i="1"/>
  <c r="G3458" i="1"/>
  <c r="E3458" i="1"/>
  <c r="C3458" i="1"/>
  <c r="G3457" i="1"/>
  <c r="E3457" i="1"/>
  <c r="C3457" i="1"/>
  <c r="G3456" i="1"/>
  <c r="E3456" i="1"/>
  <c r="C3456" i="1"/>
  <c r="G3455" i="1"/>
  <c r="E3455" i="1"/>
  <c r="C3455" i="1"/>
  <c r="G3454" i="1"/>
  <c r="E3454" i="1"/>
  <c r="C3454" i="1"/>
  <c r="G3453" i="1"/>
  <c r="E3453" i="1"/>
  <c r="C3453" i="1"/>
  <c r="G3452" i="1"/>
  <c r="E3452" i="1"/>
  <c r="C3452" i="1"/>
  <c r="G3451" i="1"/>
  <c r="E3451" i="1"/>
  <c r="C3451" i="1"/>
  <c r="G3450" i="1"/>
  <c r="E3450" i="1"/>
  <c r="C3450" i="1"/>
  <c r="G3449" i="1"/>
  <c r="E3449" i="1"/>
  <c r="C3449" i="1"/>
  <c r="G3448" i="1"/>
  <c r="E3448" i="1"/>
  <c r="C3448" i="1"/>
  <c r="G3447" i="1"/>
  <c r="E3447" i="1"/>
  <c r="C3447" i="1"/>
  <c r="G3446" i="1"/>
  <c r="E3446" i="1"/>
  <c r="C3446" i="1"/>
  <c r="G3445" i="1"/>
  <c r="E3445" i="1"/>
  <c r="C3445" i="1"/>
  <c r="G3444" i="1"/>
  <c r="E3444" i="1"/>
  <c r="C3444" i="1"/>
  <c r="G3443" i="1"/>
  <c r="E3443" i="1"/>
  <c r="C3443" i="1"/>
  <c r="G3442" i="1"/>
  <c r="E3442" i="1"/>
  <c r="C3442" i="1"/>
  <c r="G3441" i="1"/>
  <c r="E3441" i="1"/>
  <c r="C3441" i="1"/>
  <c r="G3440" i="1"/>
  <c r="E3440" i="1"/>
  <c r="C3440" i="1"/>
  <c r="G3439" i="1"/>
  <c r="E3439" i="1"/>
  <c r="C3439" i="1"/>
  <c r="G3438" i="1"/>
  <c r="E3438" i="1"/>
  <c r="C3438" i="1"/>
  <c r="G3437" i="1"/>
  <c r="E3437" i="1"/>
  <c r="C3437" i="1"/>
  <c r="G3436" i="1"/>
  <c r="E3436" i="1"/>
  <c r="C3436" i="1"/>
  <c r="G3435" i="1"/>
  <c r="E3435" i="1"/>
  <c r="C3435" i="1"/>
  <c r="G3434" i="1"/>
  <c r="E3434" i="1"/>
  <c r="C3434" i="1"/>
  <c r="G3433" i="1"/>
  <c r="E3433" i="1"/>
  <c r="C3433" i="1"/>
  <c r="G3432" i="1"/>
  <c r="E3432" i="1"/>
  <c r="C3432" i="1"/>
  <c r="G3431" i="1"/>
  <c r="E3431" i="1"/>
  <c r="C3431" i="1"/>
  <c r="G3430" i="1"/>
  <c r="E3430" i="1"/>
  <c r="C3430" i="1"/>
  <c r="G3429" i="1"/>
  <c r="E3429" i="1"/>
  <c r="C3429" i="1"/>
  <c r="G3428" i="1"/>
  <c r="E3428" i="1"/>
  <c r="C3428" i="1"/>
  <c r="G3427" i="1"/>
  <c r="E3427" i="1"/>
  <c r="C3427" i="1"/>
  <c r="G3426" i="1"/>
  <c r="E3426" i="1"/>
  <c r="C3426" i="1"/>
  <c r="G3425" i="1"/>
  <c r="E3425" i="1"/>
  <c r="C3425" i="1"/>
  <c r="G3424" i="1"/>
  <c r="E3424" i="1"/>
  <c r="C3424" i="1"/>
  <c r="G3423" i="1"/>
  <c r="E3423" i="1"/>
  <c r="C3423" i="1"/>
  <c r="G3422" i="1"/>
  <c r="E3422" i="1"/>
  <c r="C3422" i="1"/>
  <c r="G3421" i="1"/>
  <c r="E3421" i="1"/>
  <c r="C3421" i="1"/>
  <c r="G3420" i="1"/>
  <c r="E3420" i="1"/>
  <c r="C3420" i="1"/>
  <c r="G3419" i="1"/>
  <c r="E3419" i="1"/>
  <c r="C3419" i="1"/>
  <c r="G3418" i="1"/>
  <c r="E3418" i="1"/>
  <c r="C3418" i="1"/>
  <c r="G3417" i="1"/>
  <c r="E3417" i="1"/>
  <c r="C3417" i="1"/>
  <c r="G3416" i="1"/>
  <c r="E3416" i="1"/>
  <c r="C3416" i="1"/>
  <c r="G3415" i="1"/>
  <c r="E3415" i="1"/>
  <c r="C3415" i="1"/>
  <c r="G3414" i="1"/>
  <c r="E3414" i="1"/>
  <c r="C3414" i="1"/>
  <c r="G3413" i="1"/>
  <c r="E3413" i="1"/>
  <c r="C3413" i="1"/>
  <c r="G3412" i="1"/>
  <c r="E3412" i="1"/>
  <c r="C3412" i="1"/>
  <c r="G3411" i="1"/>
  <c r="E3411" i="1"/>
  <c r="C3411" i="1"/>
  <c r="G3410" i="1"/>
  <c r="E3410" i="1"/>
  <c r="C3410" i="1"/>
  <c r="G3409" i="1"/>
  <c r="E3409" i="1"/>
  <c r="C3409" i="1"/>
  <c r="G3408" i="1"/>
  <c r="E3408" i="1"/>
  <c r="C3408" i="1"/>
  <c r="G3407" i="1"/>
  <c r="E3407" i="1"/>
  <c r="C3407" i="1"/>
  <c r="G3406" i="1"/>
  <c r="E3406" i="1"/>
  <c r="C3406" i="1"/>
  <c r="G3405" i="1"/>
  <c r="E3405" i="1"/>
  <c r="C3405" i="1"/>
  <c r="G3404" i="1"/>
  <c r="E3404" i="1"/>
  <c r="C3404" i="1"/>
  <c r="G3403" i="1"/>
  <c r="E3403" i="1"/>
  <c r="C3403" i="1"/>
  <c r="G3402" i="1"/>
  <c r="E3402" i="1"/>
  <c r="C3402" i="1"/>
  <c r="G3401" i="1"/>
  <c r="E3401" i="1"/>
  <c r="C3401" i="1"/>
  <c r="G3400" i="1"/>
  <c r="E3400" i="1"/>
  <c r="C3400" i="1"/>
  <c r="G3399" i="1"/>
  <c r="E3399" i="1"/>
  <c r="C3399" i="1"/>
  <c r="G3398" i="1"/>
  <c r="E3398" i="1"/>
  <c r="C3398" i="1"/>
  <c r="G3397" i="1"/>
  <c r="E3397" i="1"/>
  <c r="C3397" i="1"/>
  <c r="G3396" i="1"/>
  <c r="E3396" i="1"/>
  <c r="C3396" i="1"/>
  <c r="G3395" i="1"/>
  <c r="E3395" i="1"/>
  <c r="C3395" i="1"/>
  <c r="G3394" i="1"/>
  <c r="E3394" i="1"/>
  <c r="C3394" i="1"/>
  <c r="G3393" i="1"/>
  <c r="E3393" i="1"/>
  <c r="C3393" i="1"/>
  <c r="G3392" i="1"/>
  <c r="E3392" i="1"/>
  <c r="C3392" i="1"/>
  <c r="G3391" i="1"/>
  <c r="E3391" i="1"/>
  <c r="C3391" i="1"/>
  <c r="G3390" i="1"/>
  <c r="E3390" i="1"/>
  <c r="C3390" i="1"/>
  <c r="G3389" i="1"/>
  <c r="E3389" i="1"/>
  <c r="C3389" i="1"/>
  <c r="G3388" i="1"/>
  <c r="E3388" i="1"/>
  <c r="C3388" i="1"/>
  <c r="G3387" i="1"/>
  <c r="E3387" i="1"/>
  <c r="C3387" i="1"/>
  <c r="G3386" i="1"/>
  <c r="E3386" i="1"/>
  <c r="C3386" i="1"/>
  <c r="G3385" i="1"/>
  <c r="E3385" i="1"/>
  <c r="C3385" i="1"/>
  <c r="G3384" i="1"/>
  <c r="E3384" i="1"/>
  <c r="C3384" i="1"/>
  <c r="G3383" i="1"/>
  <c r="E3383" i="1"/>
  <c r="C3383" i="1"/>
  <c r="G3382" i="1"/>
  <c r="E3382" i="1"/>
  <c r="C3382" i="1"/>
  <c r="G3381" i="1"/>
  <c r="E3381" i="1"/>
  <c r="C3381" i="1"/>
  <c r="G3380" i="1"/>
  <c r="E3380" i="1"/>
  <c r="C3380" i="1"/>
  <c r="G3379" i="1"/>
  <c r="E3379" i="1"/>
  <c r="C3379" i="1"/>
  <c r="G3378" i="1"/>
  <c r="E3378" i="1"/>
  <c r="C3378" i="1"/>
  <c r="G3377" i="1"/>
  <c r="E3377" i="1"/>
  <c r="C3377" i="1"/>
  <c r="G3376" i="1"/>
  <c r="E3376" i="1"/>
  <c r="C3376" i="1"/>
  <c r="G3375" i="1"/>
  <c r="E3375" i="1"/>
  <c r="C3375" i="1"/>
  <c r="G3374" i="1"/>
  <c r="E3374" i="1"/>
  <c r="C3374" i="1"/>
  <c r="G3373" i="1"/>
  <c r="E3373" i="1"/>
  <c r="C3373" i="1"/>
  <c r="G3372" i="1"/>
  <c r="E3372" i="1"/>
  <c r="C3372" i="1"/>
  <c r="G3371" i="1"/>
  <c r="E3371" i="1"/>
  <c r="C3371" i="1"/>
  <c r="G3370" i="1"/>
  <c r="E3370" i="1"/>
  <c r="C3370" i="1"/>
  <c r="G3369" i="1"/>
  <c r="E3369" i="1"/>
  <c r="C3369" i="1"/>
  <c r="G3368" i="1"/>
  <c r="E3368" i="1"/>
  <c r="C3368" i="1"/>
  <c r="G3367" i="1"/>
  <c r="E3367" i="1"/>
  <c r="C3367" i="1"/>
  <c r="G3366" i="1"/>
  <c r="E3366" i="1"/>
  <c r="C3366" i="1"/>
  <c r="G3365" i="1"/>
  <c r="E3365" i="1"/>
  <c r="C3365" i="1"/>
  <c r="G3364" i="1"/>
  <c r="E3364" i="1"/>
  <c r="C3364" i="1"/>
  <c r="G3363" i="1"/>
  <c r="E3363" i="1"/>
  <c r="C3363" i="1"/>
  <c r="G3362" i="1"/>
  <c r="E3362" i="1"/>
  <c r="C3362" i="1"/>
  <c r="G3361" i="1"/>
  <c r="E3361" i="1"/>
  <c r="C3361" i="1"/>
  <c r="G3360" i="1"/>
  <c r="E3360" i="1"/>
  <c r="C3360" i="1"/>
  <c r="G3359" i="1"/>
  <c r="E3359" i="1"/>
  <c r="C3359" i="1"/>
  <c r="G3358" i="1"/>
  <c r="E3358" i="1"/>
  <c r="C3358" i="1"/>
  <c r="G3357" i="1"/>
  <c r="E3357" i="1"/>
  <c r="C3357" i="1"/>
  <c r="G3356" i="1"/>
  <c r="E3356" i="1"/>
  <c r="C3356" i="1"/>
  <c r="G3355" i="1"/>
  <c r="E3355" i="1"/>
  <c r="C3355" i="1"/>
  <c r="G3354" i="1"/>
  <c r="E3354" i="1"/>
  <c r="C3354" i="1"/>
  <c r="G3353" i="1"/>
  <c r="E3353" i="1"/>
  <c r="C3353" i="1"/>
  <c r="G3352" i="1"/>
  <c r="E3352" i="1"/>
  <c r="C3352" i="1"/>
  <c r="G3351" i="1"/>
  <c r="E3351" i="1"/>
  <c r="C3351" i="1"/>
  <c r="G3350" i="1"/>
  <c r="E3350" i="1"/>
  <c r="C3350" i="1"/>
  <c r="G3349" i="1"/>
  <c r="E3349" i="1"/>
  <c r="C3349" i="1"/>
  <c r="G3348" i="1"/>
  <c r="E3348" i="1"/>
  <c r="C3348" i="1"/>
  <c r="G3347" i="1"/>
  <c r="E3347" i="1"/>
  <c r="C3347" i="1"/>
  <c r="G3346" i="1"/>
  <c r="E3346" i="1"/>
  <c r="C3346" i="1"/>
  <c r="G3345" i="1"/>
  <c r="E3345" i="1"/>
  <c r="C3345" i="1"/>
  <c r="G3344" i="1"/>
  <c r="E3344" i="1"/>
  <c r="C3344" i="1"/>
  <c r="G3343" i="1"/>
  <c r="E3343" i="1"/>
  <c r="C3343" i="1"/>
  <c r="G3342" i="1"/>
  <c r="E3342" i="1"/>
  <c r="C3342" i="1"/>
  <c r="G3341" i="1"/>
  <c r="E3341" i="1"/>
  <c r="C3341" i="1"/>
  <c r="G3340" i="1"/>
  <c r="E3340" i="1"/>
  <c r="C3340" i="1"/>
  <c r="G3339" i="1"/>
  <c r="E3339" i="1"/>
  <c r="C3339" i="1"/>
  <c r="G3338" i="1"/>
  <c r="E3338" i="1"/>
  <c r="C3338" i="1"/>
  <c r="G3337" i="1"/>
  <c r="E3337" i="1"/>
  <c r="C3337" i="1"/>
  <c r="G3336" i="1"/>
  <c r="E3336" i="1"/>
  <c r="C3336" i="1"/>
  <c r="G3335" i="1"/>
  <c r="E3335" i="1"/>
  <c r="C3335" i="1"/>
  <c r="G3334" i="1"/>
  <c r="E3334" i="1"/>
  <c r="C3334" i="1"/>
  <c r="G3333" i="1"/>
  <c r="E3333" i="1"/>
  <c r="C3333" i="1"/>
  <c r="G3332" i="1"/>
  <c r="E3332" i="1"/>
  <c r="C3332" i="1"/>
  <c r="G3331" i="1"/>
  <c r="E3331" i="1"/>
  <c r="C3331" i="1"/>
  <c r="G3330" i="1"/>
  <c r="E3330" i="1"/>
  <c r="C3330" i="1"/>
  <c r="G3329" i="1"/>
  <c r="E3329" i="1"/>
  <c r="C3329" i="1"/>
  <c r="G3328" i="1"/>
  <c r="E3328" i="1"/>
  <c r="C3328" i="1"/>
  <c r="G3327" i="1"/>
  <c r="E3327" i="1"/>
  <c r="C3327" i="1"/>
  <c r="G3326" i="1"/>
  <c r="E3326" i="1"/>
  <c r="C3326" i="1"/>
  <c r="G3325" i="1"/>
  <c r="E3325" i="1"/>
  <c r="C3325" i="1"/>
  <c r="G3324" i="1"/>
  <c r="E3324" i="1"/>
  <c r="C3324" i="1"/>
  <c r="G3323" i="1"/>
  <c r="E3323" i="1"/>
  <c r="C3323" i="1"/>
  <c r="G3322" i="1"/>
  <c r="E3322" i="1"/>
  <c r="C3322" i="1"/>
  <c r="G3321" i="1"/>
  <c r="E3321" i="1"/>
  <c r="C3321" i="1"/>
  <c r="G3320" i="1"/>
  <c r="E3320" i="1"/>
  <c r="C3320" i="1"/>
  <c r="G3319" i="1"/>
  <c r="E3319" i="1"/>
  <c r="C3319" i="1"/>
  <c r="G3318" i="1"/>
  <c r="E3318" i="1"/>
  <c r="C3318" i="1"/>
  <c r="G3317" i="1"/>
  <c r="E3317" i="1"/>
  <c r="C3317" i="1"/>
  <c r="G3316" i="1"/>
  <c r="E3316" i="1"/>
  <c r="C3316" i="1"/>
  <c r="G3315" i="1"/>
  <c r="E3315" i="1"/>
  <c r="C3315" i="1"/>
  <c r="G3314" i="1"/>
  <c r="E3314" i="1"/>
  <c r="C3314" i="1"/>
  <c r="G3313" i="1"/>
  <c r="E3313" i="1"/>
  <c r="C3313" i="1"/>
  <c r="G3312" i="1"/>
  <c r="E3312" i="1"/>
  <c r="C3312" i="1"/>
  <c r="G3311" i="1"/>
  <c r="E3311" i="1"/>
  <c r="C3311" i="1"/>
  <c r="G3310" i="1"/>
  <c r="E3310" i="1"/>
  <c r="C3310" i="1"/>
  <c r="G3309" i="1"/>
  <c r="E3309" i="1"/>
  <c r="C3309" i="1"/>
  <c r="G3308" i="1"/>
  <c r="E3308" i="1"/>
  <c r="C3308" i="1"/>
  <c r="G3307" i="1"/>
  <c r="E3307" i="1"/>
  <c r="C3307" i="1"/>
  <c r="G3306" i="1"/>
  <c r="E3306" i="1"/>
  <c r="C3306" i="1"/>
  <c r="G3305" i="1"/>
  <c r="E3305" i="1"/>
  <c r="C3305" i="1"/>
  <c r="G3304" i="1"/>
  <c r="E3304" i="1"/>
  <c r="C3304" i="1"/>
  <c r="G3303" i="1"/>
  <c r="E3303" i="1"/>
  <c r="C3303" i="1"/>
  <c r="G3302" i="1"/>
  <c r="E3302" i="1"/>
  <c r="C3302" i="1"/>
  <c r="G3301" i="1"/>
  <c r="E3301" i="1"/>
  <c r="C3301" i="1"/>
  <c r="G3300" i="1"/>
  <c r="E3300" i="1"/>
  <c r="C3300" i="1"/>
  <c r="G3299" i="1"/>
  <c r="E3299" i="1"/>
  <c r="C3299" i="1"/>
  <c r="G3298" i="1"/>
  <c r="E3298" i="1"/>
  <c r="C3298" i="1"/>
  <c r="G3297" i="1"/>
  <c r="E3297" i="1"/>
  <c r="C3297" i="1"/>
  <c r="G3296" i="1"/>
  <c r="E3296" i="1"/>
  <c r="C3296" i="1"/>
  <c r="G3295" i="1"/>
  <c r="E3295" i="1"/>
  <c r="C3295" i="1"/>
  <c r="G3294" i="1"/>
  <c r="E3294" i="1"/>
  <c r="C3294" i="1"/>
  <c r="G3293" i="1"/>
  <c r="E3293" i="1"/>
  <c r="C3293" i="1"/>
  <c r="G3292" i="1"/>
  <c r="E3292" i="1"/>
  <c r="C3292" i="1"/>
  <c r="G3291" i="1"/>
  <c r="E3291" i="1"/>
  <c r="C3291" i="1"/>
  <c r="G3290" i="1"/>
  <c r="E3290" i="1"/>
  <c r="C3290" i="1"/>
  <c r="G3289" i="1"/>
  <c r="E3289" i="1"/>
  <c r="C3289" i="1"/>
  <c r="G3288" i="1"/>
  <c r="E3288" i="1"/>
  <c r="C3288" i="1"/>
  <c r="G3287" i="1"/>
  <c r="E3287" i="1"/>
  <c r="C3287" i="1"/>
  <c r="G3286" i="1"/>
  <c r="E3286" i="1"/>
  <c r="C3286" i="1"/>
  <c r="G3285" i="1"/>
  <c r="E3285" i="1"/>
  <c r="C3285" i="1"/>
  <c r="G3284" i="1"/>
  <c r="E3284" i="1"/>
  <c r="C3284" i="1"/>
  <c r="G3283" i="1"/>
  <c r="E3283" i="1"/>
  <c r="C3283" i="1"/>
  <c r="G3282" i="1"/>
  <c r="E3282" i="1"/>
  <c r="C3282" i="1"/>
  <c r="G3281" i="1"/>
  <c r="E3281" i="1"/>
  <c r="C3281" i="1"/>
  <c r="G3280" i="1"/>
  <c r="E3280" i="1"/>
  <c r="C3280" i="1"/>
  <c r="G3279" i="1"/>
  <c r="E3279" i="1"/>
  <c r="C3279" i="1"/>
  <c r="G3278" i="1"/>
  <c r="E3278" i="1"/>
  <c r="C3278" i="1"/>
  <c r="G3277" i="1"/>
  <c r="E3277" i="1"/>
  <c r="C3277" i="1"/>
  <c r="G3276" i="1"/>
  <c r="E3276" i="1"/>
  <c r="C3276" i="1"/>
  <c r="G3275" i="1"/>
  <c r="E3275" i="1"/>
  <c r="C3275" i="1"/>
  <c r="G3274" i="1"/>
  <c r="E3274" i="1"/>
  <c r="C3274" i="1"/>
  <c r="G3273" i="1"/>
  <c r="E3273" i="1"/>
  <c r="C3273" i="1"/>
  <c r="G3272" i="1"/>
  <c r="E3272" i="1"/>
  <c r="C3272" i="1"/>
  <c r="G3271" i="1"/>
  <c r="E3271" i="1"/>
  <c r="C3271" i="1"/>
  <c r="G3270" i="1"/>
  <c r="E3270" i="1"/>
  <c r="C3270" i="1"/>
  <c r="G3269" i="1"/>
  <c r="E3269" i="1"/>
  <c r="C3269" i="1"/>
  <c r="G3268" i="1"/>
  <c r="E3268" i="1"/>
  <c r="C3268" i="1"/>
  <c r="G3267" i="1"/>
  <c r="E3267" i="1"/>
  <c r="C3267" i="1"/>
  <c r="G3266" i="1"/>
  <c r="E3266" i="1"/>
  <c r="C3266" i="1"/>
  <c r="G3265" i="1"/>
  <c r="E3265" i="1"/>
  <c r="C3265" i="1"/>
  <c r="G3264" i="1"/>
  <c r="E3264" i="1"/>
  <c r="C3264" i="1"/>
  <c r="G3263" i="1"/>
  <c r="E3263" i="1"/>
  <c r="C3263" i="1"/>
  <c r="G3262" i="1"/>
  <c r="E3262" i="1"/>
  <c r="C3262" i="1"/>
  <c r="G3261" i="1"/>
  <c r="E3261" i="1"/>
  <c r="C3261" i="1"/>
  <c r="G3260" i="1"/>
  <c r="E3260" i="1"/>
  <c r="C3260" i="1"/>
  <c r="G3259" i="1"/>
  <c r="E3259" i="1"/>
  <c r="C3259" i="1"/>
  <c r="G3258" i="1"/>
  <c r="E3258" i="1"/>
  <c r="C3258" i="1"/>
  <c r="G3257" i="1"/>
  <c r="E3257" i="1"/>
  <c r="C3257" i="1"/>
  <c r="G3256" i="1"/>
  <c r="E3256" i="1"/>
  <c r="C3256" i="1"/>
  <c r="G3255" i="1"/>
  <c r="E3255" i="1"/>
  <c r="C3255" i="1"/>
  <c r="G3254" i="1"/>
  <c r="E3254" i="1"/>
  <c r="C3254" i="1"/>
  <c r="G3253" i="1"/>
  <c r="E3253" i="1"/>
  <c r="C3253" i="1"/>
  <c r="G3252" i="1"/>
  <c r="E3252" i="1"/>
  <c r="C3252" i="1"/>
  <c r="G3251" i="1"/>
  <c r="E3251" i="1"/>
  <c r="C3251" i="1"/>
  <c r="G3250" i="1"/>
  <c r="E3250" i="1"/>
  <c r="C3250" i="1"/>
  <c r="G3249" i="1"/>
  <c r="E3249" i="1"/>
  <c r="C3249" i="1"/>
  <c r="G3248" i="1"/>
  <c r="E3248" i="1"/>
  <c r="C3248" i="1"/>
  <c r="G3247" i="1"/>
  <c r="E3247" i="1"/>
  <c r="C3247" i="1"/>
  <c r="G3246" i="1"/>
  <c r="E3246" i="1"/>
  <c r="C3246" i="1"/>
  <c r="G3245" i="1"/>
  <c r="E3245" i="1"/>
  <c r="C3245" i="1"/>
  <c r="G3244" i="1"/>
  <c r="E3244" i="1"/>
  <c r="C3244" i="1"/>
  <c r="G3243" i="1"/>
  <c r="E3243" i="1"/>
  <c r="C3243" i="1"/>
  <c r="G3242" i="1"/>
  <c r="E3242" i="1"/>
  <c r="C3242" i="1"/>
  <c r="G3241" i="1"/>
  <c r="E3241" i="1"/>
  <c r="C3241" i="1"/>
  <c r="G3240" i="1"/>
  <c r="E3240" i="1"/>
  <c r="C3240" i="1"/>
  <c r="G3239" i="1"/>
  <c r="E3239" i="1"/>
  <c r="C3239" i="1"/>
  <c r="G3238" i="1"/>
  <c r="E3238" i="1"/>
  <c r="C3238" i="1"/>
  <c r="G3237" i="1"/>
  <c r="E3237" i="1"/>
  <c r="C3237" i="1"/>
  <c r="G3236" i="1"/>
  <c r="E3236" i="1"/>
  <c r="C3236" i="1"/>
  <c r="G3235" i="1"/>
  <c r="E3235" i="1"/>
  <c r="C3235" i="1"/>
  <c r="G3234" i="1"/>
  <c r="E3234" i="1"/>
  <c r="C3234" i="1"/>
  <c r="G3233" i="1"/>
  <c r="E3233" i="1"/>
  <c r="C3233" i="1"/>
  <c r="G3232" i="1"/>
  <c r="E3232" i="1"/>
  <c r="C3232" i="1"/>
  <c r="G3231" i="1"/>
  <c r="E3231" i="1"/>
  <c r="C3231" i="1"/>
  <c r="G3230" i="1"/>
  <c r="E3230" i="1"/>
  <c r="C3230" i="1"/>
  <c r="G3229" i="1"/>
  <c r="E3229" i="1"/>
  <c r="C3229" i="1"/>
  <c r="G3228" i="1"/>
  <c r="E3228" i="1"/>
  <c r="C3228" i="1"/>
  <c r="G3227" i="1"/>
  <c r="E3227" i="1"/>
  <c r="C3227" i="1"/>
  <c r="G3226" i="1"/>
  <c r="E3226" i="1"/>
  <c r="C3226" i="1"/>
  <c r="G3225" i="1"/>
  <c r="E3225" i="1"/>
  <c r="C3225" i="1"/>
  <c r="G3224" i="1"/>
  <c r="E3224" i="1"/>
  <c r="C3224" i="1"/>
  <c r="G3223" i="1"/>
  <c r="E3223" i="1"/>
  <c r="C3223" i="1"/>
  <c r="G3222" i="1"/>
  <c r="E3222" i="1"/>
  <c r="C3222" i="1"/>
  <c r="G3221" i="1"/>
  <c r="E3221" i="1"/>
  <c r="C3221" i="1"/>
  <c r="G3220" i="1"/>
  <c r="E3220" i="1"/>
  <c r="C3220" i="1"/>
  <c r="G3219" i="1"/>
  <c r="E3219" i="1"/>
  <c r="C3219" i="1"/>
  <c r="G3218" i="1"/>
  <c r="E3218" i="1"/>
  <c r="C3218" i="1"/>
  <c r="G3217" i="1"/>
  <c r="E3217" i="1"/>
  <c r="C3217" i="1"/>
  <c r="G3216" i="1"/>
  <c r="E3216" i="1"/>
  <c r="C3216" i="1"/>
  <c r="G3215" i="1"/>
  <c r="E3215" i="1"/>
  <c r="C3215" i="1"/>
  <c r="G3214" i="1"/>
  <c r="E3214" i="1"/>
  <c r="C3214" i="1"/>
  <c r="G3213" i="1"/>
  <c r="E3213" i="1"/>
  <c r="C3213" i="1"/>
  <c r="G3212" i="1"/>
  <c r="E3212" i="1"/>
  <c r="C3212" i="1"/>
  <c r="G3211" i="1"/>
  <c r="E3211" i="1"/>
  <c r="C3211" i="1"/>
  <c r="G3210" i="1"/>
  <c r="E3210" i="1"/>
  <c r="C3210" i="1"/>
  <c r="G3209" i="1"/>
  <c r="E3209" i="1"/>
  <c r="C3209" i="1"/>
  <c r="G3208" i="1"/>
  <c r="E3208" i="1"/>
  <c r="C3208" i="1"/>
  <c r="G3207" i="1"/>
  <c r="E3207" i="1"/>
  <c r="C3207" i="1"/>
  <c r="G3206" i="1"/>
  <c r="E3206" i="1"/>
  <c r="C3206" i="1"/>
  <c r="G3205" i="1"/>
  <c r="E3205" i="1"/>
  <c r="C3205" i="1"/>
  <c r="G3204" i="1"/>
  <c r="E3204" i="1"/>
  <c r="C3204" i="1"/>
  <c r="G3203" i="1"/>
  <c r="E3203" i="1"/>
  <c r="C3203" i="1"/>
  <c r="G3202" i="1"/>
  <c r="E3202" i="1"/>
  <c r="C3202" i="1"/>
  <c r="G3201" i="1"/>
  <c r="E3201" i="1"/>
  <c r="C3201" i="1"/>
  <c r="G3200" i="1"/>
  <c r="E3200" i="1"/>
  <c r="C3200" i="1"/>
  <c r="G3199" i="1"/>
  <c r="E3199" i="1"/>
  <c r="C3199" i="1"/>
  <c r="G3198" i="1"/>
  <c r="E3198" i="1"/>
  <c r="C3198" i="1"/>
  <c r="G3197" i="1"/>
  <c r="E3197" i="1"/>
  <c r="C3197" i="1"/>
  <c r="G3196" i="1"/>
  <c r="E3196" i="1"/>
  <c r="C3196" i="1"/>
  <c r="G3195" i="1"/>
  <c r="E3195" i="1"/>
  <c r="C3195" i="1"/>
  <c r="G3194" i="1"/>
  <c r="E3194" i="1"/>
  <c r="C3194" i="1"/>
  <c r="G3193" i="1"/>
  <c r="E3193" i="1"/>
  <c r="C3193" i="1"/>
  <c r="G3192" i="1"/>
  <c r="E3192" i="1"/>
  <c r="C3192" i="1"/>
  <c r="G3191" i="1"/>
  <c r="E3191" i="1"/>
  <c r="C3191" i="1"/>
  <c r="G3190" i="1"/>
  <c r="E3190" i="1"/>
  <c r="C3190" i="1"/>
  <c r="G3189" i="1"/>
  <c r="E3189" i="1"/>
  <c r="C3189" i="1"/>
  <c r="G3188" i="1"/>
  <c r="E3188" i="1"/>
  <c r="C3188" i="1"/>
  <c r="G3187" i="1"/>
  <c r="E3187" i="1"/>
  <c r="C3187" i="1"/>
  <c r="G3186" i="1"/>
  <c r="E3186" i="1"/>
  <c r="C3186" i="1"/>
  <c r="G3185" i="1"/>
  <c r="E3185" i="1"/>
  <c r="C3185" i="1"/>
  <c r="G3184" i="1"/>
  <c r="E3184" i="1"/>
  <c r="C3184" i="1"/>
  <c r="G3183" i="1"/>
  <c r="E3183" i="1"/>
  <c r="C3183" i="1"/>
  <c r="G3182" i="1"/>
  <c r="E3182" i="1"/>
  <c r="C3182" i="1"/>
  <c r="G3181" i="1"/>
  <c r="E3181" i="1"/>
  <c r="C3181" i="1"/>
  <c r="G3180" i="1"/>
  <c r="E3180" i="1"/>
  <c r="C3180" i="1"/>
  <c r="G3179" i="1"/>
  <c r="E3179" i="1"/>
  <c r="C3179" i="1"/>
  <c r="G3178" i="1"/>
  <c r="E3178" i="1"/>
  <c r="C3178" i="1"/>
  <c r="G3177" i="1"/>
  <c r="E3177" i="1"/>
  <c r="C3177" i="1"/>
  <c r="G3176" i="1"/>
  <c r="E3176" i="1"/>
  <c r="C3176" i="1"/>
  <c r="G3175" i="1"/>
  <c r="E3175" i="1"/>
  <c r="C3175" i="1"/>
  <c r="G3174" i="1"/>
  <c r="E3174" i="1"/>
  <c r="C3174" i="1"/>
  <c r="G3173" i="1"/>
  <c r="E3173" i="1"/>
  <c r="C3173" i="1"/>
  <c r="G3172" i="1"/>
  <c r="E3172" i="1"/>
  <c r="C3172" i="1"/>
  <c r="G3171" i="1"/>
  <c r="E3171" i="1"/>
  <c r="C3171" i="1"/>
  <c r="G3170" i="1"/>
  <c r="E3170" i="1"/>
  <c r="C3170" i="1"/>
  <c r="G3169" i="1"/>
  <c r="E3169" i="1"/>
  <c r="C3169" i="1"/>
  <c r="G3168" i="1"/>
  <c r="E3168" i="1"/>
  <c r="C3168" i="1"/>
  <c r="G3167" i="1"/>
  <c r="E3167" i="1"/>
  <c r="C3167" i="1"/>
  <c r="G3166" i="1"/>
  <c r="E3166" i="1"/>
  <c r="C3166" i="1"/>
  <c r="G3165" i="1"/>
  <c r="E3165" i="1"/>
  <c r="C3165" i="1"/>
  <c r="G3164" i="1"/>
  <c r="E3164" i="1"/>
  <c r="C3164" i="1"/>
  <c r="G3163" i="1"/>
  <c r="E3163" i="1"/>
  <c r="C3163" i="1"/>
  <c r="G3162" i="1"/>
  <c r="E3162" i="1"/>
  <c r="C3162" i="1"/>
  <c r="G3161" i="1"/>
  <c r="E3161" i="1"/>
  <c r="C3161" i="1"/>
  <c r="G3160" i="1"/>
  <c r="E3160" i="1"/>
  <c r="C3160" i="1"/>
  <c r="G3159" i="1"/>
  <c r="E3159" i="1"/>
  <c r="C3159" i="1"/>
  <c r="G3158" i="1"/>
  <c r="E3158" i="1"/>
  <c r="C3158" i="1"/>
  <c r="G3157" i="1"/>
  <c r="E3157" i="1"/>
  <c r="C3157" i="1"/>
  <c r="G3156" i="1"/>
  <c r="E3156" i="1"/>
  <c r="C3156" i="1"/>
  <c r="G3155" i="1"/>
  <c r="E3155" i="1"/>
  <c r="C3155" i="1"/>
  <c r="G3154" i="1"/>
  <c r="E3154" i="1"/>
  <c r="C3154" i="1"/>
  <c r="G3153" i="1"/>
  <c r="E3153" i="1"/>
  <c r="C3153" i="1"/>
  <c r="G3152" i="1"/>
  <c r="E3152" i="1"/>
  <c r="C3152" i="1"/>
  <c r="G3151" i="1"/>
  <c r="E3151" i="1"/>
  <c r="C3151" i="1"/>
  <c r="G3150" i="1"/>
  <c r="E3150" i="1"/>
  <c r="C3150" i="1"/>
  <c r="G3149" i="1"/>
  <c r="E3149" i="1"/>
  <c r="C3149" i="1"/>
  <c r="G3148" i="1"/>
  <c r="E3148" i="1"/>
  <c r="C3148" i="1"/>
  <c r="G3147" i="1"/>
  <c r="E3147" i="1"/>
  <c r="C3147" i="1"/>
  <c r="G3146" i="1"/>
  <c r="E3146" i="1"/>
  <c r="C3146" i="1"/>
  <c r="G3145" i="1"/>
  <c r="E3145" i="1"/>
  <c r="C3145" i="1"/>
  <c r="G3144" i="1"/>
  <c r="E3144" i="1"/>
  <c r="C3144" i="1"/>
  <c r="G3143" i="1"/>
  <c r="E3143" i="1"/>
  <c r="C3143" i="1"/>
  <c r="G3142" i="1"/>
  <c r="E3142" i="1"/>
  <c r="C3142" i="1"/>
  <c r="G3141" i="1"/>
  <c r="E3141" i="1"/>
  <c r="C3141" i="1"/>
  <c r="G3140" i="1"/>
  <c r="E3140" i="1"/>
  <c r="C3140" i="1"/>
  <c r="G3139" i="1"/>
  <c r="E3139" i="1"/>
  <c r="C3139" i="1"/>
  <c r="G3138" i="1"/>
  <c r="E3138" i="1"/>
  <c r="C3138" i="1"/>
  <c r="G3137" i="1"/>
  <c r="E3137" i="1"/>
  <c r="C3137" i="1"/>
  <c r="G3136" i="1"/>
  <c r="E3136" i="1"/>
  <c r="C3136" i="1"/>
  <c r="G3135" i="1"/>
  <c r="E3135" i="1"/>
  <c r="C3135" i="1"/>
  <c r="G3134" i="1"/>
  <c r="E3134" i="1"/>
  <c r="C3134" i="1"/>
  <c r="G3133" i="1"/>
  <c r="E3133" i="1"/>
  <c r="C3133" i="1"/>
  <c r="G3132" i="1"/>
  <c r="E3132" i="1"/>
  <c r="C3132" i="1"/>
  <c r="G3131" i="1"/>
  <c r="E3131" i="1"/>
  <c r="C3131" i="1"/>
  <c r="G3130" i="1"/>
  <c r="E3130" i="1"/>
  <c r="C3130" i="1"/>
  <c r="G3129" i="1"/>
  <c r="E3129" i="1"/>
  <c r="C3129" i="1"/>
  <c r="G3128" i="1"/>
  <c r="E3128" i="1"/>
  <c r="C3128" i="1"/>
  <c r="G3127" i="1"/>
  <c r="E3127" i="1"/>
  <c r="C3127" i="1"/>
  <c r="G3126" i="1"/>
  <c r="E3126" i="1"/>
  <c r="C3126" i="1"/>
  <c r="G3125" i="1"/>
  <c r="E3125" i="1"/>
  <c r="C3125" i="1"/>
  <c r="G3124" i="1"/>
  <c r="E3124" i="1"/>
  <c r="C3124" i="1"/>
  <c r="G3123" i="1"/>
  <c r="E3123" i="1"/>
  <c r="C3123" i="1"/>
  <c r="G3122" i="1"/>
  <c r="E3122" i="1"/>
  <c r="C3122" i="1"/>
  <c r="G3121" i="1"/>
  <c r="E3121" i="1"/>
  <c r="C3121" i="1"/>
  <c r="G3120" i="1"/>
  <c r="E3120" i="1"/>
  <c r="C3120" i="1"/>
  <c r="G3119" i="1"/>
  <c r="E3119" i="1"/>
  <c r="C3119" i="1"/>
  <c r="G3118" i="1"/>
  <c r="E3118" i="1"/>
  <c r="C3118" i="1"/>
  <c r="G3117" i="1"/>
  <c r="E3117" i="1"/>
  <c r="C3117" i="1"/>
  <c r="G3116" i="1"/>
  <c r="E3116" i="1"/>
  <c r="C3116" i="1"/>
  <c r="G3115" i="1"/>
  <c r="E3115" i="1"/>
  <c r="C3115" i="1"/>
  <c r="G3114" i="1"/>
  <c r="E3114" i="1"/>
  <c r="C3114" i="1"/>
  <c r="G3113" i="1"/>
  <c r="E3113" i="1"/>
  <c r="C3113" i="1"/>
  <c r="G3112" i="1"/>
  <c r="E3112" i="1"/>
  <c r="C3112" i="1"/>
  <c r="G3111" i="1"/>
  <c r="E3111" i="1"/>
  <c r="C3111" i="1"/>
  <c r="G3110" i="1"/>
  <c r="E3110" i="1"/>
  <c r="C3110" i="1"/>
  <c r="G3109" i="1"/>
  <c r="E3109" i="1"/>
  <c r="C3109" i="1"/>
  <c r="G3108" i="1"/>
  <c r="E3108" i="1"/>
  <c r="C3108" i="1"/>
  <c r="G3107" i="1"/>
  <c r="E3107" i="1"/>
  <c r="C3107" i="1"/>
  <c r="G3106" i="1"/>
  <c r="E3106" i="1"/>
  <c r="C3106" i="1"/>
  <c r="G3105" i="1"/>
  <c r="E3105" i="1"/>
  <c r="C3105" i="1"/>
  <c r="G3104" i="1"/>
  <c r="E3104" i="1"/>
  <c r="C3104" i="1"/>
  <c r="G3103" i="1"/>
  <c r="E3103" i="1"/>
  <c r="C3103" i="1"/>
  <c r="G3102" i="1"/>
  <c r="E3102" i="1"/>
  <c r="C3102" i="1"/>
  <c r="G3101" i="1"/>
  <c r="E3101" i="1"/>
  <c r="C3101" i="1"/>
  <c r="G3100" i="1"/>
  <c r="E3100" i="1"/>
  <c r="C3100" i="1"/>
  <c r="G3099" i="1"/>
  <c r="E3099" i="1"/>
  <c r="C3099" i="1"/>
  <c r="G3098" i="1"/>
  <c r="E3098" i="1"/>
  <c r="C3098" i="1"/>
  <c r="G3097" i="1"/>
  <c r="E3097" i="1"/>
  <c r="C3097" i="1"/>
  <c r="G3096" i="1"/>
  <c r="E3096" i="1"/>
  <c r="C3096" i="1"/>
  <c r="G3095" i="1"/>
  <c r="E3095" i="1"/>
  <c r="C3095" i="1"/>
  <c r="G3094" i="1"/>
  <c r="E3094" i="1"/>
  <c r="C3094" i="1"/>
  <c r="G3093" i="1"/>
  <c r="E3093" i="1"/>
  <c r="C3093" i="1"/>
  <c r="G3092" i="1"/>
  <c r="E3092" i="1"/>
  <c r="C3092" i="1"/>
  <c r="G3091" i="1"/>
  <c r="E3091" i="1"/>
  <c r="C3091" i="1"/>
  <c r="G3090" i="1"/>
  <c r="E3090" i="1"/>
  <c r="C3090" i="1"/>
  <c r="G3089" i="1"/>
  <c r="E3089" i="1"/>
  <c r="C3089" i="1"/>
  <c r="G3088" i="1"/>
  <c r="E3088" i="1"/>
  <c r="C3088" i="1"/>
  <c r="G3087" i="1"/>
  <c r="E3087" i="1"/>
  <c r="C3087" i="1"/>
  <c r="G3086" i="1"/>
  <c r="E3086" i="1"/>
  <c r="C3086" i="1"/>
  <c r="G3085" i="1"/>
  <c r="E3085" i="1"/>
  <c r="C3085" i="1"/>
  <c r="G3084" i="1"/>
  <c r="E3084" i="1"/>
  <c r="C3084" i="1"/>
  <c r="G3083" i="1"/>
  <c r="E3083" i="1"/>
  <c r="C3083" i="1"/>
  <c r="G3082" i="1"/>
  <c r="E3082" i="1"/>
  <c r="C3082" i="1"/>
  <c r="G3081" i="1"/>
  <c r="E3081" i="1"/>
  <c r="C3081" i="1"/>
  <c r="G3080" i="1"/>
  <c r="E3080" i="1"/>
  <c r="C3080" i="1"/>
  <c r="G3079" i="1"/>
  <c r="E3079" i="1"/>
  <c r="C3079" i="1"/>
  <c r="G3078" i="1"/>
  <c r="E3078" i="1"/>
  <c r="C3078" i="1"/>
  <c r="G3077" i="1"/>
  <c r="E3077" i="1"/>
  <c r="C3077" i="1"/>
  <c r="G3076" i="1"/>
  <c r="E3076" i="1"/>
  <c r="C3076" i="1"/>
  <c r="G3075" i="1"/>
  <c r="E3075" i="1"/>
  <c r="C3075" i="1"/>
  <c r="G3074" i="1"/>
  <c r="E3074" i="1"/>
  <c r="C3074" i="1"/>
  <c r="G3073" i="1"/>
  <c r="E3073" i="1"/>
  <c r="C3073" i="1"/>
  <c r="G3072" i="1"/>
  <c r="E3072" i="1"/>
  <c r="C3072" i="1"/>
  <c r="G3071" i="1"/>
  <c r="E3071" i="1"/>
  <c r="C3071" i="1"/>
  <c r="G3070" i="1"/>
  <c r="E3070" i="1"/>
  <c r="C3070" i="1"/>
  <c r="G3069" i="1"/>
  <c r="E3069" i="1"/>
  <c r="C3069" i="1"/>
  <c r="G3068" i="1"/>
  <c r="E3068" i="1"/>
  <c r="C3068" i="1"/>
  <c r="G3067" i="1"/>
  <c r="E3067" i="1"/>
  <c r="C3067" i="1"/>
  <c r="G3066" i="1"/>
  <c r="E3066" i="1"/>
  <c r="C3066" i="1"/>
  <c r="G3065" i="1"/>
  <c r="E3065" i="1"/>
  <c r="C3065" i="1"/>
  <c r="G3064" i="1"/>
  <c r="E3064" i="1"/>
  <c r="C3064" i="1"/>
  <c r="G3063" i="1"/>
  <c r="E3063" i="1"/>
  <c r="C3063" i="1"/>
  <c r="G3062" i="1"/>
  <c r="E3062" i="1"/>
  <c r="C3062" i="1"/>
  <c r="G3061" i="1"/>
  <c r="E3061" i="1"/>
  <c r="C3061" i="1"/>
  <c r="G3060" i="1"/>
  <c r="E3060" i="1"/>
  <c r="C3060" i="1"/>
  <c r="G3059" i="1"/>
  <c r="E3059" i="1"/>
  <c r="C3059" i="1"/>
  <c r="G3058" i="1"/>
  <c r="E3058" i="1"/>
  <c r="C3058" i="1"/>
  <c r="G3057" i="1"/>
  <c r="E3057" i="1"/>
  <c r="C3057" i="1"/>
  <c r="G3056" i="1"/>
  <c r="E3056" i="1"/>
  <c r="C3056" i="1"/>
  <c r="G3055" i="1"/>
  <c r="E3055" i="1"/>
  <c r="C3055" i="1"/>
  <c r="G3054" i="1"/>
  <c r="E3054" i="1"/>
  <c r="C3054" i="1"/>
  <c r="G3053" i="1"/>
  <c r="E3053" i="1"/>
  <c r="C3053" i="1"/>
  <c r="G3052" i="1"/>
  <c r="E3052" i="1"/>
  <c r="C3052" i="1"/>
  <c r="G3051" i="1"/>
  <c r="E3051" i="1"/>
  <c r="C3051" i="1"/>
  <c r="G3050" i="1"/>
  <c r="E3050" i="1"/>
  <c r="C3050" i="1"/>
  <c r="G3049" i="1"/>
  <c r="E3049" i="1"/>
  <c r="C3049" i="1"/>
  <c r="G3048" i="1"/>
  <c r="E3048" i="1"/>
  <c r="C3048" i="1"/>
  <c r="G3047" i="1"/>
  <c r="E3047" i="1"/>
  <c r="C3047" i="1"/>
  <c r="G3046" i="1"/>
  <c r="E3046" i="1"/>
  <c r="C3046" i="1"/>
  <c r="G3045" i="1"/>
  <c r="E3045" i="1"/>
  <c r="C3045" i="1"/>
  <c r="G3044" i="1"/>
  <c r="E3044" i="1"/>
  <c r="C3044" i="1"/>
  <c r="G3043" i="1"/>
  <c r="E3043" i="1"/>
  <c r="C3043" i="1"/>
  <c r="G3042" i="1"/>
  <c r="E3042" i="1"/>
  <c r="C3042" i="1"/>
  <c r="G3041" i="1"/>
  <c r="E3041" i="1"/>
  <c r="C3041" i="1"/>
  <c r="G3040" i="1"/>
  <c r="E3040" i="1"/>
  <c r="C3040" i="1"/>
  <c r="G3039" i="1"/>
  <c r="E3039" i="1"/>
  <c r="C3039" i="1"/>
  <c r="G3038" i="1"/>
  <c r="E3038" i="1"/>
  <c r="C3038" i="1"/>
  <c r="G3037" i="1"/>
  <c r="E3037" i="1"/>
  <c r="C3037" i="1"/>
  <c r="G3036" i="1"/>
  <c r="E3036" i="1"/>
  <c r="C3036" i="1"/>
  <c r="G3035" i="1"/>
  <c r="E3035" i="1"/>
  <c r="C3035" i="1"/>
  <c r="G3034" i="1"/>
  <c r="E3034" i="1"/>
  <c r="C3034" i="1"/>
  <c r="G3033" i="1"/>
  <c r="E3033" i="1"/>
  <c r="C3033" i="1"/>
  <c r="G3032" i="1"/>
  <c r="E3032" i="1"/>
  <c r="C3032" i="1"/>
  <c r="G3031" i="1"/>
  <c r="E3031" i="1"/>
  <c r="C3031" i="1"/>
  <c r="G3030" i="1"/>
  <c r="E3030" i="1"/>
  <c r="C3030" i="1"/>
  <c r="G3029" i="1"/>
  <c r="E3029" i="1"/>
  <c r="C3029" i="1"/>
  <c r="G3028" i="1"/>
  <c r="E3028" i="1"/>
  <c r="C3028" i="1"/>
  <c r="G3027" i="1"/>
  <c r="E3027" i="1"/>
  <c r="C3027" i="1"/>
  <c r="G3026" i="1"/>
  <c r="E3026" i="1"/>
  <c r="C3026" i="1"/>
  <c r="G3025" i="1"/>
  <c r="E3025" i="1"/>
  <c r="C3025" i="1"/>
  <c r="G3024" i="1"/>
  <c r="E3024" i="1"/>
  <c r="C3024" i="1"/>
  <c r="G3023" i="1"/>
  <c r="E3023" i="1"/>
  <c r="C3023" i="1"/>
  <c r="G3022" i="1"/>
  <c r="E3022" i="1"/>
  <c r="C3022" i="1"/>
  <c r="G3021" i="1"/>
  <c r="E3021" i="1"/>
  <c r="C3021" i="1"/>
  <c r="G3020" i="1"/>
  <c r="E3020" i="1"/>
  <c r="C3020" i="1"/>
  <c r="G3019" i="1"/>
  <c r="E3019" i="1"/>
  <c r="C3019" i="1"/>
  <c r="G3018" i="1"/>
  <c r="E3018" i="1"/>
  <c r="C3018" i="1"/>
  <c r="G3017" i="1"/>
  <c r="E3017" i="1"/>
  <c r="C3017" i="1"/>
  <c r="G3016" i="1"/>
  <c r="E3016" i="1"/>
  <c r="C3016" i="1"/>
  <c r="G3015" i="1"/>
  <c r="E3015" i="1"/>
  <c r="C3015" i="1"/>
  <c r="G3014" i="1"/>
  <c r="E3014" i="1"/>
  <c r="C3014" i="1"/>
  <c r="G3013" i="1"/>
  <c r="E3013" i="1"/>
  <c r="C3013" i="1"/>
  <c r="G3012" i="1"/>
  <c r="E3012" i="1"/>
  <c r="C3012" i="1"/>
  <c r="G3011" i="1"/>
  <c r="E3011" i="1"/>
  <c r="C3011" i="1"/>
  <c r="G3010" i="1"/>
  <c r="E3010" i="1"/>
  <c r="C3010" i="1"/>
  <c r="G3009" i="1"/>
  <c r="E3009" i="1"/>
  <c r="C3009" i="1"/>
  <c r="G3008" i="1"/>
  <c r="E3008" i="1"/>
  <c r="C3008" i="1"/>
  <c r="G3007" i="1"/>
  <c r="E3007" i="1"/>
  <c r="C3007" i="1"/>
  <c r="G3006" i="1"/>
  <c r="E3006" i="1"/>
  <c r="C3006" i="1"/>
  <c r="G3005" i="1"/>
  <c r="E3005" i="1"/>
  <c r="C3005" i="1"/>
  <c r="G3004" i="1"/>
  <c r="E3004" i="1"/>
  <c r="C3004" i="1"/>
  <c r="G3003" i="1"/>
  <c r="E3003" i="1"/>
  <c r="C3003" i="1"/>
  <c r="G3002" i="1"/>
  <c r="E3002" i="1"/>
  <c r="C3002" i="1"/>
  <c r="G3001" i="1"/>
  <c r="E3001" i="1"/>
  <c r="C3001" i="1"/>
  <c r="G3000" i="1"/>
  <c r="E3000" i="1"/>
  <c r="C3000" i="1"/>
  <c r="G2999" i="1"/>
  <c r="E2999" i="1"/>
  <c r="C2999" i="1"/>
  <c r="G2998" i="1"/>
  <c r="E2998" i="1"/>
  <c r="C2998" i="1"/>
  <c r="G2997" i="1"/>
  <c r="E2997" i="1"/>
  <c r="C2997" i="1"/>
  <c r="G2996" i="1"/>
  <c r="E2996" i="1"/>
  <c r="C2996" i="1"/>
  <c r="G2995" i="1"/>
  <c r="E2995" i="1"/>
  <c r="C2995" i="1"/>
  <c r="G2994" i="1"/>
  <c r="E2994" i="1"/>
  <c r="C2994" i="1"/>
  <c r="G2993" i="1"/>
  <c r="E2993" i="1"/>
  <c r="C2993" i="1"/>
  <c r="G2992" i="1"/>
  <c r="E2992" i="1"/>
  <c r="C2992" i="1"/>
  <c r="G2991" i="1"/>
  <c r="E2991" i="1"/>
  <c r="C2991" i="1"/>
  <c r="G2990" i="1"/>
  <c r="E2990" i="1"/>
  <c r="C2990" i="1"/>
  <c r="G2989" i="1"/>
  <c r="E2989" i="1"/>
  <c r="C2989" i="1"/>
  <c r="G2988" i="1"/>
  <c r="E2988" i="1"/>
  <c r="C2988" i="1"/>
  <c r="G2987" i="1"/>
  <c r="E2987" i="1"/>
  <c r="C2987" i="1"/>
  <c r="G2986" i="1"/>
  <c r="E2986" i="1"/>
  <c r="C2986" i="1"/>
  <c r="G2985" i="1"/>
  <c r="E2985" i="1"/>
  <c r="C2985" i="1"/>
  <c r="G2984" i="1"/>
  <c r="E2984" i="1"/>
  <c r="C2984" i="1"/>
  <c r="G2983" i="1"/>
  <c r="E2983" i="1"/>
  <c r="C2983" i="1"/>
  <c r="G2982" i="1"/>
  <c r="E2982" i="1"/>
  <c r="C2982" i="1"/>
  <c r="G2981" i="1"/>
  <c r="E2981" i="1"/>
  <c r="C2981" i="1"/>
  <c r="G2980" i="1"/>
  <c r="E2980" i="1"/>
  <c r="C2980" i="1"/>
  <c r="G2979" i="1"/>
  <c r="E2979" i="1"/>
  <c r="C2979" i="1"/>
  <c r="G2978" i="1"/>
  <c r="E2978" i="1"/>
  <c r="C2978" i="1"/>
  <c r="G2977" i="1"/>
  <c r="E2977" i="1"/>
  <c r="C2977" i="1"/>
  <c r="G2976" i="1"/>
  <c r="E2976" i="1"/>
  <c r="C2976" i="1"/>
  <c r="G2975" i="1"/>
  <c r="E2975" i="1"/>
  <c r="C2975" i="1"/>
  <c r="G2974" i="1"/>
  <c r="E2974" i="1"/>
  <c r="C2974" i="1"/>
  <c r="G2973" i="1"/>
  <c r="E2973" i="1"/>
  <c r="C2973" i="1"/>
  <c r="G2972" i="1"/>
  <c r="E2972" i="1"/>
  <c r="C2972" i="1"/>
  <c r="G2971" i="1"/>
  <c r="E2971" i="1"/>
  <c r="C2971" i="1"/>
  <c r="G2970" i="1"/>
  <c r="E2970" i="1"/>
  <c r="C2970" i="1"/>
  <c r="G2969" i="1"/>
  <c r="E2969" i="1"/>
  <c r="C2969" i="1"/>
  <c r="G2968" i="1"/>
  <c r="E2968" i="1"/>
  <c r="C2968" i="1"/>
  <c r="G2967" i="1"/>
  <c r="E2967" i="1"/>
  <c r="C2967" i="1"/>
  <c r="G2966" i="1"/>
  <c r="E2966" i="1"/>
  <c r="C2966" i="1"/>
  <c r="G2965" i="1"/>
  <c r="E2965" i="1"/>
  <c r="C2965" i="1"/>
  <c r="G2964" i="1"/>
  <c r="E2964" i="1"/>
  <c r="C2964" i="1"/>
  <c r="G2963" i="1"/>
  <c r="E2963" i="1"/>
  <c r="C2963" i="1"/>
  <c r="G2962" i="1"/>
  <c r="E2962" i="1"/>
  <c r="C2962" i="1"/>
  <c r="G2961" i="1"/>
  <c r="E2961" i="1"/>
  <c r="C2961" i="1"/>
  <c r="G2960" i="1"/>
  <c r="E2960" i="1"/>
  <c r="C2960" i="1"/>
  <c r="G2959" i="1"/>
  <c r="E2959" i="1"/>
  <c r="C2959" i="1"/>
  <c r="G2958" i="1"/>
  <c r="E2958" i="1"/>
  <c r="C2958" i="1"/>
  <c r="G2957" i="1"/>
  <c r="E2957" i="1"/>
  <c r="C2957" i="1"/>
  <c r="G2956" i="1"/>
  <c r="E2956" i="1"/>
  <c r="C2956" i="1"/>
  <c r="G2955" i="1"/>
  <c r="E2955" i="1"/>
  <c r="C2955" i="1"/>
  <c r="G2954" i="1"/>
  <c r="E2954" i="1"/>
  <c r="C2954" i="1"/>
  <c r="G2953" i="1"/>
  <c r="E2953" i="1"/>
  <c r="C2953" i="1"/>
  <c r="G2952" i="1"/>
  <c r="E2952" i="1"/>
  <c r="C2952" i="1"/>
  <c r="G2951" i="1"/>
  <c r="E2951" i="1"/>
  <c r="C2951" i="1"/>
  <c r="G2950" i="1"/>
  <c r="E2950" i="1"/>
  <c r="C2950" i="1"/>
  <c r="G2949" i="1"/>
  <c r="E2949" i="1"/>
  <c r="C2949" i="1"/>
  <c r="G2948" i="1"/>
  <c r="E2948" i="1"/>
  <c r="C2948" i="1"/>
  <c r="G2947" i="1"/>
  <c r="E2947" i="1"/>
  <c r="C2947" i="1"/>
  <c r="G2946" i="1"/>
  <c r="E2946" i="1"/>
  <c r="C2946" i="1"/>
  <c r="G2945" i="1"/>
  <c r="E2945" i="1"/>
  <c r="C2945" i="1"/>
  <c r="G2944" i="1"/>
  <c r="E2944" i="1"/>
  <c r="C2944" i="1"/>
  <c r="G2943" i="1"/>
  <c r="E2943" i="1"/>
  <c r="C2943" i="1"/>
  <c r="G2942" i="1"/>
  <c r="E2942" i="1"/>
  <c r="C2942" i="1"/>
  <c r="G2941" i="1"/>
  <c r="E2941" i="1"/>
  <c r="C2941" i="1"/>
  <c r="G2940" i="1"/>
  <c r="E2940" i="1"/>
  <c r="C2940" i="1"/>
  <c r="G2939" i="1"/>
  <c r="E2939" i="1"/>
  <c r="C2939" i="1"/>
  <c r="G2938" i="1"/>
  <c r="E2938" i="1"/>
  <c r="C2938" i="1"/>
  <c r="G2937" i="1"/>
  <c r="E2937" i="1"/>
  <c r="C2937" i="1"/>
  <c r="G2936" i="1"/>
  <c r="E2936" i="1"/>
  <c r="C2936" i="1"/>
  <c r="G2935" i="1"/>
  <c r="E2935" i="1"/>
  <c r="C2935" i="1"/>
  <c r="G2934" i="1"/>
  <c r="E2934" i="1"/>
  <c r="C2934" i="1"/>
  <c r="G2933" i="1"/>
  <c r="E2933" i="1"/>
  <c r="C2933" i="1"/>
  <c r="G2932" i="1"/>
  <c r="E2932" i="1"/>
  <c r="C2932" i="1"/>
  <c r="G2931" i="1"/>
  <c r="E2931" i="1"/>
  <c r="C2931" i="1"/>
  <c r="G2930" i="1"/>
  <c r="E2930" i="1"/>
  <c r="C2930" i="1"/>
  <c r="G2929" i="1"/>
  <c r="E2929" i="1"/>
  <c r="C2929" i="1"/>
  <c r="G2928" i="1"/>
  <c r="E2928" i="1"/>
  <c r="C2928" i="1"/>
  <c r="G2927" i="1"/>
  <c r="E2927" i="1"/>
  <c r="C2927" i="1"/>
  <c r="G2926" i="1"/>
  <c r="E2926" i="1"/>
  <c r="C2926" i="1"/>
  <c r="G2925" i="1"/>
  <c r="E2925" i="1"/>
  <c r="C2925" i="1"/>
  <c r="G2924" i="1"/>
  <c r="E2924" i="1"/>
  <c r="C2924" i="1"/>
  <c r="G2923" i="1"/>
  <c r="E2923" i="1"/>
  <c r="C2923" i="1"/>
  <c r="G2922" i="1"/>
  <c r="E2922" i="1"/>
  <c r="C2922" i="1"/>
  <c r="G2921" i="1"/>
  <c r="E2921" i="1"/>
  <c r="C2921" i="1"/>
  <c r="G2920" i="1"/>
  <c r="E2920" i="1"/>
  <c r="C2920" i="1"/>
  <c r="G2919" i="1"/>
  <c r="E2919" i="1"/>
  <c r="C2919" i="1"/>
  <c r="G2918" i="1"/>
  <c r="E2918" i="1"/>
  <c r="C2918" i="1"/>
  <c r="G2917" i="1"/>
  <c r="E2917" i="1"/>
  <c r="C2917" i="1"/>
  <c r="G2916" i="1"/>
  <c r="E2916" i="1"/>
  <c r="C2916" i="1"/>
  <c r="G2915" i="1"/>
  <c r="E2915" i="1"/>
  <c r="C2915" i="1"/>
  <c r="G2914" i="1"/>
  <c r="E2914" i="1"/>
  <c r="C2914" i="1"/>
  <c r="G2913" i="1"/>
  <c r="E2913" i="1"/>
  <c r="C2913" i="1"/>
  <c r="G2912" i="1"/>
  <c r="E2912" i="1"/>
  <c r="C2912" i="1"/>
  <c r="G2911" i="1"/>
  <c r="E2911" i="1"/>
  <c r="C2911" i="1"/>
  <c r="G2910" i="1"/>
  <c r="E2910" i="1"/>
  <c r="C2910" i="1"/>
  <c r="G2909" i="1"/>
  <c r="E2909" i="1"/>
  <c r="C2909" i="1"/>
  <c r="G2908" i="1"/>
  <c r="E2908" i="1"/>
  <c r="C2908" i="1"/>
  <c r="G2907" i="1"/>
  <c r="E2907" i="1"/>
  <c r="C2907" i="1"/>
  <c r="G2906" i="1"/>
  <c r="E2906" i="1"/>
  <c r="C2906" i="1"/>
  <c r="G2905" i="1"/>
  <c r="E2905" i="1"/>
  <c r="C2905" i="1"/>
  <c r="G2904" i="1"/>
  <c r="E2904" i="1"/>
  <c r="C2904" i="1"/>
  <c r="G2903" i="1"/>
  <c r="E2903" i="1"/>
  <c r="C2903" i="1"/>
  <c r="G2902" i="1"/>
  <c r="E2902" i="1"/>
  <c r="C2902" i="1"/>
  <c r="G2901" i="1"/>
  <c r="E2901" i="1"/>
  <c r="C2901" i="1"/>
  <c r="G2900" i="1"/>
  <c r="E2900" i="1"/>
  <c r="C2900" i="1"/>
  <c r="G2899" i="1"/>
  <c r="E2899" i="1"/>
  <c r="C2899" i="1"/>
  <c r="G2898" i="1"/>
  <c r="E2898" i="1"/>
  <c r="C2898" i="1"/>
  <c r="G2897" i="1"/>
  <c r="E2897" i="1"/>
  <c r="C2897" i="1"/>
  <c r="G2896" i="1"/>
  <c r="E2896" i="1"/>
  <c r="C2896" i="1"/>
  <c r="G2895" i="1"/>
  <c r="E2895" i="1"/>
  <c r="C2895" i="1"/>
  <c r="G2894" i="1"/>
  <c r="E2894" i="1"/>
  <c r="C2894" i="1"/>
  <c r="G2893" i="1"/>
  <c r="E2893" i="1"/>
  <c r="C2893" i="1"/>
  <c r="G2892" i="1"/>
  <c r="E2892" i="1"/>
  <c r="C2892" i="1"/>
  <c r="G2891" i="1"/>
  <c r="E2891" i="1"/>
  <c r="C2891" i="1"/>
  <c r="G2890" i="1"/>
  <c r="E2890" i="1"/>
  <c r="C2890" i="1"/>
  <c r="G2889" i="1"/>
  <c r="E2889" i="1"/>
  <c r="C2889" i="1"/>
  <c r="G2888" i="1"/>
  <c r="E2888" i="1"/>
  <c r="C2888" i="1"/>
  <c r="G2887" i="1"/>
  <c r="E2887" i="1"/>
  <c r="C2887" i="1"/>
  <c r="G2886" i="1"/>
  <c r="E2886" i="1"/>
  <c r="C2886" i="1"/>
  <c r="G2885" i="1"/>
  <c r="E2885" i="1"/>
  <c r="C2885" i="1"/>
  <c r="G2884" i="1"/>
  <c r="E2884" i="1"/>
  <c r="C2884" i="1"/>
  <c r="G2883" i="1"/>
  <c r="E2883" i="1"/>
  <c r="C2883" i="1"/>
  <c r="G2882" i="1"/>
  <c r="E2882" i="1"/>
  <c r="C2882" i="1"/>
  <c r="G2881" i="1"/>
  <c r="E2881" i="1"/>
  <c r="C2881" i="1"/>
  <c r="G2880" i="1"/>
  <c r="E2880" i="1"/>
  <c r="C2880" i="1"/>
  <c r="G2879" i="1"/>
  <c r="E2879" i="1"/>
  <c r="C2879" i="1"/>
  <c r="G2878" i="1"/>
  <c r="E2878" i="1"/>
  <c r="C2878" i="1"/>
  <c r="G2877" i="1"/>
  <c r="E2877" i="1"/>
  <c r="C2877" i="1"/>
  <c r="G2876" i="1"/>
  <c r="E2876" i="1"/>
  <c r="C2876" i="1"/>
  <c r="G2875" i="1"/>
  <c r="E2875" i="1"/>
  <c r="C2875" i="1"/>
  <c r="G2874" i="1"/>
  <c r="E2874" i="1"/>
  <c r="C2874" i="1"/>
  <c r="G2873" i="1"/>
  <c r="E2873" i="1"/>
  <c r="C2873" i="1"/>
  <c r="G2872" i="1"/>
  <c r="E2872" i="1"/>
  <c r="C2872" i="1"/>
  <c r="G2871" i="1"/>
  <c r="E2871" i="1"/>
  <c r="C2871" i="1"/>
  <c r="G2870" i="1"/>
  <c r="E2870" i="1"/>
  <c r="C2870" i="1"/>
  <c r="G2869" i="1"/>
  <c r="E2869" i="1"/>
  <c r="C2869" i="1"/>
  <c r="G2868" i="1"/>
  <c r="E2868" i="1"/>
  <c r="C2868" i="1"/>
  <c r="G2867" i="1"/>
  <c r="E2867" i="1"/>
  <c r="C2867" i="1"/>
  <c r="G2866" i="1"/>
  <c r="E2866" i="1"/>
  <c r="C2866" i="1"/>
  <c r="G2865" i="1"/>
  <c r="E2865" i="1"/>
  <c r="C2865" i="1"/>
  <c r="G2864" i="1"/>
  <c r="E2864" i="1"/>
  <c r="C2864" i="1"/>
  <c r="G2863" i="1"/>
  <c r="E2863" i="1"/>
  <c r="C2863" i="1"/>
  <c r="G2862" i="1"/>
  <c r="E2862" i="1"/>
  <c r="C2862" i="1"/>
  <c r="G2861" i="1"/>
  <c r="E2861" i="1"/>
  <c r="C2861" i="1"/>
  <c r="G2860" i="1"/>
  <c r="E2860" i="1"/>
  <c r="C2860" i="1"/>
  <c r="G2859" i="1"/>
  <c r="E2859" i="1"/>
  <c r="C2859" i="1"/>
  <c r="G2858" i="1"/>
  <c r="E2858" i="1"/>
  <c r="C2858" i="1"/>
  <c r="G2857" i="1"/>
  <c r="E2857" i="1"/>
  <c r="C2857" i="1"/>
  <c r="G2856" i="1"/>
  <c r="E2856" i="1"/>
  <c r="C2856" i="1"/>
  <c r="G2855" i="1"/>
  <c r="E2855" i="1"/>
  <c r="C2855" i="1"/>
  <c r="G2854" i="1"/>
  <c r="E2854" i="1"/>
  <c r="C2854" i="1"/>
  <c r="G2853" i="1"/>
  <c r="E2853" i="1"/>
  <c r="C2853" i="1"/>
  <c r="G2852" i="1"/>
  <c r="E2852" i="1"/>
  <c r="C2852" i="1"/>
  <c r="G2851" i="1"/>
  <c r="E2851" i="1"/>
  <c r="C2851" i="1"/>
  <c r="G2850" i="1"/>
  <c r="E2850" i="1"/>
  <c r="C2850" i="1"/>
  <c r="G2849" i="1"/>
  <c r="E2849" i="1"/>
  <c r="C2849" i="1"/>
  <c r="G2848" i="1"/>
  <c r="E2848" i="1"/>
  <c r="C2848" i="1"/>
  <c r="G2847" i="1"/>
  <c r="E2847" i="1"/>
  <c r="C2847" i="1"/>
  <c r="G2846" i="1"/>
  <c r="E2846" i="1"/>
  <c r="C2846" i="1"/>
  <c r="G2845" i="1"/>
  <c r="E2845" i="1"/>
  <c r="C2845" i="1"/>
  <c r="G2844" i="1"/>
  <c r="E2844" i="1"/>
  <c r="C2844" i="1"/>
  <c r="G2843" i="1"/>
  <c r="E2843" i="1"/>
  <c r="C2843" i="1"/>
  <c r="G2842" i="1"/>
  <c r="E2842" i="1"/>
  <c r="C2842" i="1"/>
  <c r="G2841" i="1"/>
  <c r="E2841" i="1"/>
  <c r="C2841" i="1"/>
  <c r="G2840" i="1"/>
  <c r="E2840" i="1"/>
  <c r="C2840" i="1"/>
  <c r="G2839" i="1"/>
  <c r="E2839" i="1"/>
  <c r="C2839" i="1"/>
  <c r="G2838" i="1"/>
  <c r="E2838" i="1"/>
  <c r="C2838" i="1"/>
  <c r="G2837" i="1"/>
  <c r="E2837" i="1"/>
  <c r="C2837" i="1"/>
  <c r="G2836" i="1"/>
  <c r="E2836" i="1"/>
  <c r="C2836" i="1"/>
  <c r="G2835" i="1"/>
  <c r="E2835" i="1"/>
  <c r="C2835" i="1"/>
  <c r="G2834" i="1"/>
  <c r="E2834" i="1"/>
  <c r="C2834" i="1"/>
  <c r="G2833" i="1"/>
  <c r="E2833" i="1"/>
  <c r="C2833" i="1"/>
  <c r="G2832" i="1"/>
  <c r="E2832" i="1"/>
  <c r="C2832" i="1"/>
  <c r="G2831" i="1"/>
  <c r="E2831" i="1"/>
  <c r="C2831" i="1"/>
  <c r="G2830" i="1"/>
  <c r="E2830" i="1"/>
  <c r="C2830" i="1"/>
  <c r="G2829" i="1"/>
  <c r="E2829" i="1"/>
  <c r="C2829" i="1"/>
  <c r="G2828" i="1"/>
  <c r="E2828" i="1"/>
  <c r="C2828" i="1"/>
  <c r="G2827" i="1"/>
  <c r="E2827" i="1"/>
  <c r="C2827" i="1"/>
  <c r="G2826" i="1"/>
  <c r="E2826" i="1"/>
  <c r="C2826" i="1"/>
  <c r="G2825" i="1"/>
  <c r="E2825" i="1"/>
  <c r="C2825" i="1"/>
  <c r="G2824" i="1"/>
  <c r="E2824" i="1"/>
  <c r="C2824" i="1"/>
  <c r="G2823" i="1"/>
  <c r="E2823" i="1"/>
  <c r="C2823" i="1"/>
  <c r="G2822" i="1"/>
  <c r="E2822" i="1"/>
  <c r="C2822" i="1"/>
  <c r="G2821" i="1"/>
  <c r="E2821" i="1"/>
  <c r="C2821" i="1"/>
  <c r="G2820" i="1"/>
  <c r="E2820" i="1"/>
  <c r="C2820" i="1"/>
  <c r="G2819" i="1"/>
  <c r="E2819" i="1"/>
  <c r="C2819" i="1"/>
  <c r="G2818" i="1"/>
  <c r="E2818" i="1"/>
  <c r="C2818" i="1"/>
  <c r="G2817" i="1"/>
  <c r="E2817" i="1"/>
  <c r="C2817" i="1"/>
  <c r="G2816" i="1"/>
  <c r="E2816" i="1"/>
  <c r="C2816" i="1"/>
  <c r="G2815" i="1"/>
  <c r="E2815" i="1"/>
  <c r="C2815" i="1"/>
  <c r="G2814" i="1"/>
  <c r="E2814" i="1"/>
  <c r="C2814" i="1"/>
  <c r="G2813" i="1"/>
  <c r="E2813" i="1"/>
  <c r="C2813" i="1"/>
  <c r="G2812" i="1"/>
  <c r="E2812" i="1"/>
  <c r="C2812" i="1"/>
  <c r="G2811" i="1"/>
  <c r="E2811" i="1"/>
  <c r="C2811" i="1"/>
  <c r="G2810" i="1"/>
  <c r="E2810" i="1"/>
  <c r="C2810" i="1"/>
  <c r="G2809" i="1"/>
  <c r="E2809" i="1"/>
  <c r="C2809" i="1"/>
  <c r="G2808" i="1"/>
  <c r="E2808" i="1"/>
  <c r="C2808" i="1"/>
  <c r="G2807" i="1"/>
  <c r="E2807" i="1"/>
  <c r="C2807" i="1"/>
  <c r="G2806" i="1"/>
  <c r="E2806" i="1"/>
  <c r="C2806" i="1"/>
  <c r="G2805" i="1"/>
  <c r="E2805" i="1"/>
  <c r="C2805" i="1"/>
  <c r="G2804" i="1"/>
  <c r="E2804" i="1"/>
  <c r="C2804" i="1"/>
  <c r="G2803" i="1"/>
  <c r="E2803" i="1"/>
  <c r="C2803" i="1"/>
  <c r="G2802" i="1"/>
  <c r="E2802" i="1"/>
  <c r="C2802" i="1"/>
  <c r="G2801" i="1"/>
  <c r="E2801" i="1"/>
  <c r="C2801" i="1"/>
  <c r="G2800" i="1"/>
  <c r="E2800" i="1"/>
  <c r="C2800" i="1"/>
  <c r="G2799" i="1"/>
  <c r="E2799" i="1"/>
  <c r="C2799" i="1"/>
  <c r="G2798" i="1"/>
  <c r="E2798" i="1"/>
  <c r="C2798" i="1"/>
  <c r="G2797" i="1"/>
  <c r="E2797" i="1"/>
  <c r="C2797" i="1"/>
  <c r="G2796" i="1"/>
  <c r="E2796" i="1"/>
  <c r="C2796" i="1"/>
  <c r="G2795" i="1"/>
  <c r="E2795" i="1"/>
  <c r="C2795" i="1"/>
  <c r="G2794" i="1"/>
  <c r="E2794" i="1"/>
  <c r="C2794" i="1"/>
  <c r="G2793" i="1"/>
  <c r="E2793" i="1"/>
  <c r="C2793" i="1"/>
  <c r="G2792" i="1"/>
  <c r="E2792" i="1"/>
  <c r="C2792" i="1"/>
  <c r="G2791" i="1"/>
  <c r="E2791" i="1"/>
  <c r="C2791" i="1"/>
  <c r="G2790" i="1"/>
  <c r="E2790" i="1"/>
  <c r="C2790" i="1"/>
  <c r="G2789" i="1"/>
  <c r="E2789" i="1"/>
  <c r="C2789" i="1"/>
  <c r="G2788" i="1"/>
  <c r="E2788" i="1"/>
  <c r="C2788" i="1"/>
  <c r="G2787" i="1"/>
  <c r="E2787" i="1"/>
  <c r="C2787" i="1"/>
  <c r="G2786" i="1"/>
  <c r="E2786" i="1"/>
  <c r="C2786" i="1"/>
  <c r="G2785" i="1"/>
  <c r="E2785" i="1"/>
  <c r="C2785" i="1"/>
  <c r="G2784" i="1"/>
  <c r="E2784" i="1"/>
  <c r="C2784" i="1"/>
  <c r="G2783" i="1"/>
  <c r="E2783" i="1"/>
  <c r="C2783" i="1"/>
  <c r="G2782" i="1"/>
  <c r="E2782" i="1"/>
  <c r="C2782" i="1"/>
  <c r="G2781" i="1"/>
  <c r="E2781" i="1"/>
  <c r="C2781" i="1"/>
  <c r="G2780" i="1"/>
  <c r="E2780" i="1"/>
  <c r="C2780" i="1"/>
  <c r="G2779" i="1"/>
  <c r="E2779" i="1"/>
  <c r="C2779" i="1"/>
  <c r="G2778" i="1"/>
  <c r="E2778" i="1"/>
  <c r="C2778" i="1"/>
  <c r="G2777" i="1"/>
  <c r="E2777" i="1"/>
  <c r="C2777" i="1"/>
  <c r="G2776" i="1"/>
  <c r="E2776" i="1"/>
  <c r="C2776" i="1"/>
  <c r="G2775" i="1"/>
  <c r="E2775" i="1"/>
  <c r="C2775" i="1"/>
  <c r="G2774" i="1"/>
  <c r="E2774" i="1"/>
  <c r="C2774" i="1"/>
  <c r="G2773" i="1"/>
  <c r="E2773" i="1"/>
  <c r="C2773" i="1"/>
  <c r="G2772" i="1"/>
  <c r="E2772" i="1"/>
  <c r="C2772" i="1"/>
  <c r="G2771" i="1"/>
  <c r="E2771" i="1"/>
  <c r="C2771" i="1"/>
  <c r="G2770" i="1"/>
  <c r="E2770" i="1"/>
  <c r="C2770" i="1"/>
  <c r="G2769" i="1"/>
  <c r="E2769" i="1"/>
  <c r="C2769" i="1"/>
  <c r="G2768" i="1"/>
  <c r="E2768" i="1"/>
  <c r="C2768" i="1"/>
  <c r="G2767" i="1"/>
  <c r="E2767" i="1"/>
  <c r="C2767" i="1"/>
  <c r="G2766" i="1"/>
  <c r="E2766" i="1"/>
  <c r="C2766" i="1"/>
  <c r="G2765" i="1"/>
  <c r="E2765" i="1"/>
  <c r="C2765" i="1"/>
  <c r="G2764" i="1"/>
  <c r="E2764" i="1"/>
  <c r="C2764" i="1"/>
  <c r="G2763" i="1"/>
  <c r="E2763" i="1"/>
  <c r="C2763" i="1"/>
  <c r="G2762" i="1"/>
  <c r="E2762" i="1"/>
  <c r="C2762" i="1"/>
  <c r="G2761" i="1"/>
  <c r="E2761" i="1"/>
  <c r="C2761" i="1"/>
  <c r="G2760" i="1"/>
  <c r="E2760" i="1"/>
  <c r="C2760" i="1"/>
  <c r="G2759" i="1"/>
  <c r="E2759" i="1"/>
  <c r="C2759" i="1"/>
  <c r="G2758" i="1"/>
  <c r="E2758" i="1"/>
  <c r="C2758" i="1"/>
  <c r="G2757" i="1"/>
  <c r="E2757" i="1"/>
  <c r="C2757" i="1"/>
  <c r="G2756" i="1"/>
  <c r="E2756" i="1"/>
  <c r="C2756" i="1"/>
  <c r="G2755" i="1"/>
  <c r="E2755" i="1"/>
  <c r="C2755" i="1"/>
  <c r="G2754" i="1"/>
  <c r="E2754" i="1"/>
  <c r="C2754" i="1"/>
  <c r="G2753" i="1"/>
  <c r="E2753" i="1"/>
  <c r="C2753" i="1"/>
  <c r="G2752" i="1"/>
  <c r="E2752" i="1"/>
  <c r="C2752" i="1"/>
  <c r="G2751" i="1"/>
  <c r="E2751" i="1"/>
  <c r="C2751" i="1"/>
  <c r="G2750" i="1"/>
  <c r="E2750" i="1"/>
  <c r="C2750" i="1"/>
  <c r="G2749" i="1"/>
  <c r="E2749" i="1"/>
  <c r="C2749" i="1"/>
  <c r="G2748" i="1"/>
  <c r="E2748" i="1"/>
  <c r="C2748" i="1"/>
  <c r="G2747" i="1"/>
  <c r="E2747" i="1"/>
  <c r="C2747" i="1"/>
  <c r="G2746" i="1"/>
  <c r="E2746" i="1"/>
  <c r="C2746" i="1"/>
  <c r="G2745" i="1"/>
  <c r="E2745" i="1"/>
  <c r="C2745" i="1"/>
  <c r="G2744" i="1"/>
  <c r="E2744" i="1"/>
  <c r="C2744" i="1"/>
  <c r="G2743" i="1"/>
  <c r="E2743" i="1"/>
  <c r="C2743" i="1"/>
  <c r="G2742" i="1"/>
  <c r="E2742" i="1"/>
  <c r="C2742" i="1"/>
  <c r="G2741" i="1"/>
  <c r="E2741" i="1"/>
  <c r="C2741" i="1"/>
  <c r="G2740" i="1"/>
  <c r="E2740" i="1"/>
  <c r="C2740" i="1"/>
  <c r="G2739" i="1"/>
  <c r="E2739" i="1"/>
  <c r="C2739" i="1"/>
  <c r="G2738" i="1"/>
  <c r="E2738" i="1"/>
  <c r="C2738" i="1"/>
  <c r="G2737" i="1"/>
  <c r="E2737" i="1"/>
  <c r="C2737" i="1"/>
  <c r="G2736" i="1"/>
  <c r="E2736" i="1"/>
  <c r="C2736" i="1"/>
  <c r="G2735" i="1"/>
  <c r="E2735" i="1"/>
  <c r="C2735" i="1"/>
  <c r="G2734" i="1"/>
  <c r="E2734" i="1"/>
  <c r="C2734" i="1"/>
  <c r="G2733" i="1"/>
  <c r="E2733" i="1"/>
  <c r="C2733" i="1"/>
  <c r="G2732" i="1"/>
  <c r="E2732" i="1"/>
  <c r="C2732" i="1"/>
  <c r="G2731" i="1"/>
  <c r="E2731" i="1"/>
  <c r="C2731" i="1"/>
  <c r="G2730" i="1"/>
  <c r="E2730" i="1"/>
  <c r="C2730" i="1"/>
  <c r="G2729" i="1"/>
  <c r="E2729" i="1"/>
  <c r="C2729" i="1"/>
  <c r="G2728" i="1"/>
  <c r="E2728" i="1"/>
  <c r="C2728" i="1"/>
  <c r="G2727" i="1"/>
  <c r="E2727" i="1"/>
  <c r="C2727" i="1"/>
  <c r="G2726" i="1"/>
  <c r="E2726" i="1"/>
  <c r="C2726" i="1"/>
  <c r="G2725" i="1"/>
  <c r="E2725" i="1"/>
  <c r="C2725" i="1"/>
  <c r="G2724" i="1"/>
  <c r="E2724" i="1"/>
  <c r="C2724" i="1"/>
  <c r="G2723" i="1"/>
  <c r="E2723" i="1"/>
  <c r="C2723" i="1"/>
  <c r="G2722" i="1"/>
  <c r="E2722" i="1"/>
  <c r="C2722" i="1"/>
  <c r="G2721" i="1"/>
  <c r="E2721" i="1"/>
  <c r="C2721" i="1"/>
  <c r="G2720" i="1"/>
  <c r="E2720" i="1"/>
  <c r="C2720" i="1"/>
  <c r="G2719" i="1"/>
  <c r="E2719" i="1"/>
  <c r="C2719" i="1"/>
  <c r="G2718" i="1"/>
  <c r="E2718" i="1"/>
  <c r="C2718" i="1"/>
  <c r="G2717" i="1"/>
  <c r="E2717" i="1"/>
  <c r="C2717" i="1"/>
  <c r="G2716" i="1"/>
  <c r="E2716" i="1"/>
  <c r="C2716" i="1"/>
  <c r="G2715" i="1"/>
  <c r="E2715" i="1"/>
  <c r="C2715" i="1"/>
  <c r="G2714" i="1"/>
  <c r="E2714" i="1"/>
  <c r="C2714" i="1"/>
  <c r="G2713" i="1"/>
  <c r="E2713" i="1"/>
  <c r="C2713" i="1"/>
  <c r="G2712" i="1"/>
  <c r="E2712" i="1"/>
  <c r="C2712" i="1"/>
  <c r="G2711" i="1"/>
  <c r="E2711" i="1"/>
  <c r="C2711" i="1"/>
  <c r="G2710" i="1"/>
  <c r="E2710" i="1"/>
  <c r="C2710" i="1"/>
  <c r="G2709" i="1"/>
  <c r="E2709" i="1"/>
  <c r="C2709" i="1"/>
  <c r="G2708" i="1"/>
  <c r="E2708" i="1"/>
  <c r="C2708" i="1"/>
  <c r="G2707" i="1"/>
  <c r="E2707" i="1"/>
  <c r="C2707" i="1"/>
  <c r="G2706" i="1"/>
  <c r="E2706" i="1"/>
  <c r="C2706" i="1"/>
  <c r="G2705" i="1"/>
  <c r="E2705" i="1"/>
  <c r="C2705" i="1"/>
  <c r="G2704" i="1"/>
  <c r="E2704" i="1"/>
  <c r="C2704" i="1"/>
  <c r="G2703" i="1"/>
  <c r="E2703" i="1"/>
  <c r="C2703" i="1"/>
  <c r="G2702" i="1"/>
  <c r="E2702" i="1"/>
  <c r="C2702" i="1"/>
  <c r="G2701" i="1"/>
  <c r="E2701" i="1"/>
  <c r="C2701" i="1"/>
  <c r="G2700" i="1"/>
  <c r="E2700" i="1"/>
  <c r="C2700" i="1"/>
  <c r="G2699" i="1"/>
  <c r="E2699" i="1"/>
  <c r="C2699" i="1"/>
  <c r="G2698" i="1"/>
  <c r="E2698" i="1"/>
  <c r="C2698" i="1"/>
  <c r="G2697" i="1"/>
  <c r="E2697" i="1"/>
  <c r="C2697" i="1"/>
  <c r="G2696" i="1"/>
  <c r="E2696" i="1"/>
  <c r="C2696" i="1"/>
  <c r="G2695" i="1"/>
  <c r="E2695" i="1"/>
  <c r="C2695" i="1"/>
  <c r="G2694" i="1"/>
  <c r="E2694" i="1"/>
  <c r="C2694" i="1"/>
  <c r="G2693" i="1"/>
  <c r="E2693" i="1"/>
  <c r="C2693" i="1"/>
  <c r="G2692" i="1"/>
  <c r="E2692" i="1"/>
  <c r="C2692" i="1"/>
  <c r="G2691" i="1"/>
  <c r="E2691" i="1"/>
  <c r="C2691" i="1"/>
  <c r="G2690" i="1"/>
  <c r="E2690" i="1"/>
  <c r="C2690" i="1"/>
  <c r="G2689" i="1"/>
  <c r="E2689" i="1"/>
  <c r="C2689" i="1"/>
  <c r="G2688" i="1"/>
  <c r="E2688" i="1"/>
  <c r="C2688" i="1"/>
  <c r="G2687" i="1"/>
  <c r="E2687" i="1"/>
  <c r="C2687" i="1"/>
  <c r="G2686" i="1"/>
  <c r="E2686" i="1"/>
  <c r="C2686" i="1"/>
  <c r="G2685" i="1"/>
  <c r="E2685" i="1"/>
  <c r="C2685" i="1"/>
  <c r="G2684" i="1"/>
  <c r="E2684" i="1"/>
  <c r="C2684" i="1"/>
  <c r="G2683" i="1"/>
  <c r="E2683" i="1"/>
  <c r="C2683" i="1"/>
  <c r="G2682" i="1"/>
  <c r="E2682" i="1"/>
  <c r="C2682" i="1"/>
  <c r="G2681" i="1"/>
  <c r="E2681" i="1"/>
  <c r="C2681" i="1"/>
  <c r="G2680" i="1"/>
  <c r="E2680" i="1"/>
  <c r="C2680" i="1"/>
  <c r="G2679" i="1"/>
  <c r="E2679" i="1"/>
  <c r="C2679" i="1"/>
  <c r="G2678" i="1"/>
  <c r="E2678" i="1"/>
  <c r="C2678" i="1"/>
  <c r="G2677" i="1"/>
  <c r="E2677" i="1"/>
  <c r="C2677" i="1"/>
  <c r="G2676" i="1"/>
  <c r="E2676" i="1"/>
  <c r="C2676" i="1"/>
  <c r="G2675" i="1"/>
  <c r="E2675" i="1"/>
  <c r="C2675" i="1"/>
  <c r="G2674" i="1"/>
  <c r="E2674" i="1"/>
  <c r="C2674" i="1"/>
  <c r="G2673" i="1"/>
  <c r="E2673" i="1"/>
  <c r="C2673" i="1"/>
  <c r="G2672" i="1"/>
  <c r="E2672" i="1"/>
  <c r="C2672" i="1"/>
  <c r="G2671" i="1"/>
  <c r="E2671" i="1"/>
  <c r="C2671" i="1"/>
  <c r="G2670" i="1"/>
  <c r="E2670" i="1"/>
  <c r="C2670" i="1"/>
  <c r="G2669" i="1"/>
  <c r="E2669" i="1"/>
  <c r="C2669" i="1"/>
  <c r="G2668" i="1"/>
  <c r="E2668" i="1"/>
  <c r="C2668" i="1"/>
  <c r="G2667" i="1"/>
  <c r="E2667" i="1"/>
  <c r="C2667" i="1"/>
  <c r="G2666" i="1"/>
  <c r="E2666" i="1"/>
  <c r="C2666" i="1"/>
  <c r="G2665" i="1"/>
  <c r="E2665" i="1"/>
  <c r="C2665" i="1"/>
  <c r="G2664" i="1"/>
  <c r="E2664" i="1"/>
  <c r="C2664" i="1"/>
  <c r="G2663" i="1"/>
  <c r="E2663" i="1"/>
  <c r="C2663" i="1"/>
  <c r="G2662" i="1"/>
  <c r="E2662" i="1"/>
  <c r="C2662" i="1"/>
  <c r="G2661" i="1"/>
  <c r="E2661" i="1"/>
  <c r="C2661" i="1"/>
  <c r="G2660" i="1"/>
  <c r="E2660" i="1"/>
  <c r="C2660" i="1"/>
  <c r="G2659" i="1"/>
  <c r="E2659" i="1"/>
  <c r="C2659" i="1"/>
  <c r="G2658" i="1"/>
  <c r="E2658" i="1"/>
  <c r="C2658" i="1"/>
  <c r="G2657" i="1"/>
  <c r="E2657" i="1"/>
  <c r="C2657" i="1"/>
  <c r="G2656" i="1"/>
  <c r="E2656" i="1"/>
  <c r="C2656" i="1"/>
  <c r="G2655" i="1"/>
  <c r="E2655" i="1"/>
  <c r="C2655" i="1"/>
  <c r="G2654" i="1"/>
  <c r="E2654" i="1"/>
  <c r="C2654" i="1"/>
  <c r="G2653" i="1"/>
  <c r="E2653" i="1"/>
  <c r="C2653" i="1"/>
  <c r="G2652" i="1"/>
  <c r="E2652" i="1"/>
  <c r="C2652" i="1"/>
  <c r="G2651" i="1"/>
  <c r="E2651" i="1"/>
  <c r="C2651" i="1"/>
  <c r="G2650" i="1"/>
  <c r="E2650" i="1"/>
  <c r="C2650" i="1"/>
  <c r="G2649" i="1"/>
  <c r="E2649" i="1"/>
  <c r="C2649" i="1"/>
  <c r="G2648" i="1"/>
  <c r="E2648" i="1"/>
  <c r="C2648" i="1"/>
  <c r="G2647" i="1"/>
  <c r="E2647" i="1"/>
  <c r="C2647" i="1"/>
  <c r="G2646" i="1"/>
  <c r="E2646" i="1"/>
  <c r="C2646" i="1"/>
  <c r="G2645" i="1"/>
  <c r="E2645" i="1"/>
  <c r="C2645" i="1"/>
  <c r="G2644" i="1"/>
  <c r="E2644" i="1"/>
  <c r="C2644" i="1"/>
  <c r="G2643" i="1"/>
  <c r="E2643" i="1"/>
  <c r="C2643" i="1"/>
  <c r="G2642" i="1"/>
  <c r="E2642" i="1"/>
  <c r="C2642" i="1"/>
  <c r="G2641" i="1"/>
  <c r="E2641" i="1"/>
  <c r="C2641" i="1"/>
  <c r="G2640" i="1"/>
  <c r="E2640" i="1"/>
  <c r="C2640" i="1"/>
  <c r="G2639" i="1"/>
  <c r="E2639" i="1"/>
  <c r="C2639" i="1"/>
  <c r="G2638" i="1"/>
  <c r="E2638" i="1"/>
  <c r="C2638" i="1"/>
  <c r="G2637" i="1"/>
  <c r="E2637" i="1"/>
  <c r="C2637" i="1"/>
  <c r="G2636" i="1"/>
  <c r="E2636" i="1"/>
  <c r="C2636" i="1"/>
  <c r="G2635" i="1"/>
  <c r="E2635" i="1"/>
  <c r="C2635" i="1"/>
  <c r="G2634" i="1"/>
  <c r="E2634" i="1"/>
  <c r="C2634" i="1"/>
  <c r="G2633" i="1"/>
  <c r="E2633" i="1"/>
  <c r="C2633" i="1"/>
  <c r="G2632" i="1"/>
  <c r="E2632" i="1"/>
  <c r="C2632" i="1"/>
  <c r="G2631" i="1"/>
  <c r="E2631" i="1"/>
  <c r="C2631" i="1"/>
  <c r="G2630" i="1"/>
  <c r="E2630" i="1"/>
  <c r="C2630" i="1"/>
  <c r="G2629" i="1"/>
  <c r="E2629" i="1"/>
  <c r="C2629" i="1"/>
  <c r="G2628" i="1"/>
  <c r="E2628" i="1"/>
  <c r="C2628" i="1"/>
  <c r="G2627" i="1"/>
  <c r="E2627" i="1"/>
  <c r="C2627" i="1"/>
  <c r="G2626" i="1"/>
  <c r="E2626" i="1"/>
  <c r="C2626" i="1"/>
  <c r="G2625" i="1"/>
  <c r="E2625" i="1"/>
  <c r="C2625" i="1"/>
  <c r="G2624" i="1"/>
  <c r="E2624" i="1"/>
  <c r="C2624" i="1"/>
  <c r="G2623" i="1"/>
  <c r="E2623" i="1"/>
  <c r="C2623" i="1"/>
  <c r="G2622" i="1"/>
  <c r="E2622" i="1"/>
  <c r="C2622" i="1"/>
  <c r="G2621" i="1"/>
  <c r="E2621" i="1"/>
  <c r="C2621" i="1"/>
  <c r="G2620" i="1"/>
  <c r="E2620" i="1"/>
  <c r="C2620" i="1"/>
  <c r="G2619" i="1"/>
  <c r="E2619" i="1"/>
  <c r="C2619" i="1"/>
  <c r="G2618" i="1"/>
  <c r="E2618" i="1"/>
  <c r="C2618" i="1"/>
  <c r="G2617" i="1"/>
  <c r="E2617" i="1"/>
  <c r="C2617" i="1"/>
  <c r="G2616" i="1"/>
  <c r="E2616" i="1"/>
  <c r="C2616" i="1"/>
  <c r="G2615" i="1"/>
  <c r="E2615" i="1"/>
  <c r="C2615" i="1"/>
  <c r="G2614" i="1"/>
  <c r="E2614" i="1"/>
  <c r="C2614" i="1"/>
  <c r="G2613" i="1"/>
  <c r="E2613" i="1"/>
  <c r="C2613" i="1"/>
  <c r="G2612" i="1"/>
  <c r="E2612" i="1"/>
  <c r="C2612" i="1"/>
  <c r="G2611" i="1"/>
  <c r="E2611" i="1"/>
  <c r="C2611" i="1"/>
  <c r="G2610" i="1"/>
  <c r="E2610" i="1"/>
  <c r="C2610" i="1"/>
  <c r="G2609" i="1"/>
  <c r="E2609" i="1"/>
  <c r="C2609" i="1"/>
  <c r="G2608" i="1"/>
  <c r="E2608" i="1"/>
  <c r="C2608" i="1"/>
  <c r="G2607" i="1"/>
  <c r="E2607" i="1"/>
  <c r="C2607" i="1"/>
  <c r="G2606" i="1"/>
  <c r="E2606" i="1"/>
  <c r="C2606" i="1"/>
  <c r="G2605" i="1"/>
  <c r="E2605" i="1"/>
  <c r="C2605" i="1"/>
  <c r="G2604" i="1"/>
  <c r="E2604" i="1"/>
  <c r="C2604" i="1"/>
  <c r="G2603" i="1"/>
  <c r="E2603" i="1"/>
  <c r="C2603" i="1"/>
  <c r="G2602" i="1"/>
  <c r="E2602" i="1"/>
  <c r="C2602" i="1"/>
  <c r="G2601" i="1"/>
  <c r="E2601" i="1"/>
  <c r="C2601" i="1"/>
  <c r="G2600" i="1"/>
  <c r="E2600" i="1"/>
  <c r="C2600" i="1"/>
  <c r="G2599" i="1"/>
  <c r="E2599" i="1"/>
  <c r="C2599" i="1"/>
  <c r="G2598" i="1"/>
  <c r="E2598" i="1"/>
  <c r="C2598" i="1"/>
  <c r="G2597" i="1"/>
  <c r="E2597" i="1"/>
  <c r="C2597" i="1"/>
  <c r="G2596" i="1"/>
  <c r="E2596" i="1"/>
  <c r="C2596" i="1"/>
  <c r="G2595" i="1"/>
  <c r="E2595" i="1"/>
  <c r="C2595" i="1"/>
  <c r="G2594" i="1"/>
  <c r="E2594" i="1"/>
  <c r="C2594" i="1"/>
  <c r="G2593" i="1"/>
  <c r="E2593" i="1"/>
  <c r="C2593" i="1"/>
  <c r="G2592" i="1"/>
  <c r="E2592" i="1"/>
  <c r="C2592" i="1"/>
  <c r="G2591" i="1"/>
  <c r="E2591" i="1"/>
  <c r="C2591" i="1"/>
  <c r="G2590" i="1"/>
  <c r="E2590" i="1"/>
  <c r="C2590" i="1"/>
  <c r="G2589" i="1"/>
  <c r="E2589" i="1"/>
  <c r="C2589" i="1"/>
  <c r="G2588" i="1"/>
  <c r="E2588" i="1"/>
  <c r="C2588" i="1"/>
  <c r="G2587" i="1"/>
  <c r="E2587" i="1"/>
  <c r="C2587" i="1"/>
  <c r="G2586" i="1"/>
  <c r="E2586" i="1"/>
  <c r="C2586" i="1"/>
  <c r="G2585" i="1"/>
  <c r="E2585" i="1"/>
  <c r="C2585" i="1"/>
  <c r="G2584" i="1"/>
  <c r="E2584" i="1"/>
  <c r="C2584" i="1"/>
  <c r="G2583" i="1"/>
  <c r="E2583" i="1"/>
  <c r="C2583" i="1"/>
  <c r="G2582" i="1"/>
  <c r="E2582" i="1"/>
  <c r="C2582" i="1"/>
  <c r="G2581" i="1"/>
  <c r="E2581" i="1"/>
  <c r="C2581" i="1"/>
  <c r="G2580" i="1"/>
  <c r="E2580" i="1"/>
  <c r="C2580" i="1"/>
  <c r="G2579" i="1"/>
  <c r="E2579" i="1"/>
  <c r="C2579" i="1"/>
  <c r="G2578" i="1"/>
  <c r="E2578" i="1"/>
  <c r="C2578" i="1"/>
  <c r="G2577" i="1"/>
  <c r="E2577" i="1"/>
  <c r="C2577" i="1"/>
  <c r="G2576" i="1"/>
  <c r="E2576" i="1"/>
  <c r="C2576" i="1"/>
  <c r="G2575" i="1"/>
  <c r="E2575" i="1"/>
  <c r="C2575" i="1"/>
  <c r="G2574" i="1"/>
  <c r="E2574" i="1"/>
  <c r="C2574" i="1"/>
  <c r="G2573" i="1"/>
  <c r="E2573" i="1"/>
  <c r="C2573" i="1"/>
  <c r="G2572" i="1"/>
  <c r="E2572" i="1"/>
  <c r="C2572" i="1"/>
  <c r="G2571" i="1"/>
  <c r="E2571" i="1"/>
  <c r="C2571" i="1"/>
  <c r="G2570" i="1"/>
  <c r="E2570" i="1"/>
  <c r="C2570" i="1"/>
  <c r="G2569" i="1"/>
  <c r="E2569" i="1"/>
  <c r="C2569" i="1"/>
  <c r="G2568" i="1"/>
  <c r="E2568" i="1"/>
  <c r="C2568" i="1"/>
  <c r="G2567" i="1"/>
  <c r="E2567" i="1"/>
  <c r="C2567" i="1"/>
  <c r="G2566" i="1"/>
  <c r="E2566" i="1"/>
  <c r="C2566" i="1"/>
  <c r="G2565" i="1"/>
  <c r="E2565" i="1"/>
  <c r="C2565" i="1"/>
  <c r="G2564" i="1"/>
  <c r="E2564" i="1"/>
  <c r="C2564" i="1"/>
  <c r="G2563" i="1"/>
  <c r="E2563" i="1"/>
  <c r="C2563" i="1"/>
  <c r="G2562" i="1"/>
  <c r="E2562" i="1"/>
  <c r="C2562" i="1"/>
  <c r="G2561" i="1"/>
  <c r="E2561" i="1"/>
  <c r="C2561" i="1"/>
  <c r="G2560" i="1"/>
  <c r="E2560" i="1"/>
  <c r="C2560" i="1"/>
  <c r="G2559" i="1"/>
  <c r="E2559" i="1"/>
  <c r="C2559" i="1"/>
  <c r="G2558" i="1"/>
  <c r="E2558" i="1"/>
  <c r="C2558" i="1"/>
  <c r="G2557" i="1"/>
  <c r="E2557" i="1"/>
  <c r="C2557" i="1"/>
  <c r="G2556" i="1"/>
  <c r="E2556" i="1"/>
  <c r="C2556" i="1"/>
  <c r="G2555" i="1"/>
  <c r="E2555" i="1"/>
  <c r="C2555" i="1"/>
  <c r="G2554" i="1"/>
  <c r="E2554" i="1"/>
  <c r="C2554" i="1"/>
  <c r="G2553" i="1"/>
  <c r="E2553" i="1"/>
  <c r="C2553" i="1"/>
  <c r="G2552" i="1"/>
  <c r="E2552" i="1"/>
  <c r="C2552" i="1"/>
  <c r="G2551" i="1"/>
  <c r="E2551" i="1"/>
  <c r="C2551" i="1"/>
  <c r="G2550" i="1"/>
  <c r="E2550" i="1"/>
  <c r="C2550" i="1"/>
  <c r="G2549" i="1"/>
  <c r="E2549" i="1"/>
  <c r="C2549" i="1"/>
  <c r="G2548" i="1"/>
  <c r="E2548" i="1"/>
  <c r="C2548" i="1"/>
  <c r="G2547" i="1"/>
  <c r="E2547" i="1"/>
  <c r="C2547" i="1"/>
  <c r="G2546" i="1"/>
  <c r="E2546" i="1"/>
  <c r="C2546" i="1"/>
  <c r="G2545" i="1"/>
  <c r="E2545" i="1"/>
  <c r="C2545" i="1"/>
  <c r="G2544" i="1"/>
  <c r="E2544" i="1"/>
  <c r="C2544" i="1"/>
  <c r="G2543" i="1"/>
  <c r="E2543" i="1"/>
  <c r="C2543" i="1"/>
  <c r="G2542" i="1"/>
  <c r="E2542" i="1"/>
  <c r="C2542" i="1"/>
  <c r="G2541" i="1"/>
  <c r="E2541" i="1"/>
  <c r="C2541" i="1"/>
  <c r="G2540" i="1"/>
  <c r="E2540" i="1"/>
  <c r="C2540" i="1"/>
  <c r="G2539" i="1"/>
  <c r="E2539" i="1"/>
  <c r="C2539" i="1"/>
  <c r="G2538" i="1"/>
  <c r="E2538" i="1"/>
  <c r="C2538" i="1"/>
  <c r="G2537" i="1"/>
  <c r="E2537" i="1"/>
  <c r="C2537" i="1"/>
  <c r="G2536" i="1"/>
  <c r="E2536" i="1"/>
  <c r="C2536" i="1"/>
  <c r="G2535" i="1"/>
  <c r="E2535" i="1"/>
  <c r="C2535" i="1"/>
  <c r="G2534" i="1"/>
  <c r="E2534" i="1"/>
  <c r="C2534" i="1"/>
  <c r="G2533" i="1"/>
  <c r="E2533" i="1"/>
  <c r="C2533" i="1"/>
  <c r="G2532" i="1"/>
  <c r="E2532" i="1"/>
  <c r="C2532" i="1"/>
  <c r="G2531" i="1"/>
  <c r="E2531" i="1"/>
  <c r="C2531" i="1"/>
  <c r="G2530" i="1"/>
  <c r="E2530" i="1"/>
  <c r="C2530" i="1"/>
  <c r="G2529" i="1"/>
  <c r="E2529" i="1"/>
  <c r="C2529" i="1"/>
  <c r="G2528" i="1"/>
  <c r="E2528" i="1"/>
  <c r="C2528" i="1"/>
  <c r="G2527" i="1"/>
  <c r="E2527" i="1"/>
  <c r="C2527" i="1"/>
  <c r="G2526" i="1"/>
  <c r="E2526" i="1"/>
  <c r="C2526" i="1"/>
  <c r="G2525" i="1"/>
  <c r="E2525" i="1"/>
  <c r="C2525" i="1"/>
  <c r="G2524" i="1"/>
  <c r="E2524" i="1"/>
  <c r="C2524" i="1"/>
  <c r="G2523" i="1"/>
  <c r="E2523" i="1"/>
  <c r="C2523" i="1"/>
  <c r="G2522" i="1"/>
  <c r="E2522" i="1"/>
  <c r="C2522" i="1"/>
  <c r="G2521" i="1"/>
  <c r="E2521" i="1"/>
  <c r="C2521" i="1"/>
  <c r="G2520" i="1"/>
  <c r="E2520" i="1"/>
  <c r="C2520" i="1"/>
  <c r="G2519" i="1"/>
  <c r="E2519" i="1"/>
  <c r="C2519" i="1"/>
  <c r="G2518" i="1"/>
  <c r="E2518" i="1"/>
  <c r="C2518" i="1"/>
  <c r="G2517" i="1"/>
  <c r="E2517" i="1"/>
  <c r="C2517" i="1"/>
  <c r="G2516" i="1"/>
  <c r="E2516" i="1"/>
  <c r="C2516" i="1"/>
  <c r="G2515" i="1"/>
  <c r="E2515" i="1"/>
  <c r="C2515" i="1"/>
  <c r="G2514" i="1"/>
  <c r="E2514" i="1"/>
  <c r="C2514" i="1"/>
  <c r="G2513" i="1"/>
  <c r="E2513" i="1"/>
  <c r="C2513" i="1"/>
  <c r="G2512" i="1"/>
  <c r="E2512" i="1"/>
  <c r="C2512" i="1"/>
  <c r="G2511" i="1"/>
  <c r="E2511" i="1"/>
  <c r="C2511" i="1"/>
  <c r="G2510" i="1"/>
  <c r="E2510" i="1"/>
  <c r="C2510" i="1"/>
  <c r="G2509" i="1"/>
  <c r="E2509" i="1"/>
  <c r="C2509" i="1"/>
  <c r="G2508" i="1"/>
  <c r="E2508" i="1"/>
  <c r="C2508" i="1"/>
  <c r="G2507" i="1"/>
  <c r="E2507" i="1"/>
  <c r="C2507" i="1"/>
  <c r="G2506" i="1"/>
  <c r="E2506" i="1"/>
  <c r="C2506" i="1"/>
  <c r="G2505" i="1"/>
  <c r="E2505" i="1"/>
  <c r="C2505" i="1"/>
  <c r="G2504" i="1"/>
  <c r="E2504" i="1"/>
  <c r="C2504" i="1"/>
  <c r="G2503" i="1"/>
  <c r="E2503" i="1"/>
  <c r="C2503" i="1"/>
  <c r="G2502" i="1"/>
  <c r="E2502" i="1"/>
  <c r="C2502" i="1"/>
  <c r="G2501" i="1"/>
  <c r="E2501" i="1"/>
  <c r="C2501" i="1"/>
  <c r="G2500" i="1"/>
  <c r="E2500" i="1"/>
  <c r="C2500" i="1"/>
  <c r="G2499" i="1"/>
  <c r="E2499" i="1"/>
  <c r="C2499" i="1"/>
  <c r="G2498" i="1"/>
  <c r="E2498" i="1"/>
  <c r="C2498" i="1"/>
  <c r="G2497" i="1"/>
  <c r="E2497" i="1"/>
  <c r="C2497" i="1"/>
  <c r="G2496" i="1"/>
  <c r="E2496" i="1"/>
  <c r="C2496" i="1"/>
  <c r="G2495" i="1"/>
  <c r="E2495" i="1"/>
  <c r="C2495" i="1"/>
  <c r="G2494" i="1"/>
  <c r="E2494" i="1"/>
  <c r="C2494" i="1"/>
  <c r="G2493" i="1"/>
  <c r="E2493" i="1"/>
  <c r="C2493" i="1"/>
  <c r="G2492" i="1"/>
  <c r="E2492" i="1"/>
  <c r="C2492" i="1"/>
  <c r="G2491" i="1"/>
  <c r="E2491" i="1"/>
  <c r="C2491" i="1"/>
  <c r="G2490" i="1"/>
  <c r="E2490" i="1"/>
  <c r="C2490" i="1"/>
  <c r="G2489" i="1"/>
  <c r="E2489" i="1"/>
  <c r="C2489" i="1"/>
  <c r="G2488" i="1"/>
  <c r="E2488" i="1"/>
  <c r="C2488" i="1"/>
  <c r="G2487" i="1"/>
  <c r="E2487" i="1"/>
  <c r="C2487" i="1"/>
  <c r="G2486" i="1"/>
  <c r="E2486" i="1"/>
  <c r="C2486" i="1"/>
  <c r="G2485" i="1"/>
  <c r="E2485" i="1"/>
  <c r="C2485" i="1"/>
  <c r="G2484" i="1"/>
  <c r="E2484" i="1"/>
  <c r="C2484" i="1"/>
  <c r="G2483" i="1"/>
  <c r="E2483" i="1"/>
  <c r="C2483" i="1"/>
  <c r="G2482" i="1"/>
  <c r="E2482" i="1"/>
  <c r="C2482" i="1"/>
  <c r="G2481" i="1"/>
  <c r="E2481" i="1"/>
  <c r="C2481" i="1"/>
  <c r="G2480" i="1"/>
  <c r="E2480" i="1"/>
  <c r="C2480" i="1"/>
  <c r="G2479" i="1"/>
  <c r="E2479" i="1"/>
  <c r="C2479" i="1"/>
  <c r="G2478" i="1"/>
  <c r="E2478" i="1"/>
  <c r="C2478" i="1"/>
  <c r="G2477" i="1"/>
  <c r="E2477" i="1"/>
  <c r="C2477" i="1"/>
  <c r="G2476" i="1"/>
  <c r="E2476" i="1"/>
  <c r="C2476" i="1"/>
  <c r="G2475" i="1"/>
  <c r="E2475" i="1"/>
  <c r="C2475" i="1"/>
  <c r="G2474" i="1"/>
  <c r="E2474" i="1"/>
  <c r="C2474" i="1"/>
  <c r="G2473" i="1"/>
  <c r="E2473" i="1"/>
  <c r="C2473" i="1"/>
  <c r="G2472" i="1"/>
  <c r="E2472" i="1"/>
  <c r="C2472" i="1"/>
  <c r="G2471" i="1"/>
  <c r="E2471" i="1"/>
  <c r="C2471" i="1"/>
  <c r="G2470" i="1"/>
  <c r="E2470" i="1"/>
  <c r="C2470" i="1"/>
  <c r="G2469" i="1"/>
  <c r="E2469" i="1"/>
  <c r="C2469" i="1"/>
  <c r="G2468" i="1"/>
  <c r="E2468" i="1"/>
  <c r="C2468" i="1"/>
  <c r="G2467" i="1"/>
  <c r="E2467" i="1"/>
  <c r="C2467" i="1"/>
  <c r="G2466" i="1"/>
  <c r="E2466" i="1"/>
  <c r="C2466" i="1"/>
  <c r="G2465" i="1"/>
  <c r="E2465" i="1"/>
  <c r="C2465" i="1"/>
  <c r="G2464" i="1"/>
  <c r="E2464" i="1"/>
  <c r="C2464" i="1"/>
  <c r="G2463" i="1"/>
  <c r="E2463" i="1"/>
  <c r="C2463" i="1"/>
  <c r="G2462" i="1"/>
  <c r="E2462" i="1"/>
  <c r="C2462" i="1"/>
  <c r="G2461" i="1"/>
  <c r="E2461" i="1"/>
  <c r="C2461" i="1"/>
  <c r="G2460" i="1"/>
  <c r="E2460" i="1"/>
  <c r="C2460" i="1"/>
  <c r="G2459" i="1"/>
  <c r="E2459" i="1"/>
  <c r="C2459" i="1"/>
  <c r="G2458" i="1"/>
  <c r="E2458" i="1"/>
  <c r="C2458" i="1"/>
  <c r="G2457" i="1"/>
  <c r="E2457" i="1"/>
  <c r="C2457" i="1"/>
  <c r="G2456" i="1"/>
  <c r="E2456" i="1"/>
  <c r="C2456" i="1"/>
  <c r="G2455" i="1"/>
  <c r="E2455" i="1"/>
  <c r="C2455" i="1"/>
  <c r="G2454" i="1"/>
  <c r="E2454" i="1"/>
  <c r="C2454" i="1"/>
  <c r="G2453" i="1"/>
  <c r="E2453" i="1"/>
  <c r="C2453" i="1"/>
  <c r="G2452" i="1"/>
  <c r="E2452" i="1"/>
  <c r="C2452" i="1"/>
  <c r="G2451" i="1"/>
  <c r="E2451" i="1"/>
  <c r="C2451" i="1"/>
  <c r="G2450" i="1"/>
  <c r="E2450" i="1"/>
  <c r="C2450" i="1"/>
  <c r="G2449" i="1"/>
  <c r="E2449" i="1"/>
  <c r="C2449" i="1"/>
  <c r="G2448" i="1"/>
  <c r="E2448" i="1"/>
  <c r="C2448" i="1"/>
  <c r="G2447" i="1"/>
  <c r="E2447" i="1"/>
  <c r="C2447" i="1"/>
  <c r="G2446" i="1"/>
  <c r="E2446" i="1"/>
  <c r="C2446" i="1"/>
  <c r="G2445" i="1"/>
  <c r="E2445" i="1"/>
  <c r="C2445" i="1"/>
  <c r="G2444" i="1"/>
  <c r="E2444" i="1"/>
  <c r="C2444" i="1"/>
  <c r="G2443" i="1"/>
  <c r="E2443" i="1"/>
  <c r="C2443" i="1"/>
  <c r="G2442" i="1"/>
  <c r="E2442" i="1"/>
  <c r="C2442" i="1"/>
  <c r="G2441" i="1"/>
  <c r="E2441" i="1"/>
  <c r="C2441" i="1"/>
  <c r="G2440" i="1"/>
  <c r="E2440" i="1"/>
  <c r="C2440" i="1"/>
  <c r="G2439" i="1"/>
  <c r="E2439" i="1"/>
  <c r="C2439" i="1"/>
  <c r="G2438" i="1"/>
  <c r="E2438" i="1"/>
  <c r="C2438" i="1"/>
  <c r="G2437" i="1"/>
  <c r="E2437" i="1"/>
  <c r="C2437" i="1"/>
  <c r="G2436" i="1"/>
  <c r="E2436" i="1"/>
  <c r="C2436" i="1"/>
  <c r="G2435" i="1"/>
  <c r="E2435" i="1"/>
  <c r="C2435" i="1"/>
  <c r="G2434" i="1"/>
  <c r="E2434" i="1"/>
  <c r="C2434" i="1"/>
  <c r="G2433" i="1"/>
  <c r="E2433" i="1"/>
  <c r="C2433" i="1"/>
  <c r="G2432" i="1"/>
  <c r="E2432" i="1"/>
  <c r="C2432" i="1"/>
  <c r="G2431" i="1"/>
  <c r="E2431" i="1"/>
  <c r="C2431" i="1"/>
  <c r="G2430" i="1"/>
  <c r="E2430" i="1"/>
  <c r="C2430" i="1"/>
  <c r="G2429" i="1"/>
  <c r="E2429" i="1"/>
  <c r="C2429" i="1"/>
  <c r="G2428" i="1"/>
  <c r="E2428" i="1"/>
  <c r="C2428" i="1"/>
  <c r="G2427" i="1"/>
  <c r="E2427" i="1"/>
  <c r="C2427" i="1"/>
  <c r="G2426" i="1"/>
  <c r="E2426" i="1"/>
  <c r="C2426" i="1"/>
  <c r="G2425" i="1"/>
  <c r="E2425" i="1"/>
  <c r="C2425" i="1"/>
  <c r="G2424" i="1"/>
  <c r="E2424" i="1"/>
  <c r="C2424" i="1"/>
  <c r="G2423" i="1"/>
  <c r="E2423" i="1"/>
  <c r="C2423" i="1"/>
  <c r="G2422" i="1"/>
  <c r="E2422" i="1"/>
  <c r="C2422" i="1"/>
  <c r="G2421" i="1"/>
  <c r="E2421" i="1"/>
  <c r="C2421" i="1"/>
  <c r="G2420" i="1"/>
  <c r="E2420" i="1"/>
  <c r="C2420" i="1"/>
  <c r="G2419" i="1"/>
  <c r="E2419" i="1"/>
  <c r="C2419" i="1"/>
  <c r="G2418" i="1"/>
  <c r="E2418" i="1"/>
  <c r="C2418" i="1"/>
  <c r="G2417" i="1"/>
  <c r="E2417" i="1"/>
  <c r="C2417" i="1"/>
  <c r="G2416" i="1"/>
  <c r="E2416" i="1"/>
  <c r="C2416" i="1"/>
  <c r="G2415" i="1"/>
  <c r="E2415" i="1"/>
  <c r="C2415" i="1"/>
  <c r="G2414" i="1"/>
  <c r="E2414" i="1"/>
  <c r="C2414" i="1"/>
  <c r="G2413" i="1"/>
  <c r="E2413" i="1"/>
  <c r="C2413" i="1"/>
  <c r="G2412" i="1"/>
  <c r="E2412" i="1"/>
  <c r="C2412" i="1"/>
  <c r="G2411" i="1"/>
  <c r="E2411" i="1"/>
  <c r="C2411" i="1"/>
  <c r="G2410" i="1"/>
  <c r="E2410" i="1"/>
  <c r="C2410" i="1"/>
  <c r="G2409" i="1"/>
  <c r="E2409" i="1"/>
  <c r="C2409" i="1"/>
  <c r="G2408" i="1"/>
  <c r="E2408" i="1"/>
  <c r="C2408" i="1"/>
  <c r="G2407" i="1"/>
  <c r="E2407" i="1"/>
  <c r="C2407" i="1"/>
  <c r="G2406" i="1"/>
  <c r="E2406" i="1"/>
  <c r="C2406" i="1"/>
  <c r="G2405" i="1"/>
  <c r="E2405" i="1"/>
  <c r="C2405" i="1"/>
  <c r="G2404" i="1"/>
  <c r="E2404" i="1"/>
  <c r="C2404" i="1"/>
  <c r="G2403" i="1"/>
  <c r="E2403" i="1"/>
  <c r="C2403" i="1"/>
  <c r="G2402" i="1"/>
  <c r="E2402" i="1"/>
  <c r="C2402" i="1"/>
  <c r="G2401" i="1"/>
  <c r="E2401" i="1"/>
  <c r="C2401" i="1"/>
  <c r="G2400" i="1"/>
  <c r="E2400" i="1"/>
  <c r="C2400" i="1"/>
  <c r="G2399" i="1"/>
  <c r="E2399" i="1"/>
  <c r="C2399" i="1"/>
  <c r="G2398" i="1"/>
  <c r="E2398" i="1"/>
  <c r="C2398" i="1"/>
  <c r="G2397" i="1"/>
  <c r="E2397" i="1"/>
  <c r="C2397" i="1"/>
  <c r="G2396" i="1"/>
  <c r="E2396" i="1"/>
  <c r="C2396" i="1"/>
  <c r="G2395" i="1"/>
  <c r="E2395" i="1"/>
  <c r="C2395" i="1"/>
  <c r="G2394" i="1"/>
  <c r="E2394" i="1"/>
  <c r="C2394" i="1"/>
  <c r="G2393" i="1"/>
  <c r="E2393" i="1"/>
  <c r="C2393" i="1"/>
  <c r="G2392" i="1"/>
  <c r="E2392" i="1"/>
  <c r="C2392" i="1"/>
  <c r="G2391" i="1"/>
  <c r="E2391" i="1"/>
  <c r="C2391" i="1"/>
  <c r="G2390" i="1"/>
  <c r="E2390" i="1"/>
  <c r="C2390" i="1"/>
  <c r="G2389" i="1"/>
  <c r="E2389" i="1"/>
  <c r="C2389" i="1"/>
  <c r="G2388" i="1"/>
  <c r="E2388" i="1"/>
  <c r="C2388" i="1"/>
  <c r="G2387" i="1"/>
  <c r="E2387" i="1"/>
  <c r="C2387" i="1"/>
  <c r="G2386" i="1"/>
  <c r="E2386" i="1"/>
  <c r="C2386" i="1"/>
  <c r="G2385" i="1"/>
  <c r="E2385" i="1"/>
  <c r="C2385" i="1"/>
  <c r="G2384" i="1"/>
  <c r="E2384" i="1"/>
  <c r="C2384" i="1"/>
  <c r="G2383" i="1"/>
  <c r="E2383" i="1"/>
  <c r="C2383" i="1"/>
  <c r="G2382" i="1"/>
  <c r="E2382" i="1"/>
  <c r="C2382" i="1"/>
  <c r="G2381" i="1"/>
  <c r="E2381" i="1"/>
  <c r="C2381" i="1"/>
  <c r="G2380" i="1"/>
  <c r="E2380" i="1"/>
  <c r="C2380" i="1"/>
  <c r="G2379" i="1"/>
  <c r="E2379" i="1"/>
  <c r="C2379" i="1"/>
  <c r="G2378" i="1"/>
  <c r="E2378" i="1"/>
  <c r="C2378" i="1"/>
  <c r="G2377" i="1"/>
  <c r="E2377" i="1"/>
  <c r="C2377" i="1"/>
  <c r="G2376" i="1"/>
  <c r="E2376" i="1"/>
  <c r="C2376" i="1"/>
  <c r="G2375" i="1"/>
  <c r="E2375" i="1"/>
  <c r="C2375" i="1"/>
  <c r="G2374" i="1"/>
  <c r="E2374" i="1"/>
  <c r="C2374" i="1"/>
  <c r="G2373" i="1"/>
  <c r="E2373" i="1"/>
  <c r="C2373" i="1"/>
  <c r="G2372" i="1"/>
  <c r="E2372" i="1"/>
  <c r="C2372" i="1"/>
  <c r="G2371" i="1"/>
  <c r="E2371" i="1"/>
  <c r="C2371" i="1"/>
  <c r="G2370" i="1"/>
  <c r="E2370" i="1"/>
  <c r="C2370" i="1"/>
  <c r="G2369" i="1"/>
  <c r="E2369" i="1"/>
  <c r="C2369" i="1"/>
  <c r="G2368" i="1"/>
  <c r="E2368" i="1"/>
  <c r="C2368" i="1"/>
  <c r="G2367" i="1"/>
  <c r="E2367" i="1"/>
  <c r="C2367" i="1"/>
  <c r="G2366" i="1"/>
  <c r="E2366" i="1"/>
  <c r="C2366" i="1"/>
  <c r="G2365" i="1"/>
  <c r="E2365" i="1"/>
  <c r="C2365" i="1"/>
  <c r="G2364" i="1"/>
  <c r="E2364" i="1"/>
  <c r="C2364" i="1"/>
  <c r="G2363" i="1"/>
  <c r="E2363" i="1"/>
  <c r="C2363" i="1"/>
  <c r="G2362" i="1"/>
  <c r="E2362" i="1"/>
  <c r="C2362" i="1"/>
  <c r="G2361" i="1"/>
  <c r="E2361" i="1"/>
  <c r="C2361" i="1"/>
  <c r="G2360" i="1"/>
  <c r="E2360" i="1"/>
  <c r="C2360" i="1"/>
  <c r="G2359" i="1"/>
  <c r="E2359" i="1"/>
  <c r="C2359" i="1"/>
  <c r="G2358" i="1"/>
  <c r="E2358" i="1"/>
  <c r="C2358" i="1"/>
  <c r="G2357" i="1"/>
  <c r="E2357" i="1"/>
  <c r="C2357" i="1"/>
  <c r="G2356" i="1"/>
  <c r="E2356" i="1"/>
  <c r="C2356" i="1"/>
  <c r="G2355" i="1"/>
  <c r="E2355" i="1"/>
  <c r="C2355" i="1"/>
  <c r="G2354" i="1"/>
  <c r="E2354" i="1"/>
  <c r="C2354" i="1"/>
  <c r="G2353" i="1"/>
  <c r="E2353" i="1"/>
  <c r="C2353" i="1"/>
  <c r="G2352" i="1"/>
  <c r="E2352" i="1"/>
  <c r="C2352" i="1"/>
  <c r="G2351" i="1"/>
  <c r="E2351" i="1"/>
  <c r="C2351" i="1"/>
  <c r="G2350" i="1"/>
  <c r="E2350" i="1"/>
  <c r="C2350" i="1"/>
  <c r="G2349" i="1"/>
  <c r="E2349" i="1"/>
  <c r="C2349" i="1"/>
  <c r="G2348" i="1"/>
  <c r="E2348" i="1"/>
  <c r="C2348" i="1"/>
  <c r="G2347" i="1"/>
  <c r="E2347" i="1"/>
  <c r="C2347" i="1"/>
  <c r="G2346" i="1"/>
  <c r="E2346" i="1"/>
  <c r="C2346" i="1"/>
  <c r="G2345" i="1"/>
  <c r="E2345" i="1"/>
  <c r="C2345" i="1"/>
  <c r="G2344" i="1"/>
  <c r="E2344" i="1"/>
  <c r="C2344" i="1"/>
  <c r="G2343" i="1"/>
  <c r="E2343" i="1"/>
  <c r="C2343" i="1"/>
  <c r="G2342" i="1"/>
  <c r="E2342" i="1"/>
  <c r="C2342" i="1"/>
  <c r="G2341" i="1"/>
  <c r="E2341" i="1"/>
  <c r="C2341" i="1"/>
  <c r="G2340" i="1"/>
  <c r="E2340" i="1"/>
  <c r="C2340" i="1"/>
  <c r="G2339" i="1"/>
  <c r="E2339" i="1"/>
  <c r="C2339" i="1"/>
  <c r="G2338" i="1"/>
  <c r="E2338" i="1"/>
  <c r="C2338" i="1"/>
  <c r="G2337" i="1"/>
  <c r="E2337" i="1"/>
  <c r="C2337" i="1"/>
  <c r="G2336" i="1"/>
  <c r="E2336" i="1"/>
  <c r="C2336" i="1"/>
  <c r="G2335" i="1"/>
  <c r="E2335" i="1"/>
  <c r="C2335" i="1"/>
  <c r="G2334" i="1"/>
  <c r="E2334" i="1"/>
  <c r="C2334" i="1"/>
  <c r="G2333" i="1"/>
  <c r="E2333" i="1"/>
  <c r="C2333" i="1"/>
  <c r="G2332" i="1"/>
  <c r="E2332" i="1"/>
  <c r="C2332" i="1"/>
  <c r="G2331" i="1"/>
  <c r="E2331" i="1"/>
  <c r="C2331" i="1"/>
  <c r="G2330" i="1"/>
  <c r="E2330" i="1"/>
  <c r="C2330" i="1"/>
  <c r="G2329" i="1"/>
  <c r="E2329" i="1"/>
  <c r="C2329" i="1"/>
  <c r="G2328" i="1"/>
  <c r="E2328" i="1"/>
  <c r="C2328" i="1"/>
  <c r="G2327" i="1"/>
  <c r="E2327" i="1"/>
  <c r="C2327" i="1"/>
  <c r="G2326" i="1"/>
  <c r="E2326" i="1"/>
  <c r="C2326" i="1"/>
  <c r="G2325" i="1"/>
  <c r="E2325" i="1"/>
  <c r="C2325" i="1"/>
  <c r="G2324" i="1"/>
  <c r="E2324" i="1"/>
  <c r="C2324" i="1"/>
  <c r="G2323" i="1"/>
  <c r="E2323" i="1"/>
  <c r="C2323" i="1"/>
  <c r="G2322" i="1"/>
  <c r="E2322" i="1"/>
  <c r="C2322" i="1"/>
  <c r="G2321" i="1"/>
  <c r="E2321" i="1"/>
  <c r="C2321" i="1"/>
  <c r="G2320" i="1"/>
  <c r="E2320" i="1"/>
  <c r="C2320" i="1"/>
  <c r="G2319" i="1"/>
  <c r="E2319" i="1"/>
  <c r="C2319" i="1"/>
  <c r="G2318" i="1"/>
  <c r="E2318" i="1"/>
  <c r="C2318" i="1"/>
  <c r="G2317" i="1"/>
  <c r="E2317" i="1"/>
  <c r="C2317" i="1"/>
  <c r="G2316" i="1"/>
  <c r="E2316" i="1"/>
  <c r="C2316" i="1"/>
  <c r="G2315" i="1"/>
  <c r="E2315" i="1"/>
  <c r="C2315" i="1"/>
  <c r="G2314" i="1"/>
  <c r="E2314" i="1"/>
  <c r="C2314" i="1"/>
  <c r="G2313" i="1"/>
  <c r="E2313" i="1"/>
  <c r="C2313" i="1"/>
  <c r="G2312" i="1"/>
  <c r="E2312" i="1"/>
  <c r="C2312" i="1"/>
  <c r="G2311" i="1"/>
  <c r="E2311" i="1"/>
  <c r="C2311" i="1"/>
  <c r="G2310" i="1"/>
  <c r="E2310" i="1"/>
  <c r="C2310" i="1"/>
  <c r="G2309" i="1"/>
  <c r="E2309" i="1"/>
  <c r="C2309" i="1"/>
  <c r="G2308" i="1"/>
  <c r="E2308" i="1"/>
  <c r="C2308" i="1"/>
  <c r="G2307" i="1"/>
  <c r="E2307" i="1"/>
  <c r="C2307" i="1"/>
  <c r="G2306" i="1"/>
  <c r="E2306" i="1"/>
  <c r="C2306" i="1"/>
  <c r="G2305" i="1"/>
  <c r="E2305" i="1"/>
  <c r="C2305" i="1"/>
  <c r="G2304" i="1"/>
  <c r="E2304" i="1"/>
  <c r="C2304" i="1"/>
  <c r="G2303" i="1"/>
  <c r="E2303" i="1"/>
  <c r="C2303" i="1"/>
  <c r="G2302" i="1"/>
  <c r="E2302" i="1"/>
  <c r="C2302" i="1"/>
  <c r="G2301" i="1"/>
  <c r="E2301" i="1"/>
  <c r="C2301" i="1"/>
  <c r="G2300" i="1"/>
  <c r="E2300" i="1"/>
  <c r="C2300" i="1"/>
  <c r="G2299" i="1"/>
  <c r="E2299" i="1"/>
  <c r="C2299" i="1"/>
  <c r="G2298" i="1"/>
  <c r="E2298" i="1"/>
  <c r="C2298" i="1"/>
  <c r="G2297" i="1"/>
  <c r="E2297" i="1"/>
  <c r="C2297" i="1"/>
  <c r="G2296" i="1"/>
  <c r="E2296" i="1"/>
  <c r="C2296" i="1"/>
  <c r="G2295" i="1"/>
  <c r="E2295" i="1"/>
  <c r="C2295" i="1"/>
  <c r="G2294" i="1"/>
  <c r="E2294" i="1"/>
  <c r="C2294" i="1"/>
  <c r="G2293" i="1"/>
  <c r="E2293" i="1"/>
  <c r="C2293" i="1"/>
  <c r="G2292" i="1"/>
  <c r="E2292" i="1"/>
  <c r="C2292" i="1"/>
  <c r="G2291" i="1"/>
  <c r="E2291" i="1"/>
  <c r="C2291" i="1"/>
  <c r="G2290" i="1"/>
  <c r="E2290" i="1"/>
  <c r="C2290" i="1"/>
  <c r="G2289" i="1"/>
  <c r="E2289" i="1"/>
  <c r="C2289" i="1"/>
  <c r="G2288" i="1"/>
  <c r="E2288" i="1"/>
  <c r="C2288" i="1"/>
  <c r="G2287" i="1"/>
  <c r="E2287" i="1"/>
  <c r="C2287" i="1"/>
  <c r="G2286" i="1"/>
  <c r="E2286" i="1"/>
  <c r="C2286" i="1"/>
  <c r="G2285" i="1"/>
  <c r="E2285" i="1"/>
  <c r="C2285" i="1"/>
  <c r="G2284" i="1"/>
  <c r="E2284" i="1"/>
  <c r="C2284" i="1"/>
  <c r="G2283" i="1"/>
  <c r="E2283" i="1"/>
  <c r="C2283" i="1"/>
  <c r="G2282" i="1"/>
  <c r="E2282" i="1"/>
  <c r="C2282" i="1"/>
  <c r="G2281" i="1"/>
  <c r="E2281" i="1"/>
  <c r="C2281" i="1"/>
  <c r="G2280" i="1"/>
  <c r="E2280" i="1"/>
  <c r="C2280" i="1"/>
  <c r="G2279" i="1"/>
  <c r="E2279" i="1"/>
  <c r="C2279" i="1"/>
  <c r="G2278" i="1"/>
  <c r="E2278" i="1"/>
  <c r="C2278" i="1"/>
  <c r="G2277" i="1"/>
  <c r="E2277" i="1"/>
  <c r="C2277" i="1"/>
  <c r="G2276" i="1"/>
  <c r="E2276" i="1"/>
  <c r="C2276" i="1"/>
  <c r="G2275" i="1"/>
  <c r="E2275" i="1"/>
  <c r="C2275" i="1"/>
  <c r="G2274" i="1"/>
  <c r="E2274" i="1"/>
  <c r="C2274" i="1"/>
  <c r="G2273" i="1"/>
  <c r="E2273" i="1"/>
  <c r="C2273" i="1"/>
  <c r="G2272" i="1"/>
  <c r="E2272" i="1"/>
  <c r="C2272" i="1"/>
  <c r="G2271" i="1"/>
  <c r="E2271" i="1"/>
  <c r="C2271" i="1"/>
  <c r="G2270" i="1"/>
  <c r="E2270" i="1"/>
  <c r="C2270" i="1"/>
  <c r="G2269" i="1"/>
  <c r="E2269" i="1"/>
  <c r="C2269" i="1"/>
  <c r="G2268" i="1"/>
  <c r="E2268" i="1"/>
  <c r="C2268" i="1"/>
  <c r="G2267" i="1"/>
  <c r="E2267" i="1"/>
  <c r="C2267" i="1"/>
  <c r="G2266" i="1"/>
  <c r="E2266" i="1"/>
  <c r="C2266" i="1"/>
  <c r="G2265" i="1"/>
  <c r="E2265" i="1"/>
  <c r="C2265" i="1"/>
  <c r="G2264" i="1"/>
  <c r="E2264" i="1"/>
  <c r="C2264" i="1"/>
  <c r="G2263" i="1"/>
  <c r="E2263" i="1"/>
  <c r="C2263" i="1"/>
  <c r="G2262" i="1"/>
  <c r="E2262" i="1"/>
  <c r="C2262" i="1"/>
  <c r="G2261" i="1"/>
  <c r="E2261" i="1"/>
  <c r="C2261" i="1"/>
  <c r="G2260" i="1"/>
  <c r="E2260" i="1"/>
  <c r="C2260" i="1"/>
  <c r="G2259" i="1"/>
  <c r="E2259" i="1"/>
  <c r="C2259" i="1"/>
  <c r="G2258" i="1"/>
  <c r="E2258" i="1"/>
  <c r="C2258" i="1"/>
  <c r="G2257" i="1"/>
  <c r="E2257" i="1"/>
  <c r="C2257" i="1"/>
  <c r="G2256" i="1"/>
  <c r="E2256" i="1"/>
  <c r="C2256" i="1"/>
  <c r="G2255" i="1"/>
  <c r="E2255" i="1"/>
  <c r="C2255" i="1"/>
  <c r="G2254" i="1"/>
  <c r="E2254" i="1"/>
  <c r="C2254" i="1"/>
  <c r="G2253" i="1"/>
  <c r="E2253" i="1"/>
  <c r="C2253" i="1"/>
  <c r="G2252" i="1"/>
  <c r="E2252" i="1"/>
  <c r="C2252" i="1"/>
  <c r="G2251" i="1"/>
  <c r="E2251" i="1"/>
  <c r="C2251" i="1"/>
  <c r="G2250" i="1"/>
  <c r="E2250" i="1"/>
  <c r="C2250" i="1"/>
  <c r="G2249" i="1"/>
  <c r="E2249" i="1"/>
  <c r="C2249" i="1"/>
  <c r="G2248" i="1"/>
  <c r="E2248" i="1"/>
  <c r="C2248" i="1"/>
  <c r="G2247" i="1"/>
  <c r="E2247" i="1"/>
  <c r="C2247" i="1"/>
  <c r="G2246" i="1"/>
  <c r="E2246" i="1"/>
  <c r="C2246" i="1"/>
  <c r="G2245" i="1"/>
  <c r="E2245" i="1"/>
  <c r="C2245" i="1"/>
  <c r="G2244" i="1"/>
  <c r="E2244" i="1"/>
  <c r="C2244" i="1"/>
  <c r="G2243" i="1"/>
  <c r="E2243" i="1"/>
  <c r="C2243" i="1"/>
  <c r="G2242" i="1"/>
  <c r="E2242" i="1"/>
  <c r="C2242" i="1"/>
  <c r="G2241" i="1"/>
  <c r="E2241" i="1"/>
  <c r="C2241" i="1"/>
  <c r="G2240" i="1"/>
  <c r="E2240" i="1"/>
  <c r="C2240" i="1"/>
  <c r="G2239" i="1"/>
  <c r="E2239" i="1"/>
  <c r="C2239" i="1"/>
  <c r="G2238" i="1"/>
  <c r="E2238" i="1"/>
  <c r="C2238" i="1"/>
  <c r="G2237" i="1"/>
  <c r="E2237" i="1"/>
  <c r="C2237" i="1"/>
  <c r="G2236" i="1"/>
  <c r="E2236" i="1"/>
  <c r="C2236" i="1"/>
  <c r="G2235" i="1"/>
  <c r="E2235" i="1"/>
  <c r="C2235" i="1"/>
  <c r="G2234" i="1"/>
  <c r="E2234" i="1"/>
  <c r="C2234" i="1"/>
  <c r="G2233" i="1"/>
  <c r="E2233" i="1"/>
  <c r="C2233" i="1"/>
  <c r="G2232" i="1"/>
  <c r="E2232" i="1"/>
  <c r="C2232" i="1"/>
  <c r="G2231" i="1"/>
  <c r="E2231" i="1"/>
  <c r="C2231" i="1"/>
  <c r="G2230" i="1"/>
  <c r="E2230" i="1"/>
  <c r="C2230" i="1"/>
  <c r="G2229" i="1"/>
  <c r="E2229" i="1"/>
  <c r="C2229" i="1"/>
  <c r="G2228" i="1"/>
  <c r="E2228" i="1"/>
  <c r="C2228" i="1"/>
  <c r="G2227" i="1"/>
  <c r="E2227" i="1"/>
  <c r="C2227" i="1"/>
  <c r="G2226" i="1"/>
  <c r="E2226" i="1"/>
  <c r="C2226" i="1"/>
  <c r="G2225" i="1"/>
  <c r="E2225" i="1"/>
  <c r="C2225" i="1"/>
  <c r="G2224" i="1"/>
  <c r="E2224" i="1"/>
  <c r="C2224" i="1"/>
  <c r="G2223" i="1"/>
  <c r="E2223" i="1"/>
  <c r="C2223" i="1"/>
  <c r="G2222" i="1"/>
  <c r="E2222" i="1"/>
  <c r="C2222" i="1"/>
  <c r="G2221" i="1"/>
  <c r="E2221" i="1"/>
  <c r="C2221" i="1"/>
  <c r="G2220" i="1"/>
  <c r="E2220" i="1"/>
  <c r="C2220" i="1"/>
  <c r="G2219" i="1"/>
  <c r="E2219" i="1"/>
  <c r="C2219" i="1"/>
  <c r="G2218" i="1"/>
  <c r="E2218" i="1"/>
  <c r="C2218" i="1"/>
  <c r="G2217" i="1"/>
  <c r="E2217" i="1"/>
  <c r="C2217" i="1"/>
  <c r="G2216" i="1"/>
  <c r="E2216" i="1"/>
  <c r="C2216" i="1"/>
  <c r="G2215" i="1"/>
  <c r="E2215" i="1"/>
  <c r="C2215" i="1"/>
  <c r="G2214" i="1"/>
  <c r="E2214" i="1"/>
  <c r="C2214" i="1"/>
  <c r="G2213" i="1"/>
  <c r="E2213" i="1"/>
  <c r="C2213" i="1"/>
  <c r="G2212" i="1"/>
  <c r="E2212" i="1"/>
  <c r="C2212" i="1"/>
  <c r="G2211" i="1"/>
  <c r="E2211" i="1"/>
  <c r="C2211" i="1"/>
  <c r="G2210" i="1"/>
  <c r="E2210" i="1"/>
  <c r="C2210" i="1"/>
  <c r="G2209" i="1"/>
  <c r="E2209" i="1"/>
  <c r="C2209" i="1"/>
  <c r="G2208" i="1"/>
  <c r="E2208" i="1"/>
  <c r="C2208" i="1"/>
  <c r="G2207" i="1"/>
  <c r="E2207" i="1"/>
  <c r="C2207" i="1"/>
  <c r="G2206" i="1"/>
  <c r="E2206" i="1"/>
  <c r="C2206" i="1"/>
  <c r="G2205" i="1"/>
  <c r="E2205" i="1"/>
  <c r="C2205" i="1"/>
  <c r="G2204" i="1"/>
  <c r="E2204" i="1"/>
  <c r="C2204" i="1"/>
  <c r="G2203" i="1"/>
  <c r="E2203" i="1"/>
  <c r="C2203" i="1"/>
  <c r="G2202" i="1"/>
  <c r="E2202" i="1"/>
  <c r="C2202" i="1"/>
  <c r="G2201" i="1"/>
  <c r="E2201" i="1"/>
  <c r="C2201" i="1"/>
  <c r="G2200" i="1"/>
  <c r="E2200" i="1"/>
  <c r="C2200" i="1"/>
  <c r="G2199" i="1"/>
  <c r="E2199" i="1"/>
  <c r="C2199" i="1"/>
  <c r="G2198" i="1"/>
  <c r="E2198" i="1"/>
  <c r="C2198" i="1"/>
  <c r="G2197" i="1"/>
  <c r="E2197" i="1"/>
  <c r="C2197" i="1"/>
  <c r="G2196" i="1"/>
  <c r="E2196" i="1"/>
  <c r="C2196" i="1"/>
  <c r="G2195" i="1"/>
  <c r="E2195" i="1"/>
  <c r="C2195" i="1"/>
  <c r="G2194" i="1"/>
  <c r="E2194" i="1"/>
  <c r="C2194" i="1"/>
  <c r="G2193" i="1"/>
  <c r="E2193" i="1"/>
  <c r="C2193" i="1"/>
  <c r="G2192" i="1"/>
  <c r="E2192" i="1"/>
  <c r="C2192" i="1"/>
  <c r="G2191" i="1"/>
  <c r="E2191" i="1"/>
  <c r="C2191" i="1"/>
  <c r="G2190" i="1"/>
  <c r="E2190" i="1"/>
  <c r="C2190" i="1"/>
  <c r="G2189" i="1"/>
  <c r="E2189" i="1"/>
  <c r="C2189" i="1"/>
  <c r="G2188" i="1"/>
  <c r="E2188" i="1"/>
  <c r="C2188" i="1"/>
  <c r="G2187" i="1"/>
  <c r="E2187" i="1"/>
  <c r="C2187" i="1"/>
  <c r="G2186" i="1"/>
  <c r="E2186" i="1"/>
  <c r="C2186" i="1"/>
  <c r="G2185" i="1"/>
  <c r="E2185" i="1"/>
  <c r="C2185" i="1"/>
  <c r="G2184" i="1"/>
  <c r="E2184" i="1"/>
  <c r="C2184" i="1"/>
  <c r="G2183" i="1"/>
  <c r="E2183" i="1"/>
  <c r="C2183" i="1"/>
  <c r="G2182" i="1"/>
  <c r="E2182" i="1"/>
  <c r="C2182" i="1"/>
  <c r="G2181" i="1"/>
  <c r="E2181" i="1"/>
  <c r="C2181" i="1"/>
  <c r="G2180" i="1"/>
  <c r="E2180" i="1"/>
  <c r="C2180" i="1"/>
  <c r="G2179" i="1"/>
  <c r="E2179" i="1"/>
  <c r="C2179" i="1"/>
  <c r="G2178" i="1"/>
  <c r="E2178" i="1"/>
  <c r="C2178" i="1"/>
  <c r="G2177" i="1"/>
  <c r="E2177" i="1"/>
  <c r="C2177" i="1"/>
  <c r="G2176" i="1"/>
  <c r="E2176" i="1"/>
  <c r="C2176" i="1"/>
  <c r="G2175" i="1"/>
  <c r="E2175" i="1"/>
  <c r="C2175" i="1"/>
  <c r="G2174" i="1"/>
  <c r="E2174" i="1"/>
  <c r="C2174" i="1"/>
  <c r="G2173" i="1"/>
  <c r="E2173" i="1"/>
  <c r="C2173" i="1"/>
  <c r="G2172" i="1"/>
  <c r="E2172" i="1"/>
  <c r="C2172" i="1"/>
  <c r="G2171" i="1"/>
  <c r="E2171" i="1"/>
  <c r="C2171" i="1"/>
  <c r="G2170" i="1"/>
  <c r="E2170" i="1"/>
  <c r="C2170" i="1"/>
  <c r="G2169" i="1"/>
  <c r="E2169" i="1"/>
  <c r="C2169" i="1"/>
  <c r="G2168" i="1"/>
  <c r="E2168" i="1"/>
  <c r="C2168" i="1"/>
  <c r="G2167" i="1"/>
  <c r="E2167" i="1"/>
  <c r="C2167" i="1"/>
  <c r="G2166" i="1"/>
  <c r="E2166" i="1"/>
  <c r="C2166" i="1"/>
  <c r="G2165" i="1"/>
  <c r="E2165" i="1"/>
  <c r="C2165" i="1"/>
  <c r="G2164" i="1"/>
  <c r="E2164" i="1"/>
  <c r="C2164" i="1"/>
  <c r="G2163" i="1"/>
  <c r="E2163" i="1"/>
  <c r="C2163" i="1"/>
  <c r="G2162" i="1"/>
  <c r="E2162" i="1"/>
  <c r="C2162" i="1"/>
  <c r="G2161" i="1"/>
  <c r="E2161" i="1"/>
  <c r="C2161" i="1"/>
  <c r="G2160" i="1"/>
  <c r="E2160" i="1"/>
  <c r="C2160" i="1"/>
  <c r="G2159" i="1"/>
  <c r="E2159" i="1"/>
  <c r="C2159" i="1"/>
  <c r="G2158" i="1"/>
  <c r="E2158" i="1"/>
  <c r="C2158" i="1"/>
  <c r="G2157" i="1"/>
  <c r="E2157" i="1"/>
  <c r="C2157" i="1"/>
  <c r="G2156" i="1"/>
  <c r="E2156" i="1"/>
  <c r="C2156" i="1"/>
  <c r="G2155" i="1"/>
  <c r="E2155" i="1"/>
  <c r="C2155" i="1"/>
  <c r="G2154" i="1"/>
  <c r="E2154" i="1"/>
  <c r="C2154" i="1"/>
  <c r="G2153" i="1"/>
  <c r="E2153" i="1"/>
  <c r="C2153" i="1"/>
  <c r="G2152" i="1"/>
  <c r="E2152" i="1"/>
  <c r="C2152" i="1"/>
  <c r="G2151" i="1"/>
  <c r="E2151" i="1"/>
  <c r="C2151" i="1"/>
  <c r="G2150" i="1"/>
  <c r="E2150" i="1"/>
  <c r="C2150" i="1"/>
  <c r="G2149" i="1"/>
  <c r="E2149" i="1"/>
  <c r="C2149" i="1"/>
  <c r="G2148" i="1"/>
  <c r="E2148" i="1"/>
  <c r="C2148" i="1"/>
  <c r="G2147" i="1"/>
  <c r="E2147" i="1"/>
  <c r="C2147" i="1"/>
  <c r="G2146" i="1"/>
  <c r="E2146" i="1"/>
  <c r="C2146" i="1"/>
  <c r="G2145" i="1"/>
  <c r="E2145" i="1"/>
  <c r="C2145" i="1"/>
  <c r="G2144" i="1"/>
  <c r="E2144" i="1"/>
  <c r="C2144" i="1"/>
  <c r="G2143" i="1"/>
  <c r="E2143" i="1"/>
  <c r="C2143" i="1"/>
  <c r="G2142" i="1"/>
  <c r="E2142" i="1"/>
  <c r="C2142" i="1"/>
  <c r="G2141" i="1"/>
  <c r="E2141" i="1"/>
  <c r="C2141" i="1"/>
  <c r="G2140" i="1"/>
  <c r="E2140" i="1"/>
  <c r="C2140" i="1"/>
  <c r="G2139" i="1"/>
  <c r="E2139" i="1"/>
  <c r="C2139" i="1"/>
  <c r="G2138" i="1"/>
  <c r="E2138" i="1"/>
  <c r="C2138" i="1"/>
  <c r="G2137" i="1"/>
  <c r="E2137" i="1"/>
  <c r="C2137" i="1"/>
  <c r="G2136" i="1"/>
  <c r="E2136" i="1"/>
  <c r="C2136" i="1"/>
  <c r="G2135" i="1"/>
  <c r="E2135" i="1"/>
  <c r="C2135" i="1"/>
  <c r="G2134" i="1"/>
  <c r="E2134" i="1"/>
  <c r="C2134" i="1"/>
  <c r="G2133" i="1"/>
  <c r="E2133" i="1"/>
  <c r="C2133" i="1"/>
  <c r="G2132" i="1"/>
  <c r="E2132" i="1"/>
  <c r="C2132" i="1"/>
  <c r="G2131" i="1"/>
  <c r="E2131" i="1"/>
  <c r="C2131" i="1"/>
  <c r="G2130" i="1"/>
  <c r="E2130" i="1"/>
  <c r="C2130" i="1"/>
  <c r="G2129" i="1"/>
  <c r="E2129" i="1"/>
  <c r="C2129" i="1"/>
  <c r="G2128" i="1"/>
  <c r="E2128" i="1"/>
  <c r="C2128" i="1"/>
  <c r="G2127" i="1"/>
  <c r="E2127" i="1"/>
  <c r="C2127" i="1"/>
  <c r="G2126" i="1"/>
  <c r="E2126" i="1"/>
  <c r="C2126" i="1"/>
  <c r="G2125" i="1"/>
  <c r="E2125" i="1"/>
  <c r="C2125" i="1"/>
  <c r="G2124" i="1"/>
  <c r="E2124" i="1"/>
  <c r="C2124" i="1"/>
  <c r="G2123" i="1"/>
  <c r="E2123" i="1"/>
  <c r="C2123" i="1"/>
  <c r="G2122" i="1"/>
  <c r="E2122" i="1"/>
  <c r="C2122" i="1"/>
  <c r="G2121" i="1"/>
  <c r="E2121" i="1"/>
  <c r="C2121" i="1"/>
  <c r="G2120" i="1"/>
  <c r="E2120" i="1"/>
  <c r="C2120" i="1"/>
  <c r="G2119" i="1"/>
  <c r="E2119" i="1"/>
  <c r="C2119" i="1"/>
  <c r="G2118" i="1"/>
  <c r="E2118" i="1"/>
  <c r="C2118" i="1"/>
  <c r="G2117" i="1"/>
  <c r="E2117" i="1"/>
  <c r="C2117" i="1"/>
  <c r="G2116" i="1"/>
  <c r="E2116" i="1"/>
  <c r="C2116" i="1"/>
  <c r="G2115" i="1"/>
  <c r="E2115" i="1"/>
  <c r="C2115" i="1"/>
  <c r="G2114" i="1"/>
  <c r="E2114" i="1"/>
  <c r="C2114" i="1"/>
  <c r="G2113" i="1"/>
  <c r="E2113" i="1"/>
  <c r="C2113" i="1"/>
  <c r="G2112" i="1"/>
  <c r="E2112" i="1"/>
  <c r="C2112" i="1"/>
  <c r="G2111" i="1"/>
  <c r="E2111" i="1"/>
  <c r="C2111" i="1"/>
  <c r="G2110" i="1"/>
  <c r="E2110" i="1"/>
  <c r="C2110" i="1"/>
  <c r="G2109" i="1"/>
  <c r="E2109" i="1"/>
  <c r="C2109" i="1"/>
  <c r="G2108" i="1"/>
  <c r="E2108" i="1"/>
  <c r="C2108" i="1"/>
  <c r="G2107" i="1"/>
  <c r="E2107" i="1"/>
  <c r="C2107" i="1"/>
  <c r="G2106" i="1"/>
  <c r="E2106" i="1"/>
  <c r="C2106" i="1"/>
  <c r="G2105" i="1"/>
  <c r="E2105" i="1"/>
  <c r="C2105" i="1"/>
  <c r="G2104" i="1"/>
  <c r="E2104" i="1"/>
  <c r="C2104" i="1"/>
  <c r="G2103" i="1"/>
  <c r="E2103" i="1"/>
  <c r="C2103" i="1"/>
  <c r="G2102" i="1"/>
  <c r="E2102" i="1"/>
  <c r="C2102" i="1"/>
  <c r="G2101" i="1"/>
  <c r="E2101" i="1"/>
  <c r="C2101" i="1"/>
  <c r="G2100" i="1"/>
  <c r="E2100" i="1"/>
  <c r="C2100" i="1"/>
  <c r="G2099" i="1"/>
  <c r="E2099" i="1"/>
  <c r="C2099" i="1"/>
  <c r="G2098" i="1"/>
  <c r="E2098" i="1"/>
  <c r="C2098" i="1"/>
  <c r="G2097" i="1"/>
  <c r="E2097" i="1"/>
  <c r="C2097" i="1"/>
  <c r="G2096" i="1"/>
  <c r="E2096" i="1"/>
  <c r="C2096" i="1"/>
  <c r="G2095" i="1"/>
  <c r="E2095" i="1"/>
  <c r="C2095" i="1"/>
  <c r="G2094" i="1"/>
  <c r="E2094" i="1"/>
  <c r="C2094" i="1"/>
  <c r="G2093" i="1"/>
  <c r="E2093" i="1"/>
  <c r="C2093" i="1"/>
  <c r="G2092" i="1"/>
  <c r="E2092" i="1"/>
  <c r="C2092" i="1"/>
  <c r="G2091" i="1"/>
  <c r="E2091" i="1"/>
  <c r="C2091" i="1"/>
  <c r="G2090" i="1"/>
  <c r="E2090" i="1"/>
  <c r="C2090" i="1"/>
  <c r="G2089" i="1"/>
  <c r="E2089" i="1"/>
  <c r="C2089" i="1"/>
  <c r="G2088" i="1"/>
  <c r="E2088" i="1"/>
  <c r="C2088" i="1"/>
  <c r="G2087" i="1"/>
  <c r="E2087" i="1"/>
  <c r="C2087" i="1"/>
  <c r="G2086" i="1"/>
  <c r="E2086" i="1"/>
  <c r="C2086" i="1"/>
  <c r="G2085" i="1"/>
  <c r="E2085" i="1"/>
  <c r="C2085" i="1"/>
  <c r="G2084" i="1"/>
  <c r="E2084" i="1"/>
  <c r="C2084" i="1"/>
  <c r="G2083" i="1"/>
  <c r="E2083" i="1"/>
  <c r="C2083" i="1"/>
  <c r="G2082" i="1"/>
  <c r="E2082" i="1"/>
  <c r="C2082" i="1"/>
  <c r="G2081" i="1"/>
  <c r="E2081" i="1"/>
  <c r="C2081" i="1"/>
  <c r="G2080" i="1"/>
  <c r="E2080" i="1"/>
  <c r="C2080" i="1"/>
  <c r="G2079" i="1"/>
  <c r="E2079" i="1"/>
  <c r="C2079" i="1"/>
  <c r="G2078" i="1"/>
  <c r="E2078" i="1"/>
  <c r="C2078" i="1"/>
  <c r="G2077" i="1"/>
  <c r="E2077" i="1"/>
  <c r="C2077" i="1"/>
  <c r="G2076" i="1"/>
  <c r="E2076" i="1"/>
  <c r="C2076" i="1"/>
  <c r="G2075" i="1"/>
  <c r="E2075" i="1"/>
  <c r="C2075" i="1"/>
  <c r="G2074" i="1"/>
  <c r="E2074" i="1"/>
  <c r="C2074" i="1"/>
  <c r="G2073" i="1"/>
  <c r="E2073" i="1"/>
  <c r="C2073" i="1"/>
  <c r="G2072" i="1"/>
  <c r="E2072" i="1"/>
  <c r="C2072" i="1"/>
  <c r="G2071" i="1"/>
  <c r="E2071" i="1"/>
  <c r="C2071" i="1"/>
  <c r="G2070" i="1"/>
  <c r="E2070" i="1"/>
  <c r="C2070" i="1"/>
  <c r="G2069" i="1"/>
  <c r="E2069" i="1"/>
  <c r="C2069" i="1"/>
  <c r="G2068" i="1"/>
  <c r="E2068" i="1"/>
  <c r="C2068" i="1"/>
  <c r="G2067" i="1"/>
  <c r="E2067" i="1"/>
  <c r="C2067" i="1"/>
  <c r="G2066" i="1"/>
  <c r="E2066" i="1"/>
  <c r="C2066" i="1"/>
  <c r="G2065" i="1"/>
  <c r="E2065" i="1"/>
  <c r="C2065" i="1"/>
  <c r="G2064" i="1"/>
  <c r="E2064" i="1"/>
  <c r="C2064" i="1"/>
  <c r="G2063" i="1"/>
  <c r="E2063" i="1"/>
  <c r="C2063" i="1"/>
  <c r="G2062" i="1"/>
  <c r="E2062" i="1"/>
  <c r="C2062" i="1"/>
  <c r="G2061" i="1"/>
  <c r="E2061" i="1"/>
  <c r="C2061" i="1"/>
  <c r="G2060" i="1"/>
  <c r="E2060" i="1"/>
  <c r="C2060" i="1"/>
  <c r="G2059" i="1"/>
  <c r="E2059" i="1"/>
  <c r="C2059" i="1"/>
  <c r="G2058" i="1"/>
  <c r="E2058" i="1"/>
  <c r="C2058" i="1"/>
  <c r="G2057" i="1"/>
  <c r="E2057" i="1"/>
  <c r="C2057" i="1"/>
  <c r="G2056" i="1"/>
  <c r="E2056" i="1"/>
  <c r="C2056" i="1"/>
  <c r="G2055" i="1"/>
  <c r="E2055" i="1"/>
  <c r="C2055" i="1"/>
  <c r="G2054" i="1"/>
  <c r="E2054" i="1"/>
  <c r="C2054" i="1"/>
  <c r="G2053" i="1"/>
  <c r="E2053" i="1"/>
  <c r="C2053" i="1"/>
  <c r="G2052" i="1"/>
  <c r="E2052" i="1"/>
  <c r="C2052" i="1"/>
  <c r="G2051" i="1"/>
  <c r="E2051" i="1"/>
  <c r="C2051" i="1"/>
  <c r="G2050" i="1"/>
  <c r="E2050" i="1"/>
  <c r="C2050" i="1"/>
  <c r="G2049" i="1"/>
  <c r="E2049" i="1"/>
  <c r="C2049" i="1"/>
  <c r="G2048" i="1"/>
  <c r="E2048" i="1"/>
  <c r="C2048" i="1"/>
  <c r="G2047" i="1"/>
  <c r="E2047" i="1"/>
  <c r="C2047" i="1"/>
  <c r="G2046" i="1"/>
  <c r="E2046" i="1"/>
  <c r="C2046" i="1"/>
  <c r="G2045" i="1"/>
  <c r="E2045" i="1"/>
  <c r="C2045" i="1"/>
  <c r="G2044" i="1"/>
  <c r="E2044" i="1"/>
  <c r="C2044" i="1"/>
  <c r="G2043" i="1"/>
  <c r="E2043" i="1"/>
  <c r="C2043" i="1"/>
  <c r="G2042" i="1"/>
  <c r="E2042" i="1"/>
  <c r="C2042" i="1"/>
  <c r="G2041" i="1"/>
  <c r="E2041" i="1"/>
  <c r="C2041" i="1"/>
  <c r="G2040" i="1"/>
  <c r="E2040" i="1"/>
  <c r="C2040" i="1"/>
  <c r="G2039" i="1"/>
  <c r="E2039" i="1"/>
  <c r="C2039" i="1"/>
  <c r="G2038" i="1"/>
  <c r="E2038" i="1"/>
  <c r="C2038" i="1"/>
  <c r="G2037" i="1"/>
  <c r="E2037" i="1"/>
  <c r="C2037" i="1"/>
  <c r="G2036" i="1"/>
  <c r="E2036" i="1"/>
  <c r="C2036" i="1"/>
  <c r="G2035" i="1"/>
  <c r="E2035" i="1"/>
  <c r="C2035" i="1"/>
  <c r="G2034" i="1"/>
  <c r="E2034" i="1"/>
  <c r="C2034" i="1"/>
  <c r="G2033" i="1"/>
  <c r="E2033" i="1"/>
  <c r="C2033" i="1"/>
  <c r="G2032" i="1"/>
  <c r="E2032" i="1"/>
  <c r="C2032" i="1"/>
  <c r="G2031" i="1"/>
  <c r="E2031" i="1"/>
  <c r="C2031" i="1"/>
  <c r="G2030" i="1"/>
  <c r="E2030" i="1"/>
  <c r="C2030" i="1"/>
  <c r="G2029" i="1"/>
  <c r="E2029" i="1"/>
  <c r="C2029" i="1"/>
  <c r="G2028" i="1"/>
  <c r="E2028" i="1"/>
  <c r="C2028" i="1"/>
  <c r="G2027" i="1"/>
  <c r="E2027" i="1"/>
  <c r="C2027" i="1"/>
  <c r="G2026" i="1"/>
  <c r="E2026" i="1"/>
  <c r="C2026" i="1"/>
  <c r="G2025" i="1"/>
  <c r="E2025" i="1"/>
  <c r="C2025" i="1"/>
  <c r="G2024" i="1"/>
  <c r="E2024" i="1"/>
  <c r="C2024" i="1"/>
  <c r="G2023" i="1"/>
  <c r="E2023" i="1"/>
  <c r="C2023" i="1"/>
  <c r="G2022" i="1"/>
  <c r="E2022" i="1"/>
  <c r="C2022" i="1"/>
  <c r="G2021" i="1"/>
  <c r="E2021" i="1"/>
  <c r="C2021" i="1"/>
  <c r="G2020" i="1"/>
  <c r="E2020" i="1"/>
  <c r="C2020" i="1"/>
  <c r="G2019" i="1"/>
  <c r="E2019" i="1"/>
  <c r="C2019" i="1"/>
  <c r="G2018" i="1"/>
  <c r="E2018" i="1"/>
  <c r="C2018" i="1"/>
  <c r="G2017" i="1"/>
  <c r="E2017" i="1"/>
  <c r="C2017" i="1"/>
  <c r="G2016" i="1"/>
  <c r="E2016" i="1"/>
  <c r="C2016" i="1"/>
  <c r="G2015" i="1"/>
  <c r="E2015" i="1"/>
  <c r="C2015" i="1"/>
  <c r="G2014" i="1"/>
  <c r="E2014" i="1"/>
  <c r="C2014" i="1"/>
  <c r="G2013" i="1"/>
  <c r="E2013" i="1"/>
  <c r="C2013" i="1"/>
  <c r="G2012" i="1"/>
  <c r="E2012" i="1"/>
  <c r="C2012" i="1"/>
  <c r="G2011" i="1"/>
  <c r="E2011" i="1"/>
  <c r="C2011" i="1"/>
  <c r="G2010" i="1"/>
  <c r="E2010" i="1"/>
  <c r="C2010" i="1"/>
  <c r="G2009" i="1"/>
  <c r="E2009" i="1"/>
  <c r="C2009" i="1"/>
  <c r="G2008" i="1"/>
  <c r="E2008" i="1"/>
  <c r="C2008" i="1"/>
  <c r="G2007" i="1"/>
  <c r="E2007" i="1"/>
  <c r="C2007" i="1"/>
  <c r="G2006" i="1"/>
  <c r="E2006" i="1"/>
  <c r="C2006" i="1"/>
  <c r="G2005" i="1"/>
  <c r="E2005" i="1"/>
  <c r="C2005" i="1"/>
  <c r="G2004" i="1"/>
  <c r="E2004" i="1"/>
  <c r="C2004" i="1"/>
  <c r="G2003" i="1"/>
  <c r="E2003" i="1"/>
  <c r="C2003" i="1"/>
  <c r="G2002" i="1"/>
  <c r="E2002" i="1"/>
  <c r="C2002" i="1"/>
  <c r="G2001" i="1"/>
  <c r="E2001" i="1"/>
  <c r="C2001" i="1"/>
  <c r="G2000" i="1"/>
  <c r="E2000" i="1"/>
  <c r="C2000" i="1"/>
  <c r="G1999" i="1"/>
  <c r="E1999" i="1"/>
  <c r="C1999" i="1"/>
  <c r="G1998" i="1"/>
  <c r="E1998" i="1"/>
  <c r="C1998" i="1"/>
  <c r="G1997" i="1"/>
  <c r="E1997" i="1"/>
  <c r="C1997" i="1"/>
  <c r="G1996" i="1"/>
  <c r="E1996" i="1"/>
  <c r="C1996" i="1"/>
  <c r="G1995" i="1"/>
  <c r="E1995" i="1"/>
  <c r="C1995" i="1"/>
  <c r="G1994" i="1"/>
  <c r="E1994" i="1"/>
  <c r="C1994" i="1"/>
  <c r="G1993" i="1"/>
  <c r="E1993" i="1"/>
  <c r="C1993" i="1"/>
  <c r="G1992" i="1"/>
  <c r="E1992" i="1"/>
  <c r="C1992" i="1"/>
  <c r="G1991" i="1"/>
  <c r="E1991" i="1"/>
  <c r="C1991" i="1"/>
  <c r="G1990" i="1"/>
  <c r="E1990" i="1"/>
  <c r="C1990" i="1"/>
  <c r="G1989" i="1"/>
  <c r="E1989" i="1"/>
  <c r="C1989" i="1"/>
  <c r="G1988" i="1"/>
  <c r="E1988" i="1"/>
  <c r="C1988" i="1"/>
  <c r="G1987" i="1"/>
  <c r="E1987" i="1"/>
  <c r="C1987" i="1"/>
  <c r="G1986" i="1"/>
  <c r="E1986" i="1"/>
  <c r="C1986" i="1"/>
  <c r="G1985" i="1"/>
  <c r="E1985" i="1"/>
  <c r="C1985" i="1"/>
  <c r="G1984" i="1"/>
  <c r="E1984" i="1"/>
  <c r="C1984" i="1"/>
  <c r="G1983" i="1"/>
  <c r="E1983" i="1"/>
  <c r="C1983" i="1"/>
  <c r="G1982" i="1"/>
  <c r="E1982" i="1"/>
  <c r="C1982" i="1"/>
  <c r="G1981" i="1"/>
  <c r="E1981" i="1"/>
  <c r="C1981" i="1"/>
  <c r="G1980" i="1"/>
  <c r="E1980" i="1"/>
  <c r="C1980" i="1"/>
  <c r="G1979" i="1"/>
  <c r="E1979" i="1"/>
  <c r="C1979" i="1"/>
  <c r="G1978" i="1"/>
  <c r="E1978" i="1"/>
  <c r="C1978" i="1"/>
  <c r="G1977" i="1"/>
  <c r="E1977" i="1"/>
  <c r="C1977" i="1"/>
  <c r="G1976" i="1"/>
  <c r="E1976" i="1"/>
  <c r="C1976" i="1"/>
  <c r="G1975" i="1"/>
  <c r="E1975" i="1"/>
  <c r="C1975" i="1"/>
  <c r="G1974" i="1"/>
  <c r="E1974" i="1"/>
  <c r="C1974" i="1"/>
  <c r="G1973" i="1"/>
  <c r="E1973" i="1"/>
  <c r="C1973" i="1"/>
  <c r="G1972" i="1"/>
  <c r="E1972" i="1"/>
  <c r="C1972" i="1"/>
  <c r="G1971" i="1"/>
  <c r="E1971" i="1"/>
  <c r="C1971" i="1"/>
  <c r="G1970" i="1"/>
  <c r="E1970" i="1"/>
  <c r="C1970" i="1"/>
  <c r="G1969" i="1"/>
  <c r="E1969" i="1"/>
  <c r="C1969" i="1"/>
  <c r="G1968" i="1"/>
  <c r="E1968" i="1"/>
  <c r="C1968" i="1"/>
  <c r="G1967" i="1"/>
  <c r="E1967" i="1"/>
  <c r="C1967" i="1"/>
  <c r="G1966" i="1"/>
  <c r="E1966" i="1"/>
  <c r="C1966" i="1"/>
  <c r="G1965" i="1"/>
  <c r="E1965" i="1"/>
  <c r="C1965" i="1"/>
  <c r="G1964" i="1"/>
  <c r="E1964" i="1"/>
  <c r="C1964" i="1"/>
  <c r="G1963" i="1"/>
  <c r="E1963" i="1"/>
  <c r="C1963" i="1"/>
  <c r="G1962" i="1"/>
  <c r="E1962" i="1"/>
  <c r="C1962" i="1"/>
  <c r="G1961" i="1"/>
  <c r="E1961" i="1"/>
  <c r="C1961" i="1"/>
  <c r="G1960" i="1"/>
  <c r="E1960" i="1"/>
  <c r="C1960" i="1"/>
  <c r="G1959" i="1"/>
  <c r="E1959" i="1"/>
  <c r="C1959" i="1"/>
  <c r="G1958" i="1"/>
  <c r="E1958" i="1"/>
  <c r="C1958" i="1"/>
  <c r="G1957" i="1"/>
  <c r="E1957" i="1"/>
  <c r="C1957" i="1"/>
  <c r="G1956" i="1"/>
  <c r="E1956" i="1"/>
  <c r="C1956" i="1"/>
  <c r="G1955" i="1"/>
  <c r="E1955" i="1"/>
  <c r="C1955" i="1"/>
  <c r="G1954" i="1"/>
  <c r="E1954" i="1"/>
  <c r="C1954" i="1"/>
  <c r="G1953" i="1"/>
  <c r="E1953" i="1"/>
  <c r="C1953" i="1"/>
  <c r="G1952" i="1"/>
  <c r="E1952" i="1"/>
  <c r="C1952" i="1"/>
  <c r="G1951" i="1"/>
  <c r="E1951" i="1"/>
  <c r="C1951" i="1"/>
  <c r="G1950" i="1"/>
  <c r="E1950" i="1"/>
  <c r="C1950" i="1"/>
  <c r="G1949" i="1"/>
  <c r="E1949" i="1"/>
  <c r="C1949" i="1"/>
  <c r="G1948" i="1"/>
  <c r="E1948" i="1"/>
  <c r="C1948" i="1"/>
  <c r="G1947" i="1"/>
  <c r="E1947" i="1"/>
  <c r="C1947" i="1"/>
  <c r="G1946" i="1"/>
  <c r="E1946" i="1"/>
  <c r="C1946" i="1"/>
  <c r="G1945" i="1"/>
  <c r="E1945" i="1"/>
  <c r="C1945" i="1"/>
  <c r="G1944" i="1"/>
  <c r="E1944" i="1"/>
  <c r="C1944" i="1"/>
  <c r="G1943" i="1"/>
  <c r="E1943" i="1"/>
  <c r="C1943" i="1"/>
  <c r="G1942" i="1"/>
  <c r="E1942" i="1"/>
  <c r="C1942" i="1"/>
  <c r="G1941" i="1"/>
  <c r="E1941" i="1"/>
  <c r="C1941" i="1"/>
  <c r="G1940" i="1"/>
  <c r="E1940" i="1"/>
  <c r="C1940" i="1"/>
  <c r="G1939" i="1"/>
  <c r="E1939" i="1"/>
  <c r="C1939" i="1"/>
  <c r="G1938" i="1"/>
  <c r="E1938" i="1"/>
  <c r="C1938" i="1"/>
  <c r="G1937" i="1"/>
  <c r="E1937" i="1"/>
  <c r="C1937" i="1"/>
  <c r="G1936" i="1"/>
  <c r="E1936" i="1"/>
  <c r="C1936" i="1"/>
  <c r="G1935" i="1"/>
  <c r="E1935" i="1"/>
  <c r="C1935" i="1"/>
  <c r="G1934" i="1"/>
  <c r="E1934" i="1"/>
  <c r="C1934" i="1"/>
  <c r="G1933" i="1"/>
  <c r="E1933" i="1"/>
  <c r="C1933" i="1"/>
  <c r="G1932" i="1"/>
  <c r="E1932" i="1"/>
  <c r="C1932" i="1"/>
  <c r="G1931" i="1"/>
  <c r="E1931" i="1"/>
  <c r="C1931" i="1"/>
  <c r="G1930" i="1"/>
  <c r="E1930" i="1"/>
  <c r="C1930" i="1"/>
  <c r="G1929" i="1"/>
  <c r="E1929" i="1"/>
  <c r="C1929" i="1"/>
  <c r="G1928" i="1"/>
  <c r="E1928" i="1"/>
  <c r="C1928" i="1"/>
  <c r="G1927" i="1"/>
  <c r="E1927" i="1"/>
  <c r="C1927" i="1"/>
  <c r="G1926" i="1"/>
  <c r="E1926" i="1"/>
  <c r="C1926" i="1"/>
  <c r="G1925" i="1"/>
  <c r="E1925" i="1"/>
  <c r="C1925" i="1"/>
  <c r="G1924" i="1"/>
  <c r="E1924" i="1"/>
  <c r="C1924" i="1"/>
  <c r="G1923" i="1"/>
  <c r="E1923" i="1"/>
  <c r="C1923" i="1"/>
  <c r="G1922" i="1"/>
  <c r="E1922" i="1"/>
  <c r="C1922" i="1"/>
  <c r="G1921" i="1"/>
  <c r="E1921" i="1"/>
  <c r="C1921" i="1"/>
  <c r="G1920" i="1"/>
  <c r="E1920" i="1"/>
  <c r="C1920" i="1"/>
  <c r="G1919" i="1"/>
  <c r="E1919" i="1"/>
  <c r="C1919" i="1"/>
  <c r="G1918" i="1"/>
  <c r="E1918" i="1"/>
  <c r="C1918" i="1"/>
  <c r="G1917" i="1"/>
  <c r="E1917" i="1"/>
  <c r="C1917" i="1"/>
  <c r="G1916" i="1"/>
  <c r="E1916" i="1"/>
  <c r="C1916" i="1"/>
  <c r="G1915" i="1"/>
  <c r="E1915" i="1"/>
  <c r="C1915" i="1"/>
  <c r="G1914" i="1"/>
  <c r="E1914" i="1"/>
  <c r="C1914" i="1"/>
  <c r="G1913" i="1"/>
  <c r="E1913" i="1"/>
  <c r="C1913" i="1"/>
  <c r="G1912" i="1"/>
  <c r="E1912" i="1"/>
  <c r="C1912" i="1"/>
  <c r="G1911" i="1"/>
  <c r="E1911" i="1"/>
  <c r="C1911" i="1"/>
  <c r="G1910" i="1"/>
  <c r="E1910" i="1"/>
  <c r="C1910" i="1"/>
  <c r="G1909" i="1"/>
  <c r="E1909" i="1"/>
  <c r="C1909" i="1"/>
  <c r="G1908" i="1"/>
  <c r="E1908" i="1"/>
  <c r="C1908" i="1"/>
  <c r="G1907" i="1"/>
  <c r="E1907" i="1"/>
  <c r="C1907" i="1"/>
  <c r="G1906" i="1"/>
  <c r="E1906" i="1"/>
  <c r="C1906" i="1"/>
  <c r="G1905" i="1"/>
  <c r="E1905" i="1"/>
  <c r="C1905" i="1"/>
  <c r="G1904" i="1"/>
  <c r="E1904" i="1"/>
  <c r="C1904" i="1"/>
  <c r="G1903" i="1"/>
  <c r="E1903" i="1"/>
  <c r="C1903" i="1"/>
  <c r="G1902" i="1"/>
  <c r="E1902" i="1"/>
  <c r="C1902" i="1"/>
  <c r="G1901" i="1"/>
  <c r="E1901" i="1"/>
  <c r="C1901" i="1"/>
  <c r="G1900" i="1"/>
  <c r="E1900" i="1"/>
  <c r="C1900" i="1"/>
  <c r="G1899" i="1"/>
  <c r="E1899" i="1"/>
  <c r="C1899" i="1"/>
  <c r="G1898" i="1"/>
  <c r="E1898" i="1"/>
  <c r="C1898" i="1"/>
  <c r="G1897" i="1"/>
  <c r="E1897" i="1"/>
  <c r="C1897" i="1"/>
  <c r="G1896" i="1"/>
  <c r="E1896" i="1"/>
  <c r="C1896" i="1"/>
  <c r="G1895" i="1"/>
  <c r="E1895" i="1"/>
  <c r="C1895" i="1"/>
  <c r="G1894" i="1"/>
  <c r="E1894" i="1"/>
  <c r="C1894" i="1"/>
  <c r="G1893" i="1"/>
  <c r="E1893" i="1"/>
  <c r="C1893" i="1"/>
  <c r="G1892" i="1"/>
  <c r="E1892" i="1"/>
  <c r="C1892" i="1"/>
  <c r="G1891" i="1"/>
  <c r="E1891" i="1"/>
  <c r="C1891" i="1"/>
  <c r="G1890" i="1"/>
  <c r="E1890" i="1"/>
  <c r="C1890" i="1"/>
  <c r="G1889" i="1"/>
  <c r="E1889" i="1"/>
  <c r="C1889" i="1"/>
  <c r="G1888" i="1"/>
  <c r="E1888" i="1"/>
  <c r="C1888" i="1"/>
  <c r="G1887" i="1"/>
  <c r="E1887" i="1"/>
  <c r="C1887" i="1"/>
  <c r="G1886" i="1"/>
  <c r="E1886" i="1"/>
  <c r="C1886" i="1"/>
  <c r="G1885" i="1"/>
  <c r="E1885" i="1"/>
  <c r="C1885" i="1"/>
  <c r="G1884" i="1"/>
  <c r="E1884" i="1"/>
  <c r="C1884" i="1"/>
  <c r="G1883" i="1"/>
  <c r="E1883" i="1"/>
  <c r="C1883" i="1"/>
  <c r="G1882" i="1"/>
  <c r="E1882" i="1"/>
  <c r="C1882" i="1"/>
  <c r="G1881" i="1"/>
  <c r="E1881" i="1"/>
  <c r="C1881" i="1"/>
  <c r="G1880" i="1"/>
  <c r="E1880" i="1"/>
  <c r="C1880" i="1"/>
  <c r="G1879" i="1"/>
  <c r="E1879" i="1"/>
  <c r="C1879" i="1"/>
  <c r="G1878" i="1"/>
  <c r="E1878" i="1"/>
  <c r="C1878" i="1"/>
  <c r="G1877" i="1"/>
  <c r="E1877" i="1"/>
  <c r="C1877" i="1"/>
  <c r="G1876" i="1"/>
  <c r="E1876" i="1"/>
  <c r="C1876" i="1"/>
  <c r="G1875" i="1"/>
  <c r="E1875" i="1"/>
  <c r="C1875" i="1"/>
  <c r="G1874" i="1"/>
  <c r="E1874" i="1"/>
  <c r="C1874" i="1"/>
  <c r="G1873" i="1"/>
  <c r="E1873" i="1"/>
  <c r="C1873" i="1"/>
  <c r="G1872" i="1"/>
  <c r="E1872" i="1"/>
  <c r="C1872" i="1"/>
  <c r="G1871" i="1"/>
  <c r="E1871" i="1"/>
  <c r="C1871" i="1"/>
  <c r="G1870" i="1"/>
  <c r="E1870" i="1"/>
  <c r="C1870" i="1"/>
  <c r="G1869" i="1"/>
  <c r="E1869" i="1"/>
  <c r="C1869" i="1"/>
  <c r="G1868" i="1"/>
  <c r="E1868" i="1"/>
  <c r="C1868" i="1"/>
  <c r="G1867" i="1"/>
  <c r="E1867" i="1"/>
  <c r="C1867" i="1"/>
  <c r="G1866" i="1"/>
  <c r="E1866" i="1"/>
  <c r="C1866" i="1"/>
  <c r="G1865" i="1"/>
  <c r="E1865" i="1"/>
  <c r="C1865" i="1"/>
  <c r="G1864" i="1"/>
  <c r="E1864" i="1"/>
  <c r="C1864" i="1"/>
  <c r="G1863" i="1"/>
  <c r="E1863" i="1"/>
  <c r="C1863" i="1"/>
  <c r="G1862" i="1"/>
  <c r="E1862" i="1"/>
  <c r="C1862" i="1"/>
  <c r="G1861" i="1"/>
  <c r="E1861" i="1"/>
  <c r="C1861" i="1"/>
  <c r="G1860" i="1"/>
  <c r="E1860" i="1"/>
  <c r="C1860" i="1"/>
  <c r="G1859" i="1"/>
  <c r="E1859" i="1"/>
  <c r="C1859" i="1"/>
  <c r="G1858" i="1"/>
  <c r="E1858" i="1"/>
  <c r="C1858" i="1"/>
  <c r="G1857" i="1"/>
  <c r="E1857" i="1"/>
  <c r="C1857" i="1"/>
  <c r="G1856" i="1"/>
  <c r="E1856" i="1"/>
  <c r="C1856" i="1"/>
  <c r="G1855" i="1"/>
  <c r="E1855" i="1"/>
  <c r="C1855" i="1"/>
  <c r="G1854" i="1"/>
  <c r="E1854" i="1"/>
  <c r="C1854" i="1"/>
  <c r="G1853" i="1"/>
  <c r="E1853" i="1"/>
  <c r="C1853" i="1"/>
  <c r="G1852" i="1"/>
  <c r="E1852" i="1"/>
  <c r="C1852" i="1"/>
  <c r="G1851" i="1"/>
  <c r="E1851" i="1"/>
  <c r="C1851" i="1"/>
  <c r="G1850" i="1"/>
  <c r="E1850" i="1"/>
  <c r="C1850" i="1"/>
  <c r="G1849" i="1"/>
  <c r="E1849" i="1"/>
  <c r="C1849" i="1"/>
  <c r="G1848" i="1"/>
  <c r="E1848" i="1"/>
  <c r="C1848" i="1"/>
  <c r="G1847" i="1"/>
  <c r="E1847" i="1"/>
  <c r="C1847" i="1"/>
  <c r="G1846" i="1"/>
  <c r="E1846" i="1"/>
  <c r="C1846" i="1"/>
  <c r="G1845" i="1"/>
  <c r="E1845" i="1"/>
  <c r="C1845" i="1"/>
  <c r="G1844" i="1"/>
  <c r="E1844" i="1"/>
  <c r="C1844" i="1"/>
  <c r="G1843" i="1"/>
  <c r="E1843" i="1"/>
  <c r="C1843" i="1"/>
  <c r="G1842" i="1"/>
  <c r="E1842" i="1"/>
  <c r="C1842" i="1"/>
  <c r="G1841" i="1"/>
  <c r="E1841" i="1"/>
  <c r="C1841" i="1"/>
  <c r="G1840" i="1"/>
  <c r="E1840" i="1"/>
  <c r="C1840" i="1"/>
  <c r="G1839" i="1"/>
  <c r="E1839" i="1"/>
  <c r="C1839" i="1"/>
  <c r="G1838" i="1"/>
  <c r="E1838" i="1"/>
  <c r="C1838" i="1"/>
  <c r="G1837" i="1"/>
  <c r="E1837" i="1"/>
  <c r="C1837" i="1"/>
  <c r="G1836" i="1"/>
  <c r="E1836" i="1"/>
  <c r="C1836" i="1"/>
  <c r="G1835" i="1"/>
  <c r="E1835" i="1"/>
  <c r="C1835" i="1"/>
  <c r="G1834" i="1"/>
  <c r="E1834" i="1"/>
  <c r="C1834" i="1"/>
  <c r="G1833" i="1"/>
  <c r="E1833" i="1"/>
  <c r="C1833" i="1"/>
  <c r="G1832" i="1"/>
  <c r="E1832" i="1"/>
  <c r="C1832" i="1"/>
  <c r="G1831" i="1"/>
  <c r="E1831" i="1"/>
  <c r="C1831" i="1"/>
  <c r="G1830" i="1"/>
  <c r="E1830" i="1"/>
  <c r="C1830" i="1"/>
  <c r="G1829" i="1"/>
  <c r="E1829" i="1"/>
  <c r="C1829" i="1"/>
  <c r="G1828" i="1"/>
  <c r="E1828" i="1"/>
  <c r="C1828" i="1"/>
  <c r="G1827" i="1"/>
  <c r="E1827" i="1"/>
  <c r="C1827" i="1"/>
  <c r="G1826" i="1"/>
  <c r="E1826" i="1"/>
  <c r="C1826" i="1"/>
  <c r="G1825" i="1"/>
  <c r="E1825" i="1"/>
  <c r="C1825" i="1"/>
  <c r="G1824" i="1"/>
  <c r="E1824" i="1"/>
  <c r="C1824" i="1"/>
  <c r="G1823" i="1"/>
  <c r="E1823" i="1"/>
  <c r="C1823" i="1"/>
  <c r="G1822" i="1"/>
  <c r="E1822" i="1"/>
  <c r="C1822" i="1"/>
  <c r="G1821" i="1"/>
  <c r="E1821" i="1"/>
  <c r="C1821" i="1"/>
  <c r="G1820" i="1"/>
  <c r="E1820" i="1"/>
  <c r="C1820" i="1"/>
  <c r="G1819" i="1"/>
  <c r="E1819" i="1"/>
  <c r="C1819" i="1"/>
  <c r="G1818" i="1"/>
  <c r="E1818" i="1"/>
  <c r="C1818" i="1"/>
  <c r="G1817" i="1"/>
  <c r="E1817" i="1"/>
  <c r="C1817" i="1"/>
  <c r="G1816" i="1"/>
  <c r="E1816" i="1"/>
  <c r="C1816" i="1"/>
  <c r="G1815" i="1"/>
  <c r="E1815" i="1"/>
  <c r="C1815" i="1"/>
  <c r="G1814" i="1"/>
  <c r="E1814" i="1"/>
  <c r="C1814" i="1"/>
  <c r="G1813" i="1"/>
  <c r="E1813" i="1"/>
  <c r="C1813" i="1"/>
  <c r="G1812" i="1"/>
  <c r="E1812" i="1"/>
  <c r="C1812" i="1"/>
  <c r="G1811" i="1"/>
  <c r="E1811" i="1"/>
  <c r="C1811" i="1"/>
  <c r="G1810" i="1"/>
  <c r="E1810" i="1"/>
  <c r="C1810" i="1"/>
  <c r="G1809" i="1"/>
  <c r="E1809" i="1"/>
  <c r="C1809" i="1"/>
  <c r="G1808" i="1"/>
  <c r="E1808" i="1"/>
  <c r="C1808" i="1"/>
  <c r="G1807" i="1"/>
  <c r="E1807" i="1"/>
  <c r="C1807" i="1"/>
  <c r="G1806" i="1"/>
  <c r="E1806" i="1"/>
  <c r="C1806" i="1"/>
  <c r="G1805" i="1"/>
  <c r="E1805" i="1"/>
  <c r="C1805" i="1"/>
  <c r="G1804" i="1"/>
  <c r="E1804" i="1"/>
  <c r="C1804" i="1"/>
  <c r="G1803" i="1"/>
  <c r="E1803" i="1"/>
  <c r="C1803" i="1"/>
  <c r="G1802" i="1"/>
  <c r="E1802" i="1"/>
  <c r="C1802" i="1"/>
  <c r="G1801" i="1"/>
  <c r="E1801" i="1"/>
  <c r="C1801" i="1"/>
  <c r="G1800" i="1"/>
  <c r="E1800" i="1"/>
  <c r="C1800" i="1"/>
  <c r="G1799" i="1"/>
  <c r="E1799" i="1"/>
  <c r="C1799" i="1"/>
  <c r="G1798" i="1"/>
  <c r="E1798" i="1"/>
  <c r="C1798" i="1"/>
  <c r="G1797" i="1"/>
  <c r="E1797" i="1"/>
  <c r="C1797" i="1"/>
  <c r="G1796" i="1"/>
  <c r="E1796" i="1"/>
  <c r="C1796" i="1"/>
  <c r="G1795" i="1"/>
  <c r="E1795" i="1"/>
  <c r="C1795" i="1"/>
  <c r="G1794" i="1"/>
  <c r="E1794" i="1"/>
  <c r="C1794" i="1"/>
  <c r="G1793" i="1"/>
  <c r="E1793" i="1"/>
  <c r="C1793" i="1"/>
  <c r="G1792" i="1"/>
  <c r="E1792" i="1"/>
  <c r="C1792" i="1"/>
  <c r="G1791" i="1"/>
  <c r="E1791" i="1"/>
  <c r="C1791" i="1"/>
  <c r="G1790" i="1"/>
  <c r="E1790" i="1"/>
  <c r="C1790" i="1"/>
  <c r="G1789" i="1"/>
  <c r="E1789" i="1"/>
  <c r="C1789" i="1"/>
  <c r="G1788" i="1"/>
  <c r="E1788" i="1"/>
  <c r="C1788" i="1"/>
  <c r="G1787" i="1"/>
  <c r="E1787" i="1"/>
  <c r="C1787" i="1"/>
  <c r="G1786" i="1"/>
  <c r="E1786" i="1"/>
  <c r="C1786" i="1"/>
  <c r="G1785" i="1"/>
  <c r="E1785" i="1"/>
  <c r="C1785" i="1"/>
  <c r="G1784" i="1"/>
  <c r="E1784" i="1"/>
  <c r="C1784" i="1"/>
  <c r="G1783" i="1"/>
  <c r="E1783" i="1"/>
  <c r="C1783" i="1"/>
  <c r="G1782" i="1"/>
  <c r="E1782" i="1"/>
  <c r="C1782" i="1"/>
  <c r="G1781" i="1"/>
  <c r="E1781" i="1"/>
  <c r="C1781" i="1"/>
  <c r="G1780" i="1"/>
  <c r="E1780" i="1"/>
  <c r="C1780" i="1"/>
  <c r="G1779" i="1"/>
  <c r="E1779" i="1"/>
  <c r="C1779" i="1"/>
  <c r="G1778" i="1"/>
  <c r="E1778" i="1"/>
  <c r="C1778" i="1"/>
  <c r="G1777" i="1"/>
  <c r="E1777" i="1"/>
  <c r="C1777" i="1"/>
  <c r="G1776" i="1"/>
  <c r="E1776" i="1"/>
  <c r="C1776" i="1"/>
  <c r="G1775" i="1"/>
  <c r="E1775" i="1"/>
  <c r="C1775" i="1"/>
  <c r="G1774" i="1"/>
  <c r="E1774" i="1"/>
  <c r="C1774" i="1"/>
  <c r="G1773" i="1"/>
  <c r="E1773" i="1"/>
  <c r="C1773" i="1"/>
  <c r="G1772" i="1"/>
  <c r="E1772" i="1"/>
  <c r="C1772" i="1"/>
  <c r="G1771" i="1"/>
  <c r="E1771" i="1"/>
  <c r="C1771" i="1"/>
  <c r="G1770" i="1"/>
  <c r="E1770" i="1"/>
  <c r="C1770" i="1"/>
  <c r="G1769" i="1"/>
  <c r="E1769" i="1"/>
  <c r="C1769" i="1"/>
  <c r="G1768" i="1"/>
  <c r="E1768" i="1"/>
  <c r="C1768" i="1"/>
  <c r="G1767" i="1"/>
  <c r="E1767" i="1"/>
  <c r="C1767" i="1"/>
  <c r="G1766" i="1"/>
  <c r="E1766" i="1"/>
  <c r="C1766" i="1"/>
  <c r="G1765" i="1"/>
  <c r="E1765" i="1"/>
  <c r="C1765" i="1"/>
  <c r="G1764" i="1"/>
  <c r="E1764" i="1"/>
  <c r="C1764" i="1"/>
  <c r="G1763" i="1"/>
  <c r="E1763" i="1"/>
  <c r="C1763" i="1"/>
  <c r="G1762" i="1"/>
  <c r="E1762" i="1"/>
  <c r="C1762" i="1"/>
  <c r="G1761" i="1"/>
  <c r="E1761" i="1"/>
  <c r="C1761" i="1"/>
  <c r="G1760" i="1"/>
  <c r="E1760" i="1"/>
  <c r="C1760" i="1"/>
  <c r="G1759" i="1"/>
  <c r="E1759" i="1"/>
  <c r="C1759" i="1"/>
  <c r="G1758" i="1"/>
  <c r="E1758" i="1"/>
  <c r="C1758" i="1"/>
  <c r="G1757" i="1"/>
  <c r="E1757" i="1"/>
  <c r="C1757" i="1"/>
  <c r="G1756" i="1"/>
  <c r="E1756" i="1"/>
  <c r="C1756" i="1"/>
  <c r="G1755" i="1"/>
  <c r="E1755" i="1"/>
  <c r="C1755" i="1"/>
  <c r="G1754" i="1"/>
  <c r="E1754" i="1"/>
  <c r="C1754" i="1"/>
  <c r="G1753" i="1"/>
  <c r="E1753" i="1"/>
  <c r="C1753" i="1"/>
  <c r="G1752" i="1"/>
  <c r="E1752" i="1"/>
  <c r="C1752" i="1"/>
  <c r="G1751" i="1"/>
  <c r="E1751" i="1"/>
  <c r="C1751" i="1"/>
  <c r="G1750" i="1"/>
  <c r="E1750" i="1"/>
  <c r="C1750" i="1"/>
  <c r="G1749" i="1"/>
  <c r="E1749" i="1"/>
  <c r="C1749" i="1"/>
  <c r="G1748" i="1"/>
  <c r="E1748" i="1"/>
  <c r="C1748" i="1"/>
  <c r="G1747" i="1"/>
  <c r="E1747" i="1"/>
  <c r="C1747" i="1"/>
  <c r="G1746" i="1"/>
  <c r="E1746" i="1"/>
  <c r="C1746" i="1"/>
  <c r="G1745" i="1"/>
  <c r="E1745" i="1"/>
  <c r="C1745" i="1"/>
  <c r="G1744" i="1"/>
  <c r="E1744" i="1"/>
  <c r="C1744" i="1"/>
  <c r="G1743" i="1"/>
  <c r="E1743" i="1"/>
  <c r="C1743" i="1"/>
  <c r="G1742" i="1"/>
  <c r="E1742" i="1"/>
  <c r="C1742" i="1"/>
  <c r="G1741" i="1"/>
  <c r="E1741" i="1"/>
  <c r="C1741" i="1"/>
  <c r="G1740" i="1"/>
  <c r="E1740" i="1"/>
  <c r="C1740" i="1"/>
  <c r="G1739" i="1"/>
  <c r="E1739" i="1"/>
  <c r="C1739" i="1"/>
  <c r="G1738" i="1"/>
  <c r="E1738" i="1"/>
  <c r="C1738" i="1"/>
  <c r="G1737" i="1"/>
  <c r="E1737" i="1"/>
  <c r="C1737" i="1"/>
  <c r="G1736" i="1"/>
  <c r="E1736" i="1"/>
  <c r="C1736" i="1"/>
  <c r="G1735" i="1"/>
  <c r="E1735" i="1"/>
  <c r="C1735" i="1"/>
  <c r="G1734" i="1"/>
  <c r="E1734" i="1"/>
  <c r="C1734" i="1"/>
  <c r="G1733" i="1"/>
  <c r="E1733" i="1"/>
  <c r="C1733" i="1"/>
  <c r="G1732" i="1"/>
  <c r="E1732" i="1"/>
  <c r="C1732" i="1"/>
  <c r="G1731" i="1"/>
  <c r="E1731" i="1"/>
  <c r="C1731" i="1"/>
  <c r="G1730" i="1"/>
  <c r="E1730" i="1"/>
  <c r="C1730" i="1"/>
  <c r="G1729" i="1"/>
  <c r="E1729" i="1"/>
  <c r="C1729" i="1"/>
  <c r="G1728" i="1"/>
  <c r="E1728" i="1"/>
  <c r="C1728" i="1"/>
  <c r="G1727" i="1"/>
  <c r="E1727" i="1"/>
  <c r="C1727" i="1"/>
  <c r="G1726" i="1"/>
  <c r="E1726" i="1"/>
  <c r="C1726" i="1"/>
  <c r="G1725" i="1"/>
  <c r="E1725" i="1"/>
  <c r="C1725" i="1"/>
  <c r="G1724" i="1"/>
  <c r="E1724" i="1"/>
  <c r="C1724" i="1"/>
  <c r="G1723" i="1"/>
  <c r="E1723" i="1"/>
  <c r="C1723" i="1"/>
  <c r="G1722" i="1"/>
  <c r="E1722" i="1"/>
  <c r="C1722" i="1"/>
  <c r="G1721" i="1"/>
  <c r="E1721" i="1"/>
  <c r="C1721" i="1"/>
  <c r="G1720" i="1"/>
  <c r="E1720" i="1"/>
  <c r="C1720" i="1"/>
  <c r="G1719" i="1"/>
  <c r="E1719" i="1"/>
  <c r="C1719" i="1"/>
  <c r="G1718" i="1"/>
  <c r="E1718" i="1"/>
  <c r="C1718" i="1"/>
  <c r="G1717" i="1"/>
  <c r="E1717" i="1"/>
  <c r="C1717" i="1"/>
  <c r="G1716" i="1"/>
  <c r="E1716" i="1"/>
  <c r="C1716" i="1"/>
  <c r="G1715" i="1"/>
  <c r="E1715" i="1"/>
  <c r="C1715" i="1"/>
  <c r="G1714" i="1"/>
  <c r="E1714" i="1"/>
  <c r="C1714" i="1"/>
  <c r="G1713" i="1"/>
  <c r="E1713" i="1"/>
  <c r="C1713" i="1"/>
  <c r="G1712" i="1"/>
  <c r="E1712" i="1"/>
  <c r="C1712" i="1"/>
  <c r="G1711" i="1"/>
  <c r="E1711" i="1"/>
  <c r="C1711" i="1"/>
  <c r="G1710" i="1"/>
  <c r="E1710" i="1"/>
  <c r="C1710" i="1"/>
  <c r="G1709" i="1"/>
  <c r="E1709" i="1"/>
  <c r="C1709" i="1"/>
  <c r="G1708" i="1"/>
  <c r="E1708" i="1"/>
  <c r="C1708" i="1"/>
  <c r="G1707" i="1"/>
  <c r="E1707" i="1"/>
  <c r="C1707" i="1"/>
  <c r="G1706" i="1"/>
  <c r="E1706" i="1"/>
  <c r="C1706" i="1"/>
  <c r="G1705" i="1"/>
  <c r="E1705" i="1"/>
  <c r="C1705" i="1"/>
  <c r="G1704" i="1"/>
  <c r="E1704" i="1"/>
  <c r="C1704" i="1"/>
  <c r="G1703" i="1"/>
  <c r="E1703" i="1"/>
  <c r="C1703" i="1"/>
  <c r="G1702" i="1"/>
  <c r="E1702" i="1"/>
  <c r="C1702" i="1"/>
  <c r="G1701" i="1"/>
  <c r="E1701" i="1"/>
  <c r="C1701" i="1"/>
  <c r="G1700" i="1"/>
  <c r="E1700" i="1"/>
  <c r="C1700" i="1"/>
  <c r="G1699" i="1"/>
  <c r="E1699" i="1"/>
  <c r="C1699" i="1"/>
  <c r="G1698" i="1"/>
  <c r="E1698" i="1"/>
  <c r="C1698" i="1"/>
  <c r="G1697" i="1"/>
  <c r="E1697" i="1"/>
  <c r="C1697" i="1"/>
  <c r="G1696" i="1"/>
  <c r="E1696" i="1"/>
  <c r="C1696" i="1"/>
  <c r="G1695" i="1"/>
  <c r="E1695" i="1"/>
  <c r="C1695" i="1"/>
  <c r="G1694" i="1"/>
  <c r="E1694" i="1"/>
  <c r="C1694" i="1"/>
  <c r="G1693" i="1"/>
  <c r="E1693" i="1"/>
  <c r="C1693" i="1"/>
  <c r="G1692" i="1"/>
  <c r="E1692" i="1"/>
  <c r="C1692" i="1"/>
  <c r="G1691" i="1"/>
  <c r="E1691" i="1"/>
  <c r="C1691" i="1"/>
  <c r="G1690" i="1"/>
  <c r="E1690" i="1"/>
  <c r="C1690" i="1"/>
  <c r="G1689" i="1"/>
  <c r="E1689" i="1"/>
  <c r="C1689" i="1"/>
  <c r="G1688" i="1"/>
  <c r="E1688" i="1"/>
  <c r="C1688" i="1"/>
  <c r="G1687" i="1"/>
  <c r="E1687" i="1"/>
  <c r="C1687" i="1"/>
  <c r="G1686" i="1"/>
  <c r="E1686" i="1"/>
  <c r="C1686" i="1"/>
  <c r="G1685" i="1"/>
  <c r="E1685" i="1"/>
  <c r="C1685" i="1"/>
  <c r="G1684" i="1"/>
  <c r="E1684" i="1"/>
  <c r="C1684" i="1"/>
  <c r="G1683" i="1"/>
  <c r="E1683" i="1"/>
  <c r="C1683" i="1"/>
  <c r="G1682" i="1"/>
  <c r="E1682" i="1"/>
  <c r="C1682" i="1"/>
  <c r="G1681" i="1"/>
  <c r="E1681" i="1"/>
  <c r="C1681" i="1"/>
  <c r="G1680" i="1"/>
  <c r="E1680" i="1"/>
  <c r="C1680" i="1"/>
  <c r="G1679" i="1"/>
  <c r="E1679" i="1"/>
  <c r="C1679" i="1"/>
  <c r="G1678" i="1"/>
  <c r="E1678" i="1"/>
  <c r="C1678" i="1"/>
  <c r="G1677" i="1"/>
  <c r="E1677" i="1"/>
  <c r="C1677" i="1"/>
  <c r="G1676" i="1"/>
  <c r="E1676" i="1"/>
  <c r="C1676" i="1"/>
  <c r="G1675" i="1"/>
  <c r="E1675" i="1"/>
  <c r="C1675" i="1"/>
  <c r="G1674" i="1"/>
  <c r="E1674" i="1"/>
  <c r="C1674" i="1"/>
  <c r="G1673" i="1"/>
  <c r="E1673" i="1"/>
  <c r="C1673" i="1"/>
  <c r="G1672" i="1"/>
  <c r="E1672" i="1"/>
  <c r="C1672" i="1"/>
  <c r="G1671" i="1"/>
  <c r="E1671" i="1"/>
  <c r="C1671" i="1"/>
  <c r="G1670" i="1"/>
  <c r="E1670" i="1"/>
  <c r="C1670" i="1"/>
  <c r="G1669" i="1"/>
  <c r="E1669" i="1"/>
  <c r="C1669" i="1"/>
  <c r="G1668" i="1"/>
  <c r="E1668" i="1"/>
  <c r="C1668" i="1"/>
  <c r="G1667" i="1"/>
  <c r="E1667" i="1"/>
  <c r="C1667" i="1"/>
  <c r="G1666" i="1"/>
  <c r="E1666" i="1"/>
  <c r="C1666" i="1"/>
  <c r="G1665" i="1"/>
  <c r="E1665" i="1"/>
  <c r="C1665" i="1"/>
  <c r="G1664" i="1"/>
  <c r="E1664" i="1"/>
  <c r="C1664" i="1"/>
  <c r="G1663" i="1"/>
  <c r="E1663" i="1"/>
  <c r="C1663" i="1"/>
  <c r="G1662" i="1"/>
  <c r="E1662" i="1"/>
  <c r="C1662" i="1"/>
  <c r="G1661" i="1"/>
  <c r="E1661" i="1"/>
  <c r="C1661" i="1"/>
  <c r="G1660" i="1"/>
  <c r="E1660" i="1"/>
  <c r="C1660" i="1"/>
  <c r="G1659" i="1"/>
  <c r="E1659" i="1"/>
  <c r="C1659" i="1"/>
  <c r="G1658" i="1"/>
  <c r="E1658" i="1"/>
  <c r="C1658" i="1"/>
  <c r="G1657" i="1"/>
  <c r="E1657" i="1"/>
  <c r="C1657" i="1"/>
  <c r="G1656" i="1"/>
  <c r="E1656" i="1"/>
  <c r="C1656" i="1"/>
  <c r="G1655" i="1"/>
  <c r="E1655" i="1"/>
  <c r="C1655" i="1"/>
  <c r="G1654" i="1"/>
  <c r="E1654" i="1"/>
  <c r="C1654" i="1"/>
  <c r="G1653" i="1"/>
  <c r="E1653" i="1"/>
  <c r="C1653" i="1"/>
  <c r="G1652" i="1"/>
  <c r="E1652" i="1"/>
  <c r="C1652" i="1"/>
  <c r="G1651" i="1"/>
  <c r="E1651" i="1"/>
  <c r="C1651" i="1"/>
  <c r="G1650" i="1"/>
  <c r="E1650" i="1"/>
  <c r="C1650" i="1"/>
  <c r="G1649" i="1"/>
  <c r="E1649" i="1"/>
  <c r="C1649" i="1"/>
  <c r="G1648" i="1"/>
  <c r="E1648" i="1"/>
  <c r="C1648" i="1"/>
  <c r="G1647" i="1"/>
  <c r="E1647" i="1"/>
  <c r="C1647" i="1"/>
  <c r="G1646" i="1"/>
  <c r="E1646" i="1"/>
  <c r="C1646" i="1"/>
  <c r="G1645" i="1"/>
  <c r="E1645" i="1"/>
  <c r="C1645" i="1"/>
  <c r="G1644" i="1"/>
  <c r="E1644" i="1"/>
  <c r="C1644" i="1"/>
  <c r="G1643" i="1"/>
  <c r="E1643" i="1"/>
  <c r="C1643" i="1"/>
  <c r="G1642" i="1"/>
  <c r="E1642" i="1"/>
  <c r="C1642" i="1"/>
  <c r="G1641" i="1"/>
  <c r="E1641" i="1"/>
  <c r="C1641" i="1"/>
  <c r="G1640" i="1"/>
  <c r="E1640" i="1"/>
  <c r="C1640" i="1"/>
  <c r="G1639" i="1"/>
  <c r="E1639" i="1"/>
  <c r="C1639" i="1"/>
  <c r="G1638" i="1"/>
  <c r="E1638" i="1"/>
  <c r="C1638" i="1"/>
  <c r="G1637" i="1"/>
  <c r="E1637" i="1"/>
  <c r="C1637" i="1"/>
  <c r="G1636" i="1"/>
  <c r="E1636" i="1"/>
  <c r="C1636" i="1"/>
  <c r="G1635" i="1"/>
  <c r="E1635" i="1"/>
  <c r="C1635" i="1"/>
  <c r="G1634" i="1"/>
  <c r="E1634" i="1"/>
  <c r="C1634" i="1"/>
  <c r="G1633" i="1"/>
  <c r="E1633" i="1"/>
  <c r="C1633" i="1"/>
  <c r="G1632" i="1"/>
  <c r="E1632" i="1"/>
  <c r="C1632" i="1"/>
  <c r="G1631" i="1"/>
  <c r="E1631" i="1"/>
  <c r="C1631" i="1"/>
  <c r="G1630" i="1"/>
  <c r="E1630" i="1"/>
  <c r="C1630" i="1"/>
  <c r="G1629" i="1"/>
  <c r="E1629" i="1"/>
  <c r="C1629" i="1"/>
  <c r="G1628" i="1"/>
  <c r="E1628" i="1"/>
  <c r="C1628" i="1"/>
  <c r="G1627" i="1"/>
  <c r="E1627" i="1"/>
  <c r="C1627" i="1"/>
  <c r="G1626" i="1"/>
  <c r="E1626" i="1"/>
  <c r="C1626" i="1"/>
  <c r="G1625" i="1"/>
  <c r="E1625" i="1"/>
  <c r="C1625" i="1"/>
  <c r="G1624" i="1"/>
  <c r="E1624" i="1"/>
  <c r="C1624" i="1"/>
  <c r="G1623" i="1"/>
  <c r="E1623" i="1"/>
  <c r="C1623" i="1"/>
  <c r="G1622" i="1"/>
  <c r="E1622" i="1"/>
  <c r="C1622" i="1"/>
  <c r="G1621" i="1"/>
  <c r="E1621" i="1"/>
  <c r="C1621" i="1"/>
  <c r="G1620" i="1"/>
  <c r="E1620" i="1"/>
  <c r="C1620" i="1"/>
  <c r="G1619" i="1"/>
  <c r="E1619" i="1"/>
  <c r="C1619" i="1"/>
  <c r="G1618" i="1"/>
  <c r="E1618" i="1"/>
  <c r="C1618" i="1"/>
  <c r="G1617" i="1"/>
  <c r="E1617" i="1"/>
  <c r="C1617" i="1"/>
  <c r="G1616" i="1"/>
  <c r="E1616" i="1"/>
  <c r="C1616" i="1"/>
  <c r="G1615" i="1"/>
  <c r="E1615" i="1"/>
  <c r="C1615" i="1"/>
  <c r="G1614" i="1"/>
  <c r="E1614" i="1"/>
  <c r="C1614" i="1"/>
  <c r="G1613" i="1"/>
  <c r="E1613" i="1"/>
  <c r="C1613" i="1"/>
  <c r="G1612" i="1"/>
  <c r="E1612" i="1"/>
  <c r="C1612" i="1"/>
  <c r="G1611" i="1"/>
  <c r="E1611" i="1"/>
  <c r="C1611" i="1"/>
  <c r="G1610" i="1"/>
  <c r="E1610" i="1"/>
  <c r="C1610" i="1"/>
  <c r="G1609" i="1"/>
  <c r="E1609" i="1"/>
  <c r="C1609" i="1"/>
  <c r="G1608" i="1"/>
  <c r="E1608" i="1"/>
  <c r="C1608" i="1"/>
  <c r="G1607" i="1"/>
  <c r="E1607" i="1"/>
  <c r="C1607" i="1"/>
  <c r="G1606" i="1"/>
  <c r="E1606" i="1"/>
  <c r="C1606" i="1"/>
  <c r="G1605" i="1"/>
  <c r="E1605" i="1"/>
  <c r="C1605" i="1"/>
  <c r="G1604" i="1"/>
  <c r="E1604" i="1"/>
  <c r="C1604" i="1"/>
  <c r="G1603" i="1"/>
  <c r="E1603" i="1"/>
  <c r="C1603" i="1"/>
  <c r="G1602" i="1"/>
  <c r="E1602" i="1"/>
  <c r="C1602" i="1"/>
  <c r="G1601" i="1"/>
  <c r="E1601" i="1"/>
  <c r="C1601" i="1"/>
  <c r="G1600" i="1"/>
  <c r="E1600" i="1"/>
  <c r="C1600" i="1"/>
  <c r="G1599" i="1"/>
  <c r="E1599" i="1"/>
  <c r="C1599" i="1"/>
  <c r="G1598" i="1"/>
  <c r="E1598" i="1"/>
  <c r="C1598" i="1"/>
  <c r="G1597" i="1"/>
  <c r="E1597" i="1"/>
  <c r="C1597" i="1"/>
  <c r="G1596" i="1"/>
  <c r="E1596" i="1"/>
  <c r="C1596" i="1"/>
  <c r="G1595" i="1"/>
  <c r="E1595" i="1"/>
  <c r="C1595" i="1"/>
  <c r="G1594" i="1"/>
  <c r="E1594" i="1"/>
  <c r="C1594" i="1"/>
  <c r="G1593" i="1"/>
  <c r="E1593" i="1"/>
  <c r="C1593" i="1"/>
  <c r="G1592" i="1"/>
  <c r="E1592" i="1"/>
  <c r="C1592" i="1"/>
  <c r="G1591" i="1"/>
  <c r="E1591" i="1"/>
  <c r="C1591" i="1"/>
  <c r="G1590" i="1"/>
  <c r="E1590" i="1"/>
  <c r="C1590" i="1"/>
  <c r="G1589" i="1"/>
  <c r="E1589" i="1"/>
  <c r="C1589" i="1"/>
  <c r="G1588" i="1"/>
  <c r="E1588" i="1"/>
  <c r="C1588" i="1"/>
  <c r="G1587" i="1"/>
  <c r="E1587" i="1"/>
  <c r="C1587" i="1"/>
  <c r="G1586" i="1"/>
  <c r="E1586" i="1"/>
  <c r="C1586" i="1"/>
  <c r="G1585" i="1"/>
  <c r="E1585" i="1"/>
  <c r="C1585" i="1"/>
  <c r="G1584" i="1"/>
  <c r="E1584" i="1"/>
  <c r="C1584" i="1"/>
  <c r="G1583" i="1"/>
  <c r="E1583" i="1"/>
  <c r="C1583" i="1"/>
  <c r="G1582" i="1"/>
  <c r="E1582" i="1"/>
  <c r="C1582" i="1"/>
  <c r="G1581" i="1"/>
  <c r="E1581" i="1"/>
  <c r="C1581" i="1"/>
  <c r="G1580" i="1"/>
  <c r="E1580" i="1"/>
  <c r="C1580" i="1"/>
  <c r="G1579" i="1"/>
  <c r="E1579" i="1"/>
  <c r="C1579" i="1"/>
  <c r="G1578" i="1"/>
  <c r="E1578" i="1"/>
  <c r="C1578" i="1"/>
  <c r="G1577" i="1"/>
  <c r="E1577" i="1"/>
  <c r="C1577" i="1"/>
  <c r="G1576" i="1"/>
  <c r="E1576" i="1"/>
  <c r="C1576" i="1"/>
  <c r="G1575" i="1"/>
  <c r="E1575" i="1"/>
  <c r="C1575" i="1"/>
  <c r="G1574" i="1"/>
  <c r="E1574" i="1"/>
  <c r="C1574" i="1"/>
  <c r="G1573" i="1"/>
  <c r="E1573" i="1"/>
  <c r="C1573" i="1"/>
  <c r="G1572" i="1"/>
  <c r="E1572" i="1"/>
  <c r="C1572" i="1"/>
  <c r="G1571" i="1"/>
  <c r="E1571" i="1"/>
  <c r="C1571" i="1"/>
  <c r="G1570" i="1"/>
  <c r="E1570" i="1"/>
  <c r="C1570" i="1"/>
  <c r="G1569" i="1"/>
  <c r="E1569" i="1"/>
  <c r="C1569" i="1"/>
  <c r="G1568" i="1"/>
  <c r="E1568" i="1"/>
  <c r="C1568" i="1"/>
  <c r="G1567" i="1"/>
  <c r="E1567" i="1"/>
  <c r="C1567" i="1"/>
  <c r="G1566" i="1"/>
  <c r="E1566" i="1"/>
  <c r="C1566" i="1"/>
  <c r="G1565" i="1"/>
  <c r="E1565" i="1"/>
  <c r="C1565" i="1"/>
  <c r="G1564" i="1"/>
  <c r="E1564" i="1"/>
  <c r="C1564" i="1"/>
  <c r="G1563" i="1"/>
  <c r="E1563" i="1"/>
  <c r="C1563" i="1"/>
  <c r="G1562" i="1"/>
  <c r="E1562" i="1"/>
  <c r="C1562" i="1"/>
  <c r="G1561" i="1"/>
  <c r="E1561" i="1"/>
  <c r="C1561" i="1"/>
  <c r="G1560" i="1"/>
  <c r="E1560" i="1"/>
  <c r="C1560" i="1"/>
  <c r="G1559" i="1"/>
  <c r="E1559" i="1"/>
  <c r="C1559" i="1"/>
  <c r="G1558" i="1"/>
  <c r="E1558" i="1"/>
  <c r="C1558" i="1"/>
  <c r="G1557" i="1"/>
  <c r="E1557" i="1"/>
  <c r="C1557" i="1"/>
  <c r="G1556" i="1"/>
  <c r="E1556" i="1"/>
  <c r="C1556" i="1"/>
  <c r="G1555" i="1"/>
  <c r="E1555" i="1"/>
  <c r="C1555" i="1"/>
  <c r="G1554" i="1"/>
  <c r="E1554" i="1"/>
  <c r="C1554" i="1"/>
  <c r="G1553" i="1"/>
  <c r="E1553" i="1"/>
  <c r="C1553" i="1"/>
  <c r="G1552" i="1"/>
  <c r="E1552" i="1"/>
  <c r="C1552" i="1"/>
  <c r="G1551" i="1"/>
  <c r="E1551" i="1"/>
  <c r="C1551" i="1"/>
  <c r="G1550" i="1"/>
  <c r="E1550" i="1"/>
  <c r="C1550" i="1"/>
  <c r="G1549" i="1"/>
  <c r="E1549" i="1"/>
  <c r="C1549" i="1"/>
  <c r="G1548" i="1"/>
  <c r="E1548" i="1"/>
  <c r="C1548" i="1"/>
  <c r="G1547" i="1"/>
  <c r="E1547" i="1"/>
  <c r="C1547" i="1"/>
  <c r="G1546" i="1"/>
  <c r="E1546" i="1"/>
  <c r="C1546" i="1"/>
  <c r="G1545" i="1"/>
  <c r="E1545" i="1"/>
  <c r="C1545" i="1"/>
  <c r="G1544" i="1"/>
  <c r="E1544" i="1"/>
  <c r="C1544" i="1"/>
  <c r="G1543" i="1"/>
  <c r="E1543" i="1"/>
  <c r="C1543" i="1"/>
  <c r="G1542" i="1"/>
  <c r="E1542" i="1"/>
  <c r="C1542" i="1"/>
  <c r="G1541" i="1"/>
  <c r="E1541" i="1"/>
  <c r="C1541" i="1"/>
  <c r="G1540" i="1"/>
  <c r="E1540" i="1"/>
  <c r="C1540" i="1"/>
  <c r="G1539" i="1"/>
  <c r="E1539" i="1"/>
  <c r="C1539" i="1"/>
  <c r="G1538" i="1"/>
  <c r="E1538" i="1"/>
  <c r="C1538" i="1"/>
  <c r="G1537" i="1"/>
  <c r="E1537" i="1"/>
  <c r="C1537" i="1"/>
  <c r="G1536" i="1"/>
  <c r="E1536" i="1"/>
  <c r="C1536" i="1"/>
  <c r="G1535" i="1"/>
  <c r="E1535" i="1"/>
  <c r="C1535" i="1"/>
  <c r="G1534" i="1"/>
  <c r="E1534" i="1"/>
  <c r="C1534" i="1"/>
  <c r="G1533" i="1"/>
  <c r="E1533" i="1"/>
  <c r="C1533" i="1"/>
  <c r="G1532" i="1"/>
  <c r="E1532" i="1"/>
  <c r="C1532" i="1"/>
  <c r="G1531" i="1"/>
  <c r="E1531" i="1"/>
  <c r="C1531" i="1"/>
  <c r="G1530" i="1"/>
  <c r="E1530" i="1"/>
  <c r="C1530" i="1"/>
  <c r="G1529" i="1"/>
  <c r="E1529" i="1"/>
  <c r="C1529" i="1"/>
  <c r="G1528" i="1"/>
  <c r="E1528" i="1"/>
  <c r="C1528" i="1"/>
  <c r="G1527" i="1"/>
  <c r="E1527" i="1"/>
  <c r="C1527" i="1"/>
  <c r="G1526" i="1"/>
  <c r="E1526" i="1"/>
  <c r="C1526" i="1"/>
  <c r="G1525" i="1"/>
  <c r="E1525" i="1"/>
  <c r="C1525" i="1"/>
  <c r="G1524" i="1"/>
  <c r="E1524" i="1"/>
  <c r="C1524" i="1"/>
  <c r="G1523" i="1"/>
  <c r="E1523" i="1"/>
  <c r="C1523" i="1"/>
  <c r="G1522" i="1"/>
  <c r="E1522" i="1"/>
  <c r="C1522" i="1"/>
  <c r="G1521" i="1"/>
  <c r="E1521" i="1"/>
  <c r="C1521" i="1"/>
  <c r="G1520" i="1"/>
  <c r="E1520" i="1"/>
  <c r="C1520" i="1"/>
  <c r="G1519" i="1"/>
  <c r="E1519" i="1"/>
  <c r="C1519" i="1"/>
  <c r="G1518" i="1"/>
  <c r="E1518" i="1"/>
  <c r="C1518" i="1"/>
  <c r="G1517" i="1"/>
  <c r="E1517" i="1"/>
  <c r="C1517" i="1"/>
  <c r="G1516" i="1"/>
  <c r="E1516" i="1"/>
  <c r="C1516" i="1"/>
  <c r="G1515" i="1"/>
  <c r="E1515" i="1"/>
  <c r="C1515" i="1"/>
  <c r="G1514" i="1"/>
  <c r="E1514" i="1"/>
  <c r="C1514" i="1"/>
  <c r="G1513" i="1"/>
  <c r="E1513" i="1"/>
  <c r="C1513" i="1"/>
  <c r="G1512" i="1"/>
  <c r="E1512" i="1"/>
  <c r="C1512" i="1"/>
  <c r="G1511" i="1"/>
  <c r="E1511" i="1"/>
  <c r="C1511" i="1"/>
  <c r="G1510" i="1"/>
  <c r="E1510" i="1"/>
  <c r="C1510" i="1"/>
  <c r="G1509" i="1"/>
  <c r="E1509" i="1"/>
  <c r="C1509" i="1"/>
  <c r="G1508" i="1"/>
  <c r="E1508" i="1"/>
  <c r="C1508" i="1"/>
  <c r="G1507" i="1"/>
  <c r="E1507" i="1"/>
  <c r="C1507" i="1"/>
  <c r="G1506" i="1"/>
  <c r="E1506" i="1"/>
  <c r="C1506" i="1"/>
  <c r="G1505" i="1"/>
  <c r="E1505" i="1"/>
  <c r="C1505" i="1"/>
  <c r="G1504" i="1"/>
  <c r="E1504" i="1"/>
  <c r="C1504" i="1"/>
  <c r="G1503" i="1"/>
  <c r="E1503" i="1"/>
  <c r="C1503" i="1"/>
  <c r="G1502" i="1"/>
  <c r="E1502" i="1"/>
  <c r="C1502" i="1"/>
  <c r="G1501" i="1"/>
  <c r="E1501" i="1"/>
  <c r="C1501" i="1"/>
  <c r="G1500" i="1"/>
  <c r="E1500" i="1"/>
  <c r="C1500" i="1"/>
  <c r="G1499" i="1"/>
  <c r="E1499" i="1"/>
  <c r="C1499" i="1"/>
  <c r="G1498" i="1"/>
  <c r="E1498" i="1"/>
  <c r="C1498" i="1"/>
  <c r="G1497" i="1"/>
  <c r="E1497" i="1"/>
  <c r="C1497" i="1"/>
  <c r="G1496" i="1"/>
  <c r="E1496" i="1"/>
  <c r="C1496" i="1"/>
  <c r="G1495" i="1"/>
  <c r="E1495" i="1"/>
  <c r="C1495" i="1"/>
  <c r="G1494" i="1"/>
  <c r="E1494" i="1"/>
  <c r="C1494" i="1"/>
  <c r="G1493" i="1"/>
  <c r="E1493" i="1"/>
  <c r="C1493" i="1"/>
  <c r="G1492" i="1"/>
  <c r="E1492" i="1"/>
  <c r="C1492" i="1"/>
  <c r="G1491" i="1"/>
  <c r="E1491" i="1"/>
  <c r="C1491" i="1"/>
  <c r="G1490" i="1"/>
  <c r="E1490" i="1"/>
  <c r="C1490" i="1"/>
  <c r="G1489" i="1"/>
  <c r="E1489" i="1"/>
  <c r="C1489" i="1"/>
  <c r="G1488" i="1"/>
  <c r="E1488" i="1"/>
  <c r="C1488" i="1"/>
  <c r="G1487" i="1"/>
  <c r="E1487" i="1"/>
  <c r="C1487" i="1"/>
  <c r="G1486" i="1"/>
  <c r="E1486" i="1"/>
  <c r="C1486" i="1"/>
  <c r="G1485" i="1"/>
  <c r="E1485" i="1"/>
  <c r="C1485" i="1"/>
  <c r="G1484" i="1"/>
  <c r="E1484" i="1"/>
  <c r="C1484" i="1"/>
  <c r="G1483" i="1"/>
  <c r="E1483" i="1"/>
  <c r="C1483" i="1"/>
  <c r="G1482" i="1"/>
  <c r="E1482" i="1"/>
  <c r="C1482" i="1"/>
  <c r="G1481" i="1"/>
  <c r="E1481" i="1"/>
  <c r="C1481" i="1"/>
  <c r="G1480" i="1"/>
  <c r="E1480" i="1"/>
  <c r="C1480" i="1"/>
  <c r="G1479" i="1"/>
  <c r="E1479" i="1"/>
  <c r="C1479" i="1"/>
  <c r="G1478" i="1"/>
  <c r="E1478" i="1"/>
  <c r="C1478" i="1"/>
  <c r="G1477" i="1"/>
  <c r="E1477" i="1"/>
  <c r="C1477" i="1"/>
  <c r="G1476" i="1"/>
  <c r="E1476" i="1"/>
  <c r="C1476" i="1"/>
  <c r="G1475" i="1"/>
  <c r="E1475" i="1"/>
  <c r="C1475" i="1"/>
  <c r="G1474" i="1"/>
  <c r="E1474" i="1"/>
  <c r="C1474" i="1"/>
  <c r="G1473" i="1"/>
  <c r="E1473" i="1"/>
  <c r="C1473" i="1"/>
  <c r="G1472" i="1"/>
  <c r="E1472" i="1"/>
  <c r="C1472" i="1"/>
  <c r="G1471" i="1"/>
  <c r="E1471" i="1"/>
  <c r="C1471" i="1"/>
  <c r="G1470" i="1"/>
  <c r="E1470" i="1"/>
  <c r="C1470" i="1"/>
  <c r="G1469" i="1"/>
  <c r="E1469" i="1"/>
  <c r="C1469" i="1"/>
  <c r="G1468" i="1"/>
  <c r="E1468" i="1"/>
  <c r="C1468" i="1"/>
  <c r="G1467" i="1"/>
  <c r="E1467" i="1"/>
  <c r="C1467" i="1"/>
  <c r="G1466" i="1"/>
  <c r="E1466" i="1"/>
  <c r="C1466" i="1"/>
  <c r="G1465" i="1"/>
  <c r="E1465" i="1"/>
  <c r="C1465" i="1"/>
  <c r="G1464" i="1"/>
  <c r="E1464" i="1"/>
  <c r="C1464" i="1"/>
  <c r="G1463" i="1"/>
  <c r="E1463" i="1"/>
  <c r="C1463" i="1"/>
  <c r="G1462" i="1"/>
  <c r="E1462" i="1"/>
  <c r="C1462" i="1"/>
  <c r="G1461" i="1"/>
  <c r="E1461" i="1"/>
  <c r="C1461" i="1"/>
  <c r="G1460" i="1"/>
  <c r="E1460" i="1"/>
  <c r="C1460" i="1"/>
  <c r="G1459" i="1"/>
  <c r="E1459" i="1"/>
  <c r="C1459" i="1"/>
  <c r="G1458" i="1"/>
  <c r="E1458" i="1"/>
  <c r="C1458" i="1"/>
  <c r="G1457" i="1"/>
  <c r="E1457" i="1"/>
  <c r="C1457" i="1"/>
  <c r="G1456" i="1"/>
  <c r="E1456" i="1"/>
  <c r="C1456" i="1"/>
  <c r="G1455" i="1"/>
  <c r="E1455" i="1"/>
  <c r="C1455" i="1"/>
  <c r="G1454" i="1"/>
  <c r="E1454" i="1"/>
  <c r="C1454" i="1"/>
  <c r="G1453" i="1"/>
  <c r="E1453" i="1"/>
  <c r="C1453" i="1"/>
  <c r="G1452" i="1"/>
  <c r="E1452" i="1"/>
  <c r="C1452" i="1"/>
  <c r="G1451" i="1"/>
  <c r="E1451" i="1"/>
  <c r="C1451" i="1"/>
  <c r="G1450" i="1"/>
  <c r="E1450" i="1"/>
  <c r="C1450" i="1"/>
  <c r="G1449" i="1"/>
  <c r="E1449" i="1"/>
  <c r="C1449" i="1"/>
  <c r="G1448" i="1"/>
  <c r="E1448" i="1"/>
  <c r="C1448" i="1"/>
  <c r="G1447" i="1"/>
  <c r="E1447" i="1"/>
  <c r="C1447" i="1"/>
  <c r="G1446" i="1"/>
  <c r="E1446" i="1"/>
  <c r="C1446" i="1"/>
  <c r="G1445" i="1"/>
  <c r="E1445" i="1"/>
  <c r="C1445" i="1"/>
  <c r="G1444" i="1"/>
  <c r="E1444" i="1"/>
  <c r="C1444" i="1"/>
  <c r="G1443" i="1"/>
  <c r="E1443" i="1"/>
  <c r="C1443" i="1"/>
  <c r="G1442" i="1"/>
  <c r="E1442" i="1"/>
  <c r="C1442" i="1"/>
  <c r="G1441" i="1"/>
  <c r="E1441" i="1"/>
  <c r="C1441" i="1"/>
  <c r="G1440" i="1"/>
  <c r="E1440" i="1"/>
  <c r="C1440" i="1"/>
  <c r="G1439" i="1"/>
  <c r="E1439" i="1"/>
  <c r="C1439" i="1"/>
  <c r="G1438" i="1"/>
  <c r="E1438" i="1"/>
  <c r="C1438" i="1"/>
  <c r="G1437" i="1"/>
  <c r="E1437" i="1"/>
  <c r="C1437" i="1"/>
  <c r="G1436" i="1"/>
  <c r="E1436" i="1"/>
  <c r="C1436" i="1"/>
  <c r="G1435" i="1"/>
  <c r="E1435" i="1"/>
  <c r="C1435" i="1"/>
  <c r="G1434" i="1"/>
  <c r="E1434" i="1"/>
  <c r="C1434" i="1"/>
  <c r="G1433" i="1"/>
  <c r="E1433" i="1"/>
  <c r="C1433" i="1"/>
  <c r="G1432" i="1"/>
  <c r="E1432" i="1"/>
  <c r="C1432" i="1"/>
  <c r="G1431" i="1"/>
  <c r="E1431" i="1"/>
  <c r="C1431" i="1"/>
  <c r="G1430" i="1"/>
  <c r="E1430" i="1"/>
  <c r="C1430" i="1"/>
  <c r="G1429" i="1"/>
  <c r="E1429" i="1"/>
  <c r="C1429" i="1"/>
  <c r="G1428" i="1"/>
  <c r="E1428" i="1"/>
  <c r="C1428" i="1"/>
  <c r="G1427" i="1"/>
  <c r="E1427" i="1"/>
  <c r="C1427" i="1"/>
  <c r="G1426" i="1"/>
  <c r="E1426" i="1"/>
  <c r="C1426" i="1"/>
  <c r="G1425" i="1"/>
  <c r="E1425" i="1"/>
  <c r="C1425" i="1"/>
  <c r="G1424" i="1"/>
  <c r="E1424" i="1"/>
  <c r="C1424" i="1"/>
  <c r="G1423" i="1"/>
  <c r="E1423" i="1"/>
  <c r="C1423" i="1"/>
  <c r="G1422" i="1"/>
  <c r="E1422" i="1"/>
  <c r="C1422" i="1"/>
  <c r="G1421" i="1"/>
  <c r="E1421" i="1"/>
  <c r="C1421" i="1"/>
  <c r="G1420" i="1"/>
  <c r="E1420" i="1"/>
  <c r="C1420" i="1"/>
  <c r="G1419" i="1"/>
  <c r="E1419" i="1"/>
  <c r="C1419" i="1"/>
  <c r="G1418" i="1"/>
  <c r="E1418" i="1"/>
  <c r="C1418" i="1"/>
  <c r="G1417" i="1"/>
  <c r="E1417" i="1"/>
  <c r="C1417" i="1"/>
  <c r="G1416" i="1"/>
  <c r="E1416" i="1"/>
  <c r="C1416" i="1"/>
  <c r="G1415" i="1"/>
  <c r="E1415" i="1"/>
  <c r="C1415" i="1"/>
  <c r="G1414" i="1"/>
  <c r="E1414" i="1"/>
  <c r="C1414" i="1"/>
  <c r="G1413" i="1"/>
  <c r="E1413" i="1"/>
  <c r="C1413" i="1"/>
  <c r="G1412" i="1"/>
  <c r="E1412" i="1"/>
  <c r="C1412" i="1"/>
  <c r="G1411" i="1"/>
  <c r="E1411" i="1"/>
  <c r="C1411" i="1"/>
  <c r="G1410" i="1"/>
  <c r="E1410" i="1"/>
  <c r="C1410" i="1"/>
  <c r="G1409" i="1"/>
  <c r="E1409" i="1"/>
  <c r="C1409" i="1"/>
  <c r="G1408" i="1"/>
  <c r="E1408" i="1"/>
  <c r="C1408" i="1"/>
  <c r="G1407" i="1"/>
  <c r="E1407" i="1"/>
  <c r="C1407" i="1"/>
  <c r="G1406" i="1"/>
  <c r="E1406" i="1"/>
  <c r="C1406" i="1"/>
  <c r="G1405" i="1"/>
  <c r="E1405" i="1"/>
  <c r="C1405" i="1"/>
  <c r="G1404" i="1"/>
  <c r="E1404" i="1"/>
  <c r="C1404" i="1"/>
  <c r="G1403" i="1"/>
  <c r="E1403" i="1"/>
  <c r="C1403" i="1"/>
  <c r="G1402" i="1"/>
  <c r="E1402" i="1"/>
  <c r="C1402" i="1"/>
  <c r="G1401" i="1"/>
  <c r="E1401" i="1"/>
  <c r="C1401" i="1"/>
  <c r="G1400" i="1"/>
  <c r="E1400" i="1"/>
  <c r="C1400" i="1"/>
  <c r="G1399" i="1"/>
  <c r="E1399" i="1"/>
  <c r="C1399" i="1"/>
  <c r="G1398" i="1"/>
  <c r="E1398" i="1"/>
  <c r="C1398" i="1"/>
  <c r="G1397" i="1"/>
  <c r="E1397" i="1"/>
  <c r="C1397" i="1"/>
  <c r="G1396" i="1"/>
  <c r="E1396" i="1"/>
  <c r="C1396" i="1"/>
  <c r="G1395" i="1"/>
  <c r="E1395" i="1"/>
  <c r="C1395" i="1"/>
  <c r="G1394" i="1"/>
  <c r="E1394" i="1"/>
  <c r="C1394" i="1"/>
  <c r="G1393" i="1"/>
  <c r="E1393" i="1"/>
  <c r="C1393" i="1"/>
  <c r="G1392" i="1"/>
  <c r="E1392" i="1"/>
  <c r="C1392" i="1"/>
  <c r="G1391" i="1"/>
  <c r="E1391" i="1"/>
  <c r="C1391" i="1"/>
  <c r="G1390" i="1"/>
  <c r="E1390" i="1"/>
  <c r="C1390" i="1"/>
  <c r="G1389" i="1"/>
  <c r="E1389" i="1"/>
  <c r="C1389" i="1"/>
  <c r="G1388" i="1"/>
  <c r="E1388" i="1"/>
  <c r="C1388" i="1"/>
  <c r="G1387" i="1"/>
  <c r="E1387" i="1"/>
  <c r="C1387" i="1"/>
  <c r="G1386" i="1"/>
  <c r="E1386" i="1"/>
  <c r="C1386" i="1"/>
  <c r="G1385" i="1"/>
  <c r="E1385" i="1"/>
  <c r="C1385" i="1"/>
  <c r="G1384" i="1"/>
  <c r="E1384" i="1"/>
  <c r="C1384" i="1"/>
  <c r="G1383" i="1"/>
  <c r="E1383" i="1"/>
  <c r="C1383" i="1"/>
  <c r="G1382" i="1"/>
  <c r="E1382" i="1"/>
  <c r="C1382" i="1"/>
  <c r="G1381" i="1"/>
  <c r="E1381" i="1"/>
  <c r="C1381" i="1"/>
  <c r="G1380" i="1"/>
  <c r="E1380" i="1"/>
  <c r="C1380" i="1"/>
  <c r="G1379" i="1"/>
  <c r="E1379" i="1"/>
  <c r="C1379" i="1"/>
  <c r="G1378" i="1"/>
  <c r="E1378" i="1"/>
  <c r="C1378" i="1"/>
  <c r="G1377" i="1"/>
  <c r="E1377" i="1"/>
  <c r="C1377" i="1"/>
  <c r="G1376" i="1"/>
  <c r="E1376" i="1"/>
  <c r="C1376" i="1"/>
  <c r="G1375" i="1"/>
  <c r="E1375" i="1"/>
  <c r="C1375" i="1"/>
  <c r="G1374" i="1"/>
  <c r="E1374" i="1"/>
  <c r="C1374" i="1"/>
  <c r="G1373" i="1"/>
  <c r="E1373" i="1"/>
  <c r="C1373" i="1"/>
  <c r="G1372" i="1"/>
  <c r="E1372" i="1"/>
  <c r="C1372" i="1"/>
  <c r="G1371" i="1"/>
  <c r="E1371" i="1"/>
  <c r="C1371" i="1"/>
  <c r="G1370" i="1"/>
  <c r="E1370" i="1"/>
  <c r="C1370" i="1"/>
  <c r="G1369" i="1"/>
  <c r="E1369" i="1"/>
  <c r="C1369" i="1"/>
  <c r="G1368" i="1"/>
  <c r="E1368" i="1"/>
  <c r="C1368" i="1"/>
  <c r="G1367" i="1"/>
  <c r="E1367" i="1"/>
  <c r="C1367" i="1"/>
  <c r="G1366" i="1"/>
  <c r="E1366" i="1"/>
  <c r="C1366" i="1"/>
  <c r="G1365" i="1"/>
  <c r="E1365" i="1"/>
  <c r="C1365" i="1"/>
  <c r="G1364" i="1"/>
  <c r="E1364" i="1"/>
  <c r="C1364" i="1"/>
  <c r="G1363" i="1"/>
  <c r="E1363" i="1"/>
  <c r="C1363" i="1"/>
  <c r="G1362" i="1"/>
  <c r="E1362" i="1"/>
  <c r="C1362" i="1"/>
  <c r="G1361" i="1"/>
  <c r="E1361" i="1"/>
  <c r="C1361" i="1"/>
  <c r="G1360" i="1"/>
  <c r="E1360" i="1"/>
  <c r="C1360" i="1"/>
  <c r="G1359" i="1"/>
  <c r="E1359" i="1"/>
  <c r="C1359" i="1"/>
  <c r="G1358" i="1"/>
  <c r="E1358" i="1"/>
  <c r="C1358" i="1"/>
  <c r="G1357" i="1"/>
  <c r="E1357" i="1"/>
  <c r="C1357" i="1"/>
  <c r="G1356" i="1"/>
  <c r="E1356" i="1"/>
  <c r="C1356" i="1"/>
  <c r="G1355" i="1"/>
  <c r="E1355" i="1"/>
  <c r="C1355" i="1"/>
  <c r="G1354" i="1"/>
  <c r="E1354" i="1"/>
  <c r="C1354" i="1"/>
  <c r="G1353" i="1"/>
  <c r="E1353" i="1"/>
  <c r="C1353" i="1"/>
  <c r="G1352" i="1"/>
  <c r="E1352" i="1"/>
  <c r="C1352" i="1"/>
  <c r="G1351" i="1"/>
  <c r="E1351" i="1"/>
  <c r="C1351" i="1"/>
  <c r="G1350" i="1"/>
  <c r="E1350" i="1"/>
  <c r="C1350" i="1"/>
  <c r="G1349" i="1"/>
  <c r="E1349" i="1"/>
  <c r="C1349" i="1"/>
  <c r="G1348" i="1"/>
  <c r="E1348" i="1"/>
  <c r="C1348" i="1"/>
  <c r="G1347" i="1"/>
  <c r="E1347" i="1"/>
  <c r="C1347" i="1"/>
  <c r="G1346" i="1"/>
  <c r="E1346" i="1"/>
  <c r="C1346" i="1"/>
  <c r="G1345" i="1"/>
  <c r="E1345" i="1"/>
  <c r="C1345" i="1"/>
  <c r="G1344" i="1"/>
  <c r="E1344" i="1"/>
  <c r="C1344" i="1"/>
  <c r="G1343" i="1"/>
  <c r="E1343" i="1"/>
  <c r="C1343" i="1"/>
  <c r="G1342" i="1"/>
  <c r="E1342" i="1"/>
  <c r="C1342" i="1"/>
  <c r="G1341" i="1"/>
  <c r="E1341" i="1"/>
  <c r="C1341" i="1"/>
  <c r="G1340" i="1"/>
  <c r="E1340" i="1"/>
  <c r="C1340" i="1"/>
  <c r="G1339" i="1"/>
  <c r="E1339" i="1"/>
  <c r="C1339" i="1"/>
  <c r="G1338" i="1"/>
  <c r="E1338" i="1"/>
  <c r="C1338" i="1"/>
  <c r="G1337" i="1"/>
  <c r="E1337" i="1"/>
  <c r="C1337" i="1"/>
  <c r="G1336" i="1"/>
  <c r="E1336" i="1"/>
  <c r="C1336" i="1"/>
  <c r="G1335" i="1"/>
  <c r="E1335" i="1"/>
  <c r="C1335" i="1"/>
  <c r="G1334" i="1"/>
  <c r="E1334" i="1"/>
  <c r="C1334" i="1"/>
  <c r="G1333" i="1"/>
  <c r="E1333" i="1"/>
  <c r="C1333" i="1"/>
  <c r="G1332" i="1"/>
  <c r="E1332" i="1"/>
  <c r="C1332" i="1"/>
  <c r="G1331" i="1"/>
  <c r="E1331" i="1"/>
  <c r="C1331" i="1"/>
  <c r="G1330" i="1"/>
  <c r="E1330" i="1"/>
  <c r="C1330" i="1"/>
  <c r="G1329" i="1"/>
  <c r="E1329" i="1"/>
  <c r="C1329" i="1"/>
  <c r="G1328" i="1"/>
  <c r="E1328" i="1"/>
  <c r="C1328" i="1"/>
  <c r="G1327" i="1"/>
  <c r="E1327" i="1"/>
  <c r="C1327" i="1"/>
  <c r="G1326" i="1"/>
  <c r="E1326" i="1"/>
  <c r="C1326" i="1"/>
  <c r="G1325" i="1"/>
  <c r="E1325" i="1"/>
  <c r="C1325" i="1"/>
  <c r="G1324" i="1"/>
  <c r="E1324" i="1"/>
  <c r="C1324" i="1"/>
  <c r="G1323" i="1"/>
  <c r="E1323" i="1"/>
  <c r="C1323" i="1"/>
  <c r="G1322" i="1"/>
  <c r="E1322" i="1"/>
  <c r="C1322" i="1"/>
  <c r="G1321" i="1"/>
  <c r="E1321" i="1"/>
  <c r="C1321" i="1"/>
  <c r="G1320" i="1"/>
  <c r="E1320" i="1"/>
  <c r="C1320" i="1"/>
  <c r="G1319" i="1"/>
  <c r="E1319" i="1"/>
  <c r="C1319" i="1"/>
  <c r="G1318" i="1"/>
  <c r="E1318" i="1"/>
  <c r="C1318" i="1"/>
  <c r="G1317" i="1"/>
  <c r="E1317" i="1"/>
  <c r="C1317" i="1"/>
  <c r="G1316" i="1"/>
  <c r="E1316" i="1"/>
  <c r="C1316" i="1"/>
  <c r="G1315" i="1"/>
  <c r="E1315" i="1"/>
  <c r="C1315" i="1"/>
  <c r="G1314" i="1"/>
  <c r="E1314" i="1"/>
  <c r="C1314" i="1"/>
  <c r="G1313" i="1"/>
  <c r="E1313" i="1"/>
  <c r="C1313" i="1"/>
  <c r="G1312" i="1"/>
  <c r="E1312" i="1"/>
  <c r="C1312" i="1"/>
  <c r="G1311" i="1"/>
  <c r="E1311" i="1"/>
  <c r="C1311" i="1"/>
  <c r="G1310" i="1"/>
  <c r="E1310" i="1"/>
  <c r="C1310" i="1"/>
  <c r="G1309" i="1"/>
  <c r="E1309" i="1"/>
  <c r="C1309" i="1"/>
  <c r="G1308" i="1"/>
  <c r="E1308" i="1"/>
  <c r="C1308" i="1"/>
  <c r="G1307" i="1"/>
  <c r="E1307" i="1"/>
  <c r="C1307" i="1"/>
  <c r="G1306" i="1"/>
  <c r="E1306" i="1"/>
  <c r="C1306" i="1"/>
  <c r="G1305" i="1"/>
  <c r="E1305" i="1"/>
  <c r="C1305" i="1"/>
  <c r="G1304" i="1"/>
  <c r="E1304" i="1"/>
  <c r="C1304" i="1"/>
  <c r="G1303" i="1"/>
  <c r="E1303" i="1"/>
  <c r="C1303" i="1"/>
  <c r="G1302" i="1"/>
  <c r="E1302" i="1"/>
  <c r="C1302" i="1"/>
  <c r="G1301" i="1"/>
  <c r="E1301" i="1"/>
  <c r="C1301" i="1"/>
  <c r="G1300" i="1"/>
  <c r="E1300" i="1"/>
  <c r="C1300" i="1"/>
  <c r="G1299" i="1"/>
  <c r="E1299" i="1"/>
  <c r="C1299" i="1"/>
  <c r="G1298" i="1"/>
  <c r="E1298" i="1"/>
  <c r="C1298" i="1"/>
  <c r="G1297" i="1"/>
  <c r="E1297" i="1"/>
  <c r="C1297" i="1"/>
  <c r="G1296" i="1"/>
  <c r="E1296" i="1"/>
  <c r="C1296" i="1"/>
  <c r="G1295" i="1"/>
  <c r="E1295" i="1"/>
  <c r="C1295" i="1"/>
  <c r="G1294" i="1"/>
  <c r="E1294" i="1"/>
  <c r="C1294" i="1"/>
  <c r="G1293" i="1"/>
  <c r="E1293" i="1"/>
  <c r="C1293" i="1"/>
  <c r="G1292" i="1"/>
  <c r="E1292" i="1"/>
  <c r="C1292" i="1"/>
  <c r="G1291" i="1"/>
  <c r="E1291" i="1"/>
  <c r="C1291" i="1"/>
  <c r="G1290" i="1"/>
  <c r="E1290" i="1"/>
  <c r="C1290" i="1"/>
  <c r="G1289" i="1"/>
  <c r="E1289" i="1"/>
  <c r="C1289" i="1"/>
  <c r="G1288" i="1"/>
  <c r="E1288" i="1"/>
  <c r="C1288" i="1"/>
  <c r="G1287" i="1"/>
  <c r="E1287" i="1"/>
  <c r="C1287" i="1"/>
  <c r="G1286" i="1"/>
  <c r="E1286" i="1"/>
  <c r="C1286" i="1"/>
  <c r="G1285" i="1"/>
  <c r="E1285" i="1"/>
  <c r="C1285" i="1"/>
  <c r="G1284" i="1"/>
  <c r="E1284" i="1"/>
  <c r="C1284" i="1"/>
  <c r="G1283" i="1"/>
  <c r="E1283" i="1"/>
  <c r="C1283" i="1"/>
  <c r="G1282" i="1"/>
  <c r="E1282" i="1"/>
  <c r="C1282" i="1"/>
  <c r="G1281" i="1"/>
  <c r="E1281" i="1"/>
  <c r="C1281" i="1"/>
  <c r="G1280" i="1"/>
  <c r="E1280" i="1"/>
  <c r="C1280" i="1"/>
  <c r="G1279" i="1"/>
  <c r="E1279" i="1"/>
  <c r="C1279" i="1"/>
  <c r="G1278" i="1"/>
  <c r="E1278" i="1"/>
  <c r="C1278" i="1"/>
  <c r="G1277" i="1"/>
  <c r="E1277" i="1"/>
  <c r="C1277" i="1"/>
  <c r="G1276" i="1"/>
  <c r="E1276" i="1"/>
  <c r="C1276" i="1"/>
  <c r="G1275" i="1"/>
  <c r="E1275" i="1"/>
  <c r="C1275" i="1"/>
  <c r="G1274" i="1"/>
  <c r="E1274" i="1"/>
  <c r="C1274" i="1"/>
  <c r="G1273" i="1"/>
  <c r="E1273" i="1"/>
  <c r="C1273" i="1"/>
  <c r="G1272" i="1"/>
  <c r="E1272" i="1"/>
  <c r="C1272" i="1"/>
  <c r="G1271" i="1"/>
  <c r="E1271" i="1"/>
  <c r="C1271" i="1"/>
  <c r="G1270" i="1"/>
  <c r="E1270" i="1"/>
  <c r="C1270" i="1"/>
  <c r="G1269" i="1"/>
  <c r="E1269" i="1"/>
  <c r="C1269" i="1"/>
  <c r="G1268" i="1"/>
  <c r="E1268" i="1"/>
  <c r="C1268" i="1"/>
  <c r="G1267" i="1"/>
  <c r="E1267" i="1"/>
  <c r="C1267" i="1"/>
  <c r="G1266" i="1"/>
  <c r="E1266" i="1"/>
  <c r="C1266" i="1"/>
  <c r="G1265" i="1"/>
  <c r="E1265" i="1"/>
  <c r="C1265" i="1"/>
  <c r="G1264" i="1"/>
  <c r="E1264" i="1"/>
  <c r="C1264" i="1"/>
  <c r="G1263" i="1"/>
  <c r="E1263" i="1"/>
  <c r="C1263" i="1"/>
  <c r="G1262" i="1"/>
  <c r="E1262" i="1"/>
  <c r="C1262" i="1"/>
  <c r="G1261" i="1"/>
  <c r="E1261" i="1"/>
  <c r="C1261" i="1"/>
  <c r="G1260" i="1"/>
  <c r="E1260" i="1"/>
  <c r="C1260" i="1"/>
  <c r="G1259" i="1"/>
  <c r="E1259" i="1"/>
  <c r="C1259" i="1"/>
  <c r="G1258" i="1"/>
  <c r="E1258" i="1"/>
  <c r="C1258" i="1"/>
  <c r="G1257" i="1"/>
  <c r="E1257" i="1"/>
  <c r="C1257" i="1"/>
  <c r="G1256" i="1"/>
  <c r="E1256" i="1"/>
  <c r="C1256" i="1"/>
  <c r="G1255" i="1"/>
  <c r="E1255" i="1"/>
  <c r="C1255" i="1"/>
  <c r="G1254" i="1"/>
  <c r="E1254" i="1"/>
  <c r="C1254" i="1"/>
  <c r="G1253" i="1"/>
  <c r="E1253" i="1"/>
  <c r="C1253" i="1"/>
  <c r="G1252" i="1"/>
  <c r="E1252" i="1"/>
  <c r="C1252" i="1"/>
  <c r="G1251" i="1"/>
  <c r="E1251" i="1"/>
  <c r="C1251" i="1"/>
  <c r="G1250" i="1"/>
  <c r="E1250" i="1"/>
  <c r="C1250" i="1"/>
  <c r="G1249" i="1"/>
  <c r="E1249" i="1"/>
  <c r="C1249" i="1"/>
  <c r="G1248" i="1"/>
  <c r="E1248" i="1"/>
  <c r="C1248" i="1"/>
  <c r="G1247" i="1"/>
  <c r="E1247" i="1"/>
  <c r="C1247" i="1"/>
  <c r="G1246" i="1"/>
  <c r="E1246" i="1"/>
  <c r="C1246" i="1"/>
  <c r="G1245" i="1"/>
  <c r="E1245" i="1"/>
  <c r="C1245" i="1"/>
  <c r="G1244" i="1"/>
  <c r="E1244" i="1"/>
  <c r="C1244" i="1"/>
  <c r="G1243" i="1"/>
  <c r="E1243" i="1"/>
  <c r="C1243" i="1"/>
  <c r="G1242" i="1"/>
  <c r="E1242" i="1"/>
  <c r="C1242" i="1"/>
  <c r="G1241" i="1"/>
  <c r="E1241" i="1"/>
  <c r="C1241" i="1"/>
  <c r="G1240" i="1"/>
  <c r="E1240" i="1"/>
  <c r="C1240" i="1"/>
  <c r="G1239" i="1"/>
  <c r="E1239" i="1"/>
  <c r="C1239" i="1"/>
  <c r="G1238" i="1"/>
  <c r="E1238" i="1"/>
  <c r="C1238" i="1"/>
  <c r="G1237" i="1"/>
  <c r="E1237" i="1"/>
  <c r="C1237" i="1"/>
  <c r="G1236" i="1"/>
  <c r="E1236" i="1"/>
  <c r="C1236" i="1"/>
  <c r="G1235" i="1"/>
  <c r="E1235" i="1"/>
  <c r="C1235" i="1"/>
  <c r="G1234" i="1"/>
  <c r="E1234" i="1"/>
  <c r="C1234" i="1"/>
  <c r="G1233" i="1"/>
  <c r="E1233" i="1"/>
  <c r="C1233" i="1"/>
  <c r="G1232" i="1"/>
  <c r="E1232" i="1"/>
  <c r="C1232" i="1"/>
  <c r="G1231" i="1"/>
  <c r="E1231" i="1"/>
  <c r="C1231" i="1"/>
  <c r="G1230" i="1"/>
  <c r="E1230" i="1"/>
  <c r="C1230" i="1"/>
  <c r="G1229" i="1"/>
  <c r="E1229" i="1"/>
  <c r="C1229" i="1"/>
  <c r="G1228" i="1"/>
  <c r="E1228" i="1"/>
  <c r="C1228" i="1"/>
  <c r="G1227" i="1"/>
  <c r="E1227" i="1"/>
  <c r="C1227" i="1"/>
  <c r="G1226" i="1"/>
  <c r="E1226" i="1"/>
  <c r="C1226" i="1"/>
  <c r="G1225" i="1"/>
  <c r="E1225" i="1"/>
  <c r="C1225" i="1"/>
  <c r="G1224" i="1"/>
  <c r="E1224" i="1"/>
  <c r="C1224" i="1"/>
  <c r="G1223" i="1"/>
  <c r="E1223" i="1"/>
  <c r="C1223" i="1"/>
  <c r="G1222" i="1"/>
  <c r="E1222" i="1"/>
  <c r="C1222" i="1"/>
  <c r="G1221" i="1"/>
  <c r="E1221" i="1"/>
  <c r="C1221" i="1"/>
  <c r="G1220" i="1"/>
  <c r="E1220" i="1"/>
  <c r="C1220" i="1"/>
  <c r="G1219" i="1"/>
  <c r="E1219" i="1"/>
  <c r="C1219" i="1"/>
  <c r="G1218" i="1"/>
  <c r="E1218" i="1"/>
  <c r="C1218" i="1"/>
  <c r="G1217" i="1"/>
  <c r="E1217" i="1"/>
  <c r="C1217" i="1"/>
  <c r="G1216" i="1"/>
  <c r="E1216" i="1"/>
  <c r="C1216" i="1"/>
  <c r="G1215" i="1"/>
  <c r="E1215" i="1"/>
  <c r="C1215" i="1"/>
  <c r="G1214" i="1"/>
  <c r="E1214" i="1"/>
  <c r="C1214" i="1"/>
  <c r="G1213" i="1"/>
  <c r="E1213" i="1"/>
  <c r="C1213" i="1"/>
  <c r="G1212" i="1"/>
  <c r="E1212" i="1"/>
  <c r="C1212" i="1"/>
  <c r="G1211" i="1"/>
  <c r="E1211" i="1"/>
  <c r="C1211" i="1"/>
  <c r="G1210" i="1"/>
  <c r="E1210" i="1"/>
  <c r="C1210" i="1"/>
  <c r="G1209" i="1"/>
  <c r="E1209" i="1"/>
  <c r="C1209" i="1"/>
  <c r="G1208" i="1"/>
  <c r="E1208" i="1"/>
  <c r="C1208" i="1"/>
  <c r="G1207" i="1"/>
  <c r="E1207" i="1"/>
  <c r="C1207" i="1"/>
  <c r="G1206" i="1"/>
  <c r="E1206" i="1"/>
  <c r="C1206" i="1"/>
  <c r="G1205" i="1"/>
  <c r="E1205" i="1"/>
  <c r="C1205" i="1"/>
  <c r="G1204" i="1"/>
  <c r="E1204" i="1"/>
  <c r="C1204" i="1"/>
  <c r="G1203" i="1"/>
  <c r="E1203" i="1"/>
  <c r="C1203" i="1"/>
  <c r="G1202" i="1"/>
  <c r="E1202" i="1"/>
  <c r="C1202" i="1"/>
  <c r="G1201" i="1"/>
  <c r="E1201" i="1"/>
  <c r="C1201" i="1"/>
  <c r="G1200" i="1"/>
  <c r="E1200" i="1"/>
  <c r="C1200" i="1"/>
  <c r="G1199" i="1"/>
  <c r="E1199" i="1"/>
  <c r="C1199" i="1"/>
  <c r="G1198" i="1"/>
  <c r="E1198" i="1"/>
  <c r="C1198" i="1"/>
  <c r="G1197" i="1"/>
  <c r="E1197" i="1"/>
  <c r="C1197" i="1"/>
  <c r="G1196" i="1"/>
  <c r="E1196" i="1"/>
  <c r="C1196" i="1"/>
  <c r="G1195" i="1"/>
  <c r="E1195" i="1"/>
  <c r="C1195" i="1"/>
  <c r="G1194" i="1"/>
  <c r="E1194" i="1"/>
  <c r="C1194" i="1"/>
  <c r="G1193" i="1"/>
  <c r="E1193" i="1"/>
  <c r="C1193" i="1"/>
  <c r="G1192" i="1"/>
  <c r="E1192" i="1"/>
  <c r="C1192" i="1"/>
  <c r="G1191" i="1"/>
  <c r="E1191" i="1"/>
  <c r="C1191" i="1"/>
  <c r="G1190" i="1"/>
  <c r="E1190" i="1"/>
  <c r="C1190" i="1"/>
  <c r="G1189" i="1"/>
  <c r="E1189" i="1"/>
  <c r="C1189" i="1"/>
  <c r="G1188" i="1"/>
  <c r="E1188" i="1"/>
  <c r="C1188" i="1"/>
  <c r="G1187" i="1"/>
  <c r="E1187" i="1"/>
  <c r="C1187" i="1"/>
  <c r="G1186" i="1"/>
  <c r="E1186" i="1"/>
  <c r="C1186" i="1"/>
  <c r="G1185" i="1"/>
  <c r="E1185" i="1"/>
  <c r="C1185" i="1"/>
  <c r="G1184" i="1"/>
  <c r="E1184" i="1"/>
  <c r="C1184" i="1"/>
  <c r="G1183" i="1"/>
  <c r="E1183" i="1"/>
  <c r="C1183" i="1"/>
  <c r="G1182" i="1"/>
  <c r="E1182" i="1"/>
  <c r="C1182" i="1"/>
  <c r="G1181" i="1"/>
  <c r="E1181" i="1"/>
  <c r="C1181" i="1"/>
  <c r="G1180" i="1"/>
  <c r="E1180" i="1"/>
  <c r="C1180" i="1"/>
  <c r="G1179" i="1"/>
  <c r="E1179" i="1"/>
  <c r="C1179" i="1"/>
  <c r="G1178" i="1"/>
  <c r="E1178" i="1"/>
  <c r="C1178" i="1"/>
  <c r="G1177" i="1"/>
  <c r="E1177" i="1"/>
  <c r="C1177" i="1"/>
  <c r="G1176" i="1"/>
  <c r="E1176" i="1"/>
  <c r="C1176" i="1"/>
  <c r="G1175" i="1"/>
  <c r="E1175" i="1"/>
  <c r="C1175" i="1"/>
  <c r="G1174" i="1"/>
  <c r="E1174" i="1"/>
  <c r="C1174" i="1"/>
  <c r="G1173" i="1"/>
  <c r="E1173" i="1"/>
  <c r="C1173" i="1"/>
  <c r="G1172" i="1"/>
  <c r="E1172" i="1"/>
  <c r="C1172" i="1"/>
  <c r="G1171" i="1"/>
  <c r="E1171" i="1"/>
  <c r="C1171" i="1"/>
  <c r="G1170" i="1"/>
  <c r="E1170" i="1"/>
  <c r="C1170" i="1"/>
  <c r="G1169" i="1"/>
  <c r="E1169" i="1"/>
  <c r="C1169" i="1"/>
  <c r="G1168" i="1"/>
  <c r="E1168" i="1"/>
  <c r="C1168" i="1"/>
  <c r="G1167" i="1"/>
  <c r="E1167" i="1"/>
  <c r="C1167" i="1"/>
  <c r="G1166" i="1"/>
  <c r="E1166" i="1"/>
  <c r="C1166" i="1"/>
  <c r="G1165" i="1"/>
  <c r="E1165" i="1"/>
  <c r="C1165" i="1"/>
  <c r="G1164" i="1"/>
  <c r="E1164" i="1"/>
  <c r="C1164" i="1"/>
  <c r="G1163" i="1"/>
  <c r="E1163" i="1"/>
  <c r="C1163" i="1"/>
  <c r="G1162" i="1"/>
  <c r="E1162" i="1"/>
  <c r="C1162" i="1"/>
  <c r="G1161" i="1"/>
  <c r="E1161" i="1"/>
  <c r="C1161" i="1"/>
  <c r="G1160" i="1"/>
  <c r="E1160" i="1"/>
  <c r="C1160" i="1"/>
  <c r="G1159" i="1"/>
  <c r="E1159" i="1"/>
  <c r="C1159" i="1"/>
  <c r="G1158" i="1"/>
  <c r="E1158" i="1"/>
  <c r="C1158" i="1"/>
  <c r="G1157" i="1"/>
  <c r="E1157" i="1"/>
  <c r="C1157" i="1"/>
  <c r="G1156" i="1"/>
  <c r="E1156" i="1"/>
  <c r="C1156" i="1"/>
  <c r="G1155" i="1"/>
  <c r="E1155" i="1"/>
  <c r="C1155" i="1"/>
  <c r="G1154" i="1"/>
  <c r="E1154" i="1"/>
  <c r="C1154" i="1"/>
  <c r="G1153" i="1"/>
  <c r="E1153" i="1"/>
  <c r="C1153" i="1"/>
  <c r="G1152" i="1"/>
  <c r="E1152" i="1"/>
  <c r="C1152" i="1"/>
  <c r="G1151" i="1"/>
  <c r="E1151" i="1"/>
  <c r="C1151" i="1"/>
  <c r="G1150" i="1"/>
  <c r="E1150" i="1"/>
  <c r="C1150" i="1"/>
  <c r="G1149" i="1"/>
  <c r="E1149" i="1"/>
  <c r="C1149" i="1"/>
  <c r="G1148" i="1"/>
  <c r="E1148" i="1"/>
  <c r="C1148" i="1"/>
  <c r="G1147" i="1"/>
  <c r="E1147" i="1"/>
  <c r="C1147" i="1"/>
  <c r="G1146" i="1"/>
  <c r="E1146" i="1"/>
  <c r="C1146" i="1"/>
  <c r="G1145" i="1"/>
  <c r="E1145" i="1"/>
  <c r="C1145" i="1"/>
  <c r="G1144" i="1"/>
  <c r="E1144" i="1"/>
  <c r="C1144" i="1"/>
  <c r="G1143" i="1"/>
  <c r="E1143" i="1"/>
  <c r="C1143" i="1"/>
  <c r="G1142" i="1"/>
  <c r="E1142" i="1"/>
  <c r="C1142" i="1"/>
  <c r="G1141" i="1"/>
  <c r="E1141" i="1"/>
  <c r="C1141" i="1"/>
  <c r="G1140" i="1"/>
  <c r="E1140" i="1"/>
  <c r="C1140" i="1"/>
  <c r="G1139" i="1"/>
  <c r="E1139" i="1"/>
  <c r="C1139" i="1"/>
  <c r="G1138" i="1"/>
  <c r="E1138" i="1"/>
  <c r="C1138" i="1"/>
  <c r="G1137" i="1"/>
  <c r="E1137" i="1"/>
  <c r="C1137" i="1"/>
  <c r="G1136" i="1"/>
  <c r="E1136" i="1"/>
  <c r="C1136" i="1"/>
  <c r="G1135" i="1"/>
  <c r="E1135" i="1"/>
  <c r="C1135" i="1"/>
  <c r="G1134" i="1"/>
  <c r="E1134" i="1"/>
  <c r="C1134" i="1"/>
  <c r="G1133" i="1"/>
  <c r="E1133" i="1"/>
  <c r="C1133" i="1"/>
  <c r="G1132" i="1"/>
  <c r="E1132" i="1"/>
  <c r="C1132" i="1"/>
  <c r="G1131" i="1"/>
  <c r="E1131" i="1"/>
  <c r="C1131" i="1"/>
  <c r="G1130" i="1"/>
  <c r="E1130" i="1"/>
  <c r="C1130" i="1"/>
  <c r="G1129" i="1"/>
  <c r="E1129" i="1"/>
  <c r="C1129" i="1"/>
  <c r="G1128" i="1"/>
  <c r="E1128" i="1"/>
  <c r="C1128" i="1"/>
  <c r="G1127" i="1"/>
  <c r="E1127" i="1"/>
  <c r="C1127" i="1"/>
  <c r="G1126" i="1"/>
  <c r="E1126" i="1"/>
  <c r="C1126" i="1"/>
  <c r="G1125" i="1"/>
  <c r="E1125" i="1"/>
  <c r="C1125" i="1"/>
  <c r="G1124" i="1"/>
  <c r="E1124" i="1"/>
  <c r="C1124" i="1"/>
  <c r="G1123" i="1"/>
  <c r="E1123" i="1"/>
  <c r="C1123" i="1"/>
  <c r="G1122" i="1"/>
  <c r="E1122" i="1"/>
  <c r="C1122" i="1"/>
  <c r="G1121" i="1"/>
  <c r="E1121" i="1"/>
  <c r="C1121" i="1"/>
  <c r="G1120" i="1"/>
  <c r="E1120" i="1"/>
  <c r="C1120" i="1"/>
  <c r="G1119" i="1"/>
  <c r="E1119" i="1"/>
  <c r="C1119" i="1"/>
  <c r="G1118" i="1"/>
  <c r="E1118" i="1"/>
  <c r="C1118" i="1"/>
  <c r="G1117" i="1"/>
  <c r="E1117" i="1"/>
  <c r="C1117" i="1"/>
  <c r="G1116" i="1"/>
  <c r="E1116" i="1"/>
  <c r="C1116" i="1"/>
  <c r="G1115" i="1"/>
  <c r="E1115" i="1"/>
  <c r="C1115" i="1"/>
  <c r="G1114" i="1"/>
  <c r="E1114" i="1"/>
  <c r="C1114" i="1"/>
  <c r="G1113" i="1"/>
  <c r="E1113" i="1"/>
  <c r="C1113" i="1"/>
  <c r="G1112" i="1"/>
  <c r="E1112" i="1"/>
  <c r="C1112" i="1"/>
  <c r="G1111" i="1"/>
  <c r="E1111" i="1"/>
  <c r="C1111" i="1"/>
  <c r="G1110" i="1"/>
  <c r="E1110" i="1"/>
  <c r="C1110" i="1"/>
  <c r="G1109" i="1"/>
  <c r="E1109" i="1"/>
  <c r="C1109" i="1"/>
  <c r="G1108" i="1"/>
  <c r="E1108" i="1"/>
  <c r="C1108" i="1"/>
  <c r="G1107" i="1"/>
  <c r="E1107" i="1"/>
  <c r="C1107" i="1"/>
  <c r="G1106" i="1"/>
  <c r="E1106" i="1"/>
  <c r="C1106" i="1"/>
  <c r="G1105" i="1"/>
  <c r="E1105" i="1"/>
  <c r="C1105" i="1"/>
  <c r="G1104" i="1"/>
  <c r="E1104" i="1"/>
  <c r="C1104" i="1"/>
  <c r="G1103" i="1"/>
  <c r="E1103" i="1"/>
  <c r="C1103" i="1"/>
  <c r="G1102" i="1"/>
  <c r="E1102" i="1"/>
  <c r="C1102" i="1"/>
  <c r="G1101" i="1"/>
  <c r="E1101" i="1"/>
  <c r="C1101" i="1"/>
  <c r="G1100" i="1"/>
  <c r="E1100" i="1"/>
  <c r="C1100" i="1"/>
  <c r="G1099" i="1"/>
  <c r="E1099" i="1"/>
  <c r="C1099" i="1"/>
  <c r="G1098" i="1"/>
  <c r="E1098" i="1"/>
  <c r="C1098" i="1"/>
  <c r="G1097" i="1"/>
  <c r="E1097" i="1"/>
  <c r="C1097" i="1"/>
  <c r="G1096" i="1"/>
  <c r="E1096" i="1"/>
  <c r="C1096" i="1"/>
  <c r="G1095" i="1"/>
  <c r="E1095" i="1"/>
  <c r="C1095" i="1"/>
  <c r="G1094" i="1"/>
  <c r="E1094" i="1"/>
  <c r="C1094" i="1"/>
  <c r="G1093" i="1"/>
  <c r="E1093" i="1"/>
  <c r="C1093" i="1"/>
  <c r="G1092" i="1"/>
  <c r="E1092" i="1"/>
  <c r="C1092" i="1"/>
  <c r="G1091" i="1"/>
  <c r="E1091" i="1"/>
  <c r="C1091" i="1"/>
  <c r="G1090" i="1"/>
  <c r="E1090" i="1"/>
  <c r="C1090" i="1"/>
  <c r="G1089" i="1"/>
  <c r="E1089" i="1"/>
  <c r="C1089" i="1"/>
  <c r="G1088" i="1"/>
  <c r="E1088" i="1"/>
  <c r="C1088" i="1"/>
  <c r="G1087" i="1"/>
  <c r="E1087" i="1"/>
  <c r="C1087" i="1"/>
  <c r="G1086" i="1"/>
  <c r="E1086" i="1"/>
  <c r="C1086" i="1"/>
  <c r="G1085" i="1"/>
  <c r="E1085" i="1"/>
  <c r="C1085" i="1"/>
  <c r="G1084" i="1"/>
  <c r="E1084" i="1"/>
  <c r="C1084" i="1"/>
  <c r="G1083" i="1"/>
  <c r="E1083" i="1"/>
  <c r="C1083" i="1"/>
  <c r="G1082" i="1"/>
  <c r="E1082" i="1"/>
  <c r="C1082" i="1"/>
  <c r="G1081" i="1"/>
  <c r="E1081" i="1"/>
  <c r="C1081" i="1"/>
  <c r="G1080" i="1"/>
  <c r="E1080" i="1"/>
  <c r="C1080" i="1"/>
  <c r="G1079" i="1"/>
  <c r="E1079" i="1"/>
  <c r="C1079" i="1"/>
  <c r="G1078" i="1"/>
  <c r="E1078" i="1"/>
  <c r="C1078" i="1"/>
  <c r="G1077" i="1"/>
  <c r="E1077" i="1"/>
  <c r="C1077" i="1"/>
  <c r="G1076" i="1"/>
  <c r="E1076" i="1"/>
  <c r="C1076" i="1"/>
  <c r="G1075" i="1"/>
  <c r="E1075" i="1"/>
  <c r="C1075" i="1"/>
  <c r="G1074" i="1"/>
  <c r="E1074" i="1"/>
  <c r="C1074" i="1"/>
  <c r="G1073" i="1"/>
  <c r="E1073" i="1"/>
  <c r="C1073" i="1"/>
  <c r="G1072" i="1"/>
  <c r="E1072" i="1"/>
  <c r="C1072" i="1"/>
  <c r="G1071" i="1"/>
  <c r="E1071" i="1"/>
  <c r="C1071" i="1"/>
  <c r="G1070" i="1"/>
  <c r="E1070" i="1"/>
  <c r="C1070" i="1"/>
  <c r="G1069" i="1"/>
  <c r="E1069" i="1"/>
  <c r="C1069" i="1"/>
  <c r="G1068" i="1"/>
  <c r="E1068" i="1"/>
  <c r="C1068" i="1"/>
  <c r="G1067" i="1"/>
  <c r="E1067" i="1"/>
  <c r="C1067" i="1"/>
  <c r="G1066" i="1"/>
  <c r="E1066" i="1"/>
  <c r="C1066" i="1"/>
  <c r="G1065" i="1"/>
  <c r="E1065" i="1"/>
  <c r="C1065" i="1"/>
  <c r="G1064" i="1"/>
  <c r="E1064" i="1"/>
  <c r="C1064" i="1"/>
  <c r="G1063" i="1"/>
  <c r="E1063" i="1"/>
  <c r="C1063" i="1"/>
  <c r="G1062" i="1"/>
  <c r="E1062" i="1"/>
  <c r="C1062" i="1"/>
  <c r="G1061" i="1"/>
  <c r="E1061" i="1"/>
  <c r="C1061" i="1"/>
  <c r="G1060" i="1"/>
  <c r="E1060" i="1"/>
  <c r="C1060" i="1"/>
  <c r="G1059" i="1"/>
  <c r="E1059" i="1"/>
  <c r="C1059" i="1"/>
  <c r="G1058" i="1"/>
  <c r="E1058" i="1"/>
  <c r="C1058" i="1"/>
  <c r="G1057" i="1"/>
  <c r="E1057" i="1"/>
  <c r="C1057" i="1"/>
  <c r="G1056" i="1"/>
  <c r="E1056" i="1"/>
  <c r="C1056" i="1"/>
  <c r="G1055" i="1"/>
  <c r="E1055" i="1"/>
  <c r="C1055" i="1"/>
  <c r="G1054" i="1"/>
  <c r="E1054" i="1"/>
  <c r="C1054" i="1"/>
  <c r="G1053" i="1"/>
  <c r="E1053" i="1"/>
  <c r="C1053" i="1"/>
  <c r="G1052" i="1"/>
  <c r="E1052" i="1"/>
  <c r="C1052" i="1"/>
  <c r="G1051" i="1"/>
  <c r="E1051" i="1"/>
  <c r="C1051" i="1"/>
  <c r="G1050" i="1"/>
  <c r="E1050" i="1"/>
  <c r="C1050" i="1"/>
  <c r="G1049" i="1"/>
  <c r="E1049" i="1"/>
  <c r="C1049" i="1"/>
  <c r="G1048" i="1"/>
  <c r="E1048" i="1"/>
  <c r="C1048" i="1"/>
  <c r="G1047" i="1"/>
  <c r="E1047" i="1"/>
  <c r="C1047" i="1"/>
  <c r="G1046" i="1"/>
  <c r="E1046" i="1"/>
  <c r="C1046" i="1"/>
  <c r="G1045" i="1"/>
  <c r="E1045" i="1"/>
  <c r="C1045" i="1"/>
  <c r="G1044" i="1"/>
  <c r="E1044" i="1"/>
  <c r="C1044" i="1"/>
  <c r="G1043" i="1"/>
  <c r="E1043" i="1"/>
  <c r="C1043" i="1"/>
  <c r="G1042" i="1"/>
  <c r="E1042" i="1"/>
  <c r="C1042" i="1"/>
  <c r="G1041" i="1"/>
  <c r="E1041" i="1"/>
  <c r="C1041" i="1"/>
  <c r="G1040" i="1"/>
  <c r="E1040" i="1"/>
  <c r="C1040" i="1"/>
  <c r="G1039" i="1"/>
  <c r="E1039" i="1"/>
  <c r="C1039" i="1"/>
  <c r="G1038" i="1"/>
  <c r="E1038" i="1"/>
  <c r="C1038" i="1"/>
  <c r="G1037" i="1"/>
  <c r="E1037" i="1"/>
  <c r="C1037" i="1"/>
  <c r="G1036" i="1"/>
  <c r="E1036" i="1"/>
  <c r="C1036" i="1"/>
  <c r="G1035" i="1"/>
  <c r="E1035" i="1"/>
  <c r="C1035" i="1"/>
  <c r="G1034" i="1"/>
  <c r="E1034" i="1"/>
  <c r="C1034" i="1"/>
  <c r="G1033" i="1"/>
  <c r="E1033" i="1"/>
  <c r="C1033" i="1"/>
  <c r="G1032" i="1"/>
  <c r="E1032" i="1"/>
  <c r="C1032" i="1"/>
  <c r="G1031" i="1"/>
  <c r="E1031" i="1"/>
  <c r="C1031" i="1"/>
  <c r="G1030" i="1"/>
  <c r="E1030" i="1"/>
  <c r="C1030" i="1"/>
  <c r="G1029" i="1"/>
  <c r="E1029" i="1"/>
  <c r="C1029" i="1"/>
  <c r="G1028" i="1"/>
  <c r="E1028" i="1"/>
  <c r="C1028" i="1"/>
  <c r="G1027" i="1"/>
  <c r="E1027" i="1"/>
  <c r="C1027" i="1"/>
  <c r="G1026" i="1"/>
  <c r="E1026" i="1"/>
  <c r="C1026" i="1"/>
  <c r="G1025" i="1"/>
  <c r="E1025" i="1"/>
  <c r="C1025" i="1"/>
  <c r="G1024" i="1"/>
  <c r="E1024" i="1"/>
  <c r="C1024" i="1"/>
  <c r="G1023" i="1"/>
  <c r="E1023" i="1"/>
  <c r="C1023" i="1"/>
  <c r="G1022" i="1"/>
  <c r="E1022" i="1"/>
  <c r="C1022" i="1"/>
  <c r="G1021" i="1"/>
  <c r="E1021" i="1"/>
  <c r="C1021" i="1"/>
  <c r="G1020" i="1"/>
  <c r="E1020" i="1"/>
  <c r="C1020" i="1"/>
  <c r="G1019" i="1"/>
  <c r="E1019" i="1"/>
  <c r="C1019" i="1"/>
  <c r="G1018" i="1"/>
  <c r="E1018" i="1"/>
  <c r="C1018" i="1"/>
  <c r="G1017" i="1"/>
  <c r="E1017" i="1"/>
  <c r="C1017" i="1"/>
  <c r="G1016" i="1"/>
  <c r="E1016" i="1"/>
  <c r="C1016" i="1"/>
  <c r="G1015" i="1"/>
  <c r="E1015" i="1"/>
  <c r="C1015" i="1"/>
  <c r="G1014" i="1"/>
  <c r="E1014" i="1"/>
  <c r="C1014" i="1"/>
  <c r="G1013" i="1"/>
  <c r="E1013" i="1"/>
  <c r="C1013" i="1"/>
  <c r="G1012" i="1"/>
  <c r="E1012" i="1"/>
  <c r="C1012" i="1"/>
  <c r="G1011" i="1"/>
  <c r="E1011" i="1"/>
  <c r="C1011" i="1"/>
  <c r="G1010" i="1"/>
  <c r="E1010" i="1"/>
  <c r="C1010" i="1"/>
  <c r="G1009" i="1"/>
  <c r="E1009" i="1"/>
  <c r="C1009" i="1"/>
  <c r="G1008" i="1"/>
  <c r="E1008" i="1"/>
  <c r="C1008" i="1"/>
  <c r="G1007" i="1"/>
  <c r="E1007" i="1"/>
  <c r="C1007" i="1"/>
  <c r="G1006" i="1"/>
  <c r="E1006" i="1"/>
  <c r="C1006" i="1"/>
  <c r="G1005" i="1"/>
  <c r="E1005" i="1"/>
  <c r="C1005" i="1"/>
  <c r="G1004" i="1"/>
  <c r="E1004" i="1"/>
  <c r="C1004" i="1"/>
  <c r="G1003" i="1"/>
  <c r="E1003" i="1"/>
  <c r="C1003" i="1"/>
  <c r="G1002" i="1"/>
  <c r="E1002" i="1"/>
  <c r="C1002" i="1"/>
  <c r="G1001" i="1"/>
  <c r="E1001" i="1"/>
  <c r="C1001" i="1"/>
  <c r="G1000" i="1"/>
  <c r="E1000" i="1"/>
  <c r="C1000" i="1"/>
  <c r="G999" i="1"/>
  <c r="E999" i="1"/>
  <c r="C999" i="1"/>
  <c r="G998" i="1"/>
  <c r="E998" i="1"/>
  <c r="C998" i="1"/>
  <c r="G997" i="1"/>
  <c r="E997" i="1"/>
  <c r="C997" i="1"/>
  <c r="G996" i="1"/>
  <c r="E996" i="1"/>
  <c r="C996" i="1"/>
  <c r="G995" i="1"/>
  <c r="E995" i="1"/>
  <c r="C995" i="1"/>
  <c r="G994" i="1"/>
  <c r="E994" i="1"/>
  <c r="C994" i="1"/>
  <c r="G993" i="1"/>
  <c r="E993" i="1"/>
  <c r="C993" i="1"/>
  <c r="G992" i="1"/>
  <c r="E992" i="1"/>
  <c r="C992" i="1"/>
  <c r="G991" i="1"/>
  <c r="E991" i="1"/>
  <c r="C991" i="1"/>
  <c r="G990" i="1"/>
  <c r="E990" i="1"/>
  <c r="C990" i="1"/>
  <c r="G989" i="1"/>
  <c r="E989" i="1"/>
  <c r="C989" i="1"/>
  <c r="G988" i="1"/>
  <c r="E988" i="1"/>
  <c r="C988" i="1"/>
  <c r="G987" i="1"/>
  <c r="E987" i="1"/>
  <c r="C987" i="1"/>
  <c r="G986" i="1"/>
  <c r="E986" i="1"/>
  <c r="C986" i="1"/>
  <c r="G985" i="1"/>
  <c r="E985" i="1"/>
  <c r="C985" i="1"/>
  <c r="G984" i="1"/>
  <c r="E984" i="1"/>
  <c r="C984" i="1"/>
  <c r="G983" i="1"/>
  <c r="E983" i="1"/>
  <c r="C983" i="1"/>
  <c r="G982" i="1"/>
  <c r="E982" i="1"/>
  <c r="C982" i="1"/>
  <c r="G981" i="1"/>
  <c r="E981" i="1"/>
  <c r="C981" i="1"/>
  <c r="G980" i="1"/>
  <c r="E980" i="1"/>
  <c r="C980" i="1"/>
  <c r="G979" i="1"/>
  <c r="E979" i="1"/>
  <c r="C979" i="1"/>
  <c r="G978" i="1"/>
  <c r="E978" i="1"/>
  <c r="C978" i="1"/>
  <c r="G977" i="1"/>
  <c r="E977" i="1"/>
  <c r="C977" i="1"/>
  <c r="G976" i="1"/>
  <c r="E976" i="1"/>
  <c r="C976" i="1"/>
  <c r="G975" i="1"/>
  <c r="E975" i="1"/>
  <c r="C975" i="1"/>
  <c r="G974" i="1"/>
  <c r="E974" i="1"/>
  <c r="C974" i="1"/>
  <c r="G973" i="1"/>
  <c r="E973" i="1"/>
  <c r="C973" i="1"/>
  <c r="G972" i="1"/>
  <c r="E972" i="1"/>
  <c r="C972" i="1"/>
  <c r="G971" i="1"/>
  <c r="E971" i="1"/>
  <c r="C971" i="1"/>
  <c r="G970" i="1"/>
  <c r="E970" i="1"/>
  <c r="C970" i="1"/>
  <c r="G969" i="1"/>
  <c r="E969" i="1"/>
  <c r="C969" i="1"/>
  <c r="G968" i="1"/>
  <c r="E968" i="1"/>
  <c r="C968" i="1"/>
  <c r="G967" i="1"/>
  <c r="E967" i="1"/>
  <c r="C967" i="1"/>
  <c r="G966" i="1"/>
  <c r="E966" i="1"/>
  <c r="C966" i="1"/>
  <c r="G965" i="1"/>
  <c r="E965" i="1"/>
  <c r="C965" i="1"/>
  <c r="G964" i="1"/>
  <c r="E964" i="1"/>
  <c r="C964" i="1"/>
  <c r="G963" i="1"/>
  <c r="E963" i="1"/>
  <c r="C963" i="1"/>
  <c r="G962" i="1"/>
  <c r="E962" i="1"/>
  <c r="C962" i="1"/>
  <c r="G961" i="1"/>
  <c r="E961" i="1"/>
  <c r="C961" i="1"/>
  <c r="G960" i="1"/>
  <c r="E960" i="1"/>
  <c r="C960" i="1"/>
  <c r="G959" i="1"/>
  <c r="E959" i="1"/>
  <c r="C959" i="1"/>
  <c r="G958" i="1"/>
  <c r="E958" i="1"/>
  <c r="C958" i="1"/>
  <c r="G957" i="1"/>
  <c r="E957" i="1"/>
  <c r="C957" i="1"/>
  <c r="G956" i="1"/>
  <c r="E956" i="1"/>
  <c r="C956" i="1"/>
  <c r="G955" i="1"/>
  <c r="E955" i="1"/>
  <c r="C955" i="1"/>
  <c r="G954" i="1"/>
  <c r="E954" i="1"/>
  <c r="C954" i="1"/>
  <c r="G953" i="1"/>
  <c r="E953" i="1"/>
  <c r="C953" i="1"/>
  <c r="G952" i="1"/>
  <c r="E952" i="1"/>
  <c r="C952" i="1"/>
  <c r="G951" i="1"/>
  <c r="E951" i="1"/>
  <c r="C951" i="1"/>
  <c r="G950" i="1"/>
  <c r="E950" i="1"/>
  <c r="C950" i="1"/>
  <c r="G949" i="1"/>
  <c r="E949" i="1"/>
  <c r="C949" i="1"/>
  <c r="G948" i="1"/>
  <c r="E948" i="1"/>
  <c r="C948" i="1"/>
  <c r="G947" i="1"/>
  <c r="E947" i="1"/>
  <c r="C947" i="1"/>
  <c r="G946" i="1"/>
  <c r="E946" i="1"/>
  <c r="C946" i="1"/>
  <c r="G945" i="1"/>
  <c r="E945" i="1"/>
  <c r="C945" i="1"/>
  <c r="G944" i="1"/>
  <c r="E944" i="1"/>
  <c r="C944" i="1"/>
  <c r="G943" i="1"/>
  <c r="E943" i="1"/>
  <c r="C943" i="1"/>
  <c r="G942" i="1"/>
  <c r="E942" i="1"/>
  <c r="C942" i="1"/>
  <c r="G941" i="1"/>
  <c r="E941" i="1"/>
  <c r="C941" i="1"/>
  <c r="G940" i="1"/>
  <c r="E940" i="1"/>
  <c r="C940" i="1"/>
  <c r="G939" i="1"/>
  <c r="E939" i="1"/>
  <c r="C939" i="1"/>
  <c r="G938" i="1"/>
  <c r="E938" i="1"/>
  <c r="C938" i="1"/>
  <c r="G937" i="1"/>
  <c r="E937" i="1"/>
  <c r="C937" i="1"/>
  <c r="G936" i="1"/>
  <c r="E936" i="1"/>
  <c r="C936" i="1"/>
  <c r="G935" i="1"/>
  <c r="E935" i="1"/>
  <c r="C935" i="1"/>
  <c r="G934" i="1"/>
  <c r="E934" i="1"/>
  <c r="C934" i="1"/>
  <c r="G933" i="1"/>
  <c r="E933" i="1"/>
  <c r="C933" i="1"/>
  <c r="G932" i="1"/>
  <c r="E932" i="1"/>
  <c r="C932" i="1"/>
  <c r="G931" i="1"/>
  <c r="E931" i="1"/>
  <c r="C931" i="1"/>
  <c r="G930" i="1"/>
  <c r="E930" i="1"/>
  <c r="C930" i="1"/>
  <c r="G929" i="1"/>
  <c r="E929" i="1"/>
  <c r="C929" i="1"/>
  <c r="G928" i="1"/>
  <c r="E928" i="1"/>
  <c r="C928" i="1"/>
  <c r="G927" i="1"/>
  <c r="E927" i="1"/>
  <c r="C927" i="1"/>
  <c r="G926" i="1"/>
  <c r="E926" i="1"/>
  <c r="C926" i="1"/>
  <c r="G925" i="1"/>
  <c r="E925" i="1"/>
  <c r="C925" i="1"/>
  <c r="G924" i="1"/>
  <c r="E924" i="1"/>
  <c r="C924" i="1"/>
  <c r="G923" i="1"/>
  <c r="E923" i="1"/>
  <c r="C923" i="1"/>
  <c r="G922" i="1"/>
  <c r="E922" i="1"/>
  <c r="C922" i="1"/>
  <c r="G921" i="1"/>
  <c r="E921" i="1"/>
  <c r="C921" i="1"/>
  <c r="G920" i="1"/>
  <c r="E920" i="1"/>
  <c r="C920" i="1"/>
  <c r="G919" i="1"/>
  <c r="E919" i="1"/>
  <c r="C919" i="1"/>
  <c r="G918" i="1"/>
  <c r="E918" i="1"/>
  <c r="C918" i="1"/>
  <c r="G917" i="1"/>
  <c r="E917" i="1"/>
  <c r="C917" i="1"/>
  <c r="G916" i="1"/>
  <c r="E916" i="1"/>
  <c r="C916" i="1"/>
  <c r="G915" i="1"/>
  <c r="E915" i="1"/>
  <c r="C915" i="1"/>
  <c r="G914" i="1"/>
  <c r="E914" i="1"/>
  <c r="C914" i="1"/>
  <c r="G913" i="1"/>
  <c r="E913" i="1"/>
  <c r="C913" i="1"/>
  <c r="G912" i="1"/>
  <c r="E912" i="1"/>
  <c r="C912" i="1"/>
  <c r="G911" i="1"/>
  <c r="E911" i="1"/>
  <c r="C911" i="1"/>
  <c r="G910" i="1"/>
  <c r="E910" i="1"/>
  <c r="C910" i="1"/>
  <c r="G909" i="1"/>
  <c r="E909" i="1"/>
  <c r="C909" i="1"/>
  <c r="G908" i="1"/>
  <c r="E908" i="1"/>
  <c r="C908" i="1"/>
  <c r="G907" i="1"/>
  <c r="E907" i="1"/>
  <c r="C907" i="1"/>
  <c r="G906" i="1"/>
  <c r="E906" i="1"/>
  <c r="C906" i="1"/>
  <c r="G905" i="1"/>
  <c r="E905" i="1"/>
  <c r="C905" i="1"/>
  <c r="G904" i="1"/>
  <c r="E904" i="1"/>
  <c r="C904" i="1"/>
  <c r="G903" i="1"/>
  <c r="E903" i="1"/>
  <c r="C903" i="1"/>
  <c r="G902" i="1"/>
  <c r="E902" i="1"/>
  <c r="C902" i="1"/>
  <c r="G901" i="1"/>
  <c r="E901" i="1"/>
  <c r="C901" i="1"/>
  <c r="G900" i="1"/>
  <c r="E900" i="1"/>
  <c r="C900" i="1"/>
  <c r="G899" i="1"/>
  <c r="E899" i="1"/>
  <c r="C899" i="1"/>
  <c r="G898" i="1"/>
  <c r="E898" i="1"/>
  <c r="C898" i="1"/>
  <c r="G897" i="1"/>
  <c r="E897" i="1"/>
  <c r="C897" i="1"/>
  <c r="G896" i="1"/>
  <c r="E896" i="1"/>
  <c r="C896" i="1"/>
  <c r="G895" i="1"/>
  <c r="E895" i="1"/>
  <c r="C895" i="1"/>
  <c r="G894" i="1"/>
  <c r="E894" i="1"/>
  <c r="C894" i="1"/>
  <c r="G893" i="1"/>
  <c r="E893" i="1"/>
  <c r="C893" i="1"/>
  <c r="G892" i="1"/>
  <c r="E892" i="1"/>
  <c r="C892" i="1"/>
  <c r="G891" i="1"/>
  <c r="E891" i="1"/>
  <c r="C891" i="1"/>
  <c r="G890" i="1"/>
  <c r="E890" i="1"/>
  <c r="C890" i="1"/>
  <c r="G889" i="1"/>
  <c r="E889" i="1"/>
  <c r="C889" i="1"/>
  <c r="G888" i="1"/>
  <c r="E888" i="1"/>
  <c r="C888" i="1"/>
  <c r="G887" i="1"/>
  <c r="E887" i="1"/>
  <c r="C887" i="1"/>
  <c r="G886" i="1"/>
  <c r="E886" i="1"/>
  <c r="C886" i="1"/>
  <c r="G885" i="1"/>
  <c r="E885" i="1"/>
  <c r="C885" i="1"/>
  <c r="G884" i="1"/>
  <c r="E884" i="1"/>
  <c r="C884" i="1"/>
  <c r="G883" i="1"/>
  <c r="E883" i="1"/>
  <c r="C883" i="1"/>
  <c r="G882" i="1"/>
  <c r="E882" i="1"/>
  <c r="C882" i="1"/>
  <c r="G881" i="1"/>
  <c r="E881" i="1"/>
  <c r="C881" i="1"/>
  <c r="G880" i="1"/>
  <c r="E880" i="1"/>
  <c r="C880" i="1"/>
  <c r="G879" i="1"/>
  <c r="E879" i="1"/>
  <c r="C879" i="1"/>
  <c r="G878" i="1"/>
  <c r="E878" i="1"/>
  <c r="C878" i="1"/>
  <c r="G877" i="1"/>
  <c r="E877" i="1"/>
  <c r="C877" i="1"/>
  <c r="G876" i="1"/>
  <c r="E876" i="1"/>
  <c r="C876" i="1"/>
  <c r="G875" i="1"/>
  <c r="E875" i="1"/>
  <c r="C875" i="1"/>
  <c r="G874" i="1"/>
  <c r="E874" i="1"/>
  <c r="C874" i="1"/>
  <c r="G873" i="1"/>
  <c r="E873" i="1"/>
  <c r="C873" i="1"/>
  <c r="G872" i="1"/>
  <c r="E872" i="1"/>
  <c r="C872" i="1"/>
  <c r="G871" i="1"/>
  <c r="E871" i="1"/>
  <c r="C871" i="1"/>
  <c r="G870" i="1"/>
  <c r="E870" i="1"/>
  <c r="C870" i="1"/>
  <c r="G869" i="1"/>
  <c r="E869" i="1"/>
  <c r="C869" i="1"/>
  <c r="G868" i="1"/>
  <c r="E868" i="1"/>
  <c r="C868" i="1"/>
  <c r="G867" i="1"/>
  <c r="E867" i="1"/>
  <c r="C867" i="1"/>
  <c r="G866" i="1"/>
  <c r="E866" i="1"/>
  <c r="C866" i="1"/>
  <c r="G865" i="1"/>
  <c r="E865" i="1"/>
  <c r="C865" i="1"/>
  <c r="G864" i="1"/>
  <c r="E864" i="1"/>
  <c r="C864" i="1"/>
  <c r="G863" i="1"/>
  <c r="E863" i="1"/>
  <c r="C863" i="1"/>
  <c r="G862" i="1"/>
  <c r="E862" i="1"/>
  <c r="C862" i="1"/>
  <c r="G861" i="1"/>
  <c r="E861" i="1"/>
  <c r="C861" i="1"/>
  <c r="G860" i="1"/>
  <c r="E860" i="1"/>
  <c r="C860" i="1"/>
  <c r="G859" i="1"/>
  <c r="E859" i="1"/>
  <c r="C859" i="1"/>
  <c r="G858" i="1"/>
  <c r="E858" i="1"/>
  <c r="C858" i="1"/>
  <c r="G857" i="1"/>
  <c r="E857" i="1"/>
  <c r="C857" i="1"/>
  <c r="G856" i="1"/>
  <c r="E856" i="1"/>
  <c r="C856" i="1"/>
  <c r="G855" i="1"/>
  <c r="E855" i="1"/>
  <c r="C855" i="1"/>
  <c r="G854" i="1"/>
  <c r="E854" i="1"/>
  <c r="C854" i="1"/>
  <c r="G853" i="1"/>
  <c r="E853" i="1"/>
  <c r="C853" i="1"/>
  <c r="G852" i="1"/>
  <c r="E852" i="1"/>
  <c r="C852" i="1"/>
  <c r="G851" i="1"/>
  <c r="E851" i="1"/>
  <c r="C851" i="1"/>
  <c r="G850" i="1"/>
  <c r="E850" i="1"/>
  <c r="C850" i="1"/>
  <c r="G849" i="1"/>
  <c r="E849" i="1"/>
  <c r="C849" i="1"/>
  <c r="G848" i="1"/>
  <c r="E848" i="1"/>
  <c r="C848" i="1"/>
  <c r="G847" i="1"/>
  <c r="E847" i="1"/>
  <c r="C847" i="1"/>
  <c r="G846" i="1"/>
  <c r="E846" i="1"/>
  <c r="C846" i="1"/>
  <c r="G845" i="1"/>
  <c r="E845" i="1"/>
  <c r="C845" i="1"/>
  <c r="G844" i="1"/>
  <c r="E844" i="1"/>
  <c r="C844" i="1"/>
  <c r="G843" i="1"/>
  <c r="E843" i="1"/>
  <c r="C843" i="1"/>
  <c r="G842" i="1"/>
  <c r="E842" i="1"/>
  <c r="C842" i="1"/>
  <c r="G841" i="1"/>
  <c r="E841" i="1"/>
  <c r="C841" i="1"/>
  <c r="G840" i="1"/>
  <c r="E840" i="1"/>
  <c r="C840" i="1"/>
  <c r="G839" i="1"/>
  <c r="E839" i="1"/>
  <c r="C839" i="1"/>
  <c r="G838" i="1"/>
  <c r="E838" i="1"/>
  <c r="C838" i="1"/>
  <c r="G837" i="1"/>
  <c r="E837" i="1"/>
  <c r="C837" i="1"/>
  <c r="G836" i="1"/>
  <c r="E836" i="1"/>
  <c r="C836" i="1"/>
  <c r="G835" i="1"/>
  <c r="E835" i="1"/>
  <c r="C835" i="1"/>
  <c r="G834" i="1"/>
  <c r="E834" i="1"/>
  <c r="C834" i="1"/>
  <c r="G833" i="1"/>
  <c r="E833" i="1"/>
  <c r="C833" i="1"/>
  <c r="G832" i="1"/>
  <c r="E832" i="1"/>
  <c r="C832" i="1"/>
  <c r="G831" i="1"/>
  <c r="E831" i="1"/>
  <c r="C831" i="1"/>
  <c r="G830" i="1"/>
  <c r="E830" i="1"/>
  <c r="C830" i="1"/>
  <c r="G829" i="1"/>
  <c r="E829" i="1"/>
  <c r="C829" i="1"/>
  <c r="G828" i="1"/>
  <c r="E828" i="1"/>
  <c r="C828" i="1"/>
  <c r="G827" i="1"/>
  <c r="E827" i="1"/>
  <c r="C827" i="1"/>
  <c r="G826" i="1"/>
  <c r="E826" i="1"/>
  <c r="C826" i="1"/>
  <c r="G825" i="1"/>
  <c r="E825" i="1"/>
  <c r="C825" i="1"/>
  <c r="G824" i="1"/>
  <c r="E824" i="1"/>
  <c r="C824" i="1"/>
  <c r="G823" i="1"/>
  <c r="E823" i="1"/>
  <c r="C823" i="1"/>
  <c r="G822" i="1"/>
  <c r="E822" i="1"/>
  <c r="C822" i="1"/>
  <c r="G821" i="1"/>
  <c r="E821" i="1"/>
  <c r="C821" i="1"/>
  <c r="G820" i="1"/>
  <c r="E820" i="1"/>
  <c r="C820" i="1"/>
  <c r="G819" i="1"/>
  <c r="E819" i="1"/>
  <c r="C819" i="1"/>
  <c r="G818" i="1"/>
  <c r="E818" i="1"/>
  <c r="C818" i="1"/>
  <c r="G817" i="1"/>
  <c r="E817" i="1"/>
  <c r="C817" i="1"/>
  <c r="G816" i="1"/>
  <c r="E816" i="1"/>
  <c r="C816" i="1"/>
  <c r="G815" i="1"/>
  <c r="E815" i="1"/>
  <c r="C815" i="1"/>
  <c r="G814" i="1"/>
  <c r="E814" i="1"/>
  <c r="C814" i="1"/>
  <c r="G813" i="1"/>
  <c r="E813" i="1"/>
  <c r="C813" i="1"/>
  <c r="G812" i="1"/>
  <c r="E812" i="1"/>
  <c r="C812" i="1"/>
  <c r="G811" i="1"/>
  <c r="E811" i="1"/>
  <c r="C811" i="1"/>
  <c r="G810" i="1"/>
  <c r="E810" i="1"/>
  <c r="C810" i="1"/>
  <c r="G809" i="1"/>
  <c r="E809" i="1"/>
  <c r="C809" i="1"/>
  <c r="G808" i="1"/>
  <c r="E808" i="1"/>
  <c r="C808" i="1"/>
  <c r="G807" i="1"/>
  <c r="E807" i="1"/>
  <c r="C807" i="1"/>
  <c r="G806" i="1"/>
  <c r="E806" i="1"/>
  <c r="C806" i="1"/>
  <c r="G805" i="1"/>
  <c r="E805" i="1"/>
  <c r="C805" i="1"/>
  <c r="G804" i="1"/>
  <c r="E804" i="1"/>
  <c r="C804" i="1"/>
  <c r="G803" i="1"/>
  <c r="E803" i="1"/>
  <c r="C803" i="1"/>
  <c r="G802" i="1"/>
  <c r="E802" i="1"/>
  <c r="C802" i="1"/>
  <c r="G801" i="1"/>
  <c r="E801" i="1"/>
  <c r="C801" i="1"/>
  <c r="G800" i="1"/>
  <c r="E800" i="1"/>
  <c r="C800" i="1"/>
  <c r="G799" i="1"/>
  <c r="E799" i="1"/>
  <c r="C799" i="1"/>
  <c r="G798" i="1"/>
  <c r="E798" i="1"/>
  <c r="C798" i="1"/>
  <c r="G797" i="1"/>
  <c r="E797" i="1"/>
  <c r="C797" i="1"/>
  <c r="G796" i="1"/>
  <c r="E796" i="1"/>
  <c r="C796" i="1"/>
  <c r="G795" i="1"/>
  <c r="E795" i="1"/>
  <c r="C795" i="1"/>
  <c r="G794" i="1"/>
  <c r="E794" i="1"/>
  <c r="C794" i="1"/>
  <c r="G793" i="1"/>
  <c r="E793" i="1"/>
  <c r="C793" i="1"/>
  <c r="G792" i="1"/>
  <c r="E792" i="1"/>
  <c r="C792" i="1"/>
  <c r="G791" i="1"/>
  <c r="E791" i="1"/>
  <c r="C791" i="1"/>
  <c r="G790" i="1"/>
  <c r="E790" i="1"/>
  <c r="C790" i="1"/>
  <c r="G789" i="1"/>
  <c r="E789" i="1"/>
  <c r="C789" i="1"/>
  <c r="G788" i="1"/>
  <c r="E788" i="1"/>
  <c r="C788" i="1"/>
  <c r="G787" i="1"/>
  <c r="E787" i="1"/>
  <c r="C787" i="1"/>
  <c r="G786" i="1"/>
  <c r="E786" i="1"/>
  <c r="C786" i="1"/>
  <c r="G785" i="1"/>
  <c r="E785" i="1"/>
  <c r="C785" i="1"/>
  <c r="G784" i="1"/>
  <c r="E784" i="1"/>
  <c r="C784" i="1"/>
  <c r="G783" i="1"/>
  <c r="E783" i="1"/>
  <c r="C783" i="1"/>
  <c r="G782" i="1"/>
  <c r="E782" i="1"/>
  <c r="C782" i="1"/>
  <c r="G781" i="1"/>
  <c r="E781" i="1"/>
  <c r="C781" i="1"/>
  <c r="G780" i="1"/>
  <c r="E780" i="1"/>
  <c r="C780" i="1"/>
  <c r="G779" i="1"/>
  <c r="E779" i="1"/>
  <c r="C779" i="1"/>
  <c r="G778" i="1"/>
  <c r="E778" i="1"/>
  <c r="C778" i="1"/>
  <c r="G777" i="1"/>
  <c r="E777" i="1"/>
  <c r="C777" i="1"/>
  <c r="G776" i="1"/>
  <c r="E776" i="1"/>
  <c r="C776" i="1"/>
  <c r="G775" i="1"/>
  <c r="E775" i="1"/>
  <c r="C775" i="1"/>
  <c r="G774" i="1"/>
  <c r="E774" i="1"/>
  <c r="C774" i="1"/>
  <c r="G773" i="1"/>
  <c r="E773" i="1"/>
  <c r="C773" i="1"/>
  <c r="G772" i="1"/>
  <c r="E772" i="1"/>
  <c r="C772" i="1"/>
  <c r="G771" i="1"/>
  <c r="E771" i="1"/>
  <c r="C771" i="1"/>
  <c r="G770" i="1"/>
  <c r="E770" i="1"/>
  <c r="C770" i="1"/>
  <c r="G769" i="1"/>
  <c r="E769" i="1"/>
  <c r="C769" i="1"/>
  <c r="G768" i="1"/>
  <c r="E768" i="1"/>
  <c r="C768" i="1"/>
  <c r="G767" i="1"/>
  <c r="E767" i="1"/>
  <c r="C767" i="1"/>
  <c r="G766" i="1"/>
  <c r="E766" i="1"/>
  <c r="C766" i="1"/>
  <c r="G765" i="1"/>
  <c r="E765" i="1"/>
  <c r="C765" i="1"/>
  <c r="G764" i="1"/>
  <c r="E764" i="1"/>
  <c r="C764" i="1"/>
  <c r="G763" i="1"/>
  <c r="E763" i="1"/>
  <c r="C763" i="1"/>
  <c r="G762" i="1"/>
  <c r="E762" i="1"/>
  <c r="C762" i="1"/>
  <c r="G761" i="1"/>
  <c r="E761" i="1"/>
  <c r="C761" i="1"/>
  <c r="G760" i="1"/>
  <c r="E760" i="1"/>
  <c r="C760" i="1"/>
  <c r="G759" i="1"/>
  <c r="E759" i="1"/>
  <c r="C759" i="1"/>
  <c r="G758" i="1"/>
  <c r="E758" i="1"/>
  <c r="C758" i="1"/>
  <c r="G757" i="1"/>
  <c r="E757" i="1"/>
  <c r="C757" i="1"/>
  <c r="G756" i="1"/>
  <c r="E756" i="1"/>
  <c r="C756" i="1"/>
  <c r="G755" i="1"/>
  <c r="E755" i="1"/>
  <c r="C755" i="1"/>
  <c r="G754" i="1"/>
  <c r="E754" i="1"/>
  <c r="C754" i="1"/>
  <c r="G753" i="1"/>
  <c r="E753" i="1"/>
  <c r="C753" i="1"/>
  <c r="G752" i="1"/>
  <c r="E752" i="1"/>
  <c r="C752" i="1"/>
  <c r="G751" i="1"/>
  <c r="E751" i="1"/>
  <c r="C751" i="1"/>
  <c r="G750" i="1"/>
  <c r="E750" i="1"/>
  <c r="C750" i="1"/>
  <c r="G749" i="1"/>
  <c r="E749" i="1"/>
  <c r="C749" i="1"/>
  <c r="G748" i="1"/>
  <c r="E748" i="1"/>
  <c r="C748" i="1"/>
  <c r="G747" i="1"/>
  <c r="E747" i="1"/>
  <c r="C747" i="1"/>
  <c r="G746" i="1"/>
  <c r="E746" i="1"/>
  <c r="C746" i="1"/>
  <c r="G745" i="1"/>
  <c r="E745" i="1"/>
  <c r="C745" i="1"/>
  <c r="G744" i="1"/>
  <c r="E744" i="1"/>
  <c r="C744" i="1"/>
  <c r="G743" i="1"/>
  <c r="E743" i="1"/>
  <c r="C743" i="1"/>
  <c r="G742" i="1"/>
  <c r="E742" i="1"/>
  <c r="C742" i="1"/>
  <c r="G741" i="1"/>
  <c r="E741" i="1"/>
  <c r="C741" i="1"/>
  <c r="G740" i="1"/>
  <c r="E740" i="1"/>
  <c r="C740" i="1"/>
  <c r="G739" i="1"/>
  <c r="E739" i="1"/>
  <c r="C739" i="1"/>
  <c r="G738" i="1"/>
  <c r="E738" i="1"/>
  <c r="C738" i="1"/>
  <c r="G737" i="1"/>
  <c r="E737" i="1"/>
  <c r="C737" i="1"/>
  <c r="G736" i="1"/>
  <c r="E736" i="1"/>
  <c r="C736" i="1"/>
  <c r="G735" i="1"/>
  <c r="E735" i="1"/>
  <c r="C735" i="1"/>
  <c r="G734" i="1"/>
  <c r="E734" i="1"/>
  <c r="C734" i="1"/>
  <c r="G733" i="1"/>
  <c r="E733" i="1"/>
  <c r="C733" i="1"/>
  <c r="G732" i="1"/>
  <c r="E732" i="1"/>
  <c r="C732" i="1"/>
  <c r="G731" i="1"/>
  <c r="E731" i="1"/>
  <c r="C731" i="1"/>
  <c r="G730" i="1"/>
  <c r="E730" i="1"/>
  <c r="C730" i="1"/>
  <c r="G729" i="1"/>
  <c r="E729" i="1"/>
  <c r="C729" i="1"/>
  <c r="G728" i="1"/>
  <c r="E728" i="1"/>
  <c r="C728" i="1"/>
  <c r="G727" i="1"/>
  <c r="E727" i="1"/>
  <c r="C727" i="1"/>
  <c r="G726" i="1"/>
  <c r="E726" i="1"/>
  <c r="C726" i="1"/>
  <c r="G725" i="1"/>
  <c r="E725" i="1"/>
  <c r="C725" i="1"/>
  <c r="G724" i="1"/>
  <c r="E724" i="1"/>
  <c r="C724" i="1"/>
  <c r="G723" i="1"/>
  <c r="E723" i="1"/>
  <c r="C723" i="1"/>
  <c r="G722" i="1"/>
  <c r="E722" i="1"/>
  <c r="C722" i="1"/>
  <c r="G721" i="1"/>
  <c r="E721" i="1"/>
  <c r="C721" i="1"/>
  <c r="G720" i="1"/>
  <c r="E720" i="1"/>
  <c r="C720" i="1"/>
  <c r="G719" i="1"/>
  <c r="E719" i="1"/>
  <c r="C719" i="1"/>
  <c r="G718" i="1"/>
  <c r="E718" i="1"/>
  <c r="C718" i="1"/>
  <c r="G717" i="1"/>
  <c r="E717" i="1"/>
  <c r="C717" i="1"/>
  <c r="G716" i="1"/>
  <c r="E716" i="1"/>
  <c r="C716" i="1"/>
  <c r="G715" i="1"/>
  <c r="E715" i="1"/>
  <c r="C715" i="1"/>
  <c r="G714" i="1"/>
  <c r="E714" i="1"/>
  <c r="C714" i="1"/>
  <c r="G713" i="1"/>
  <c r="E713" i="1"/>
  <c r="C713" i="1"/>
  <c r="G712" i="1"/>
  <c r="E712" i="1"/>
  <c r="C712" i="1"/>
  <c r="G711" i="1"/>
  <c r="E711" i="1"/>
  <c r="C711" i="1"/>
  <c r="G710" i="1"/>
  <c r="E710" i="1"/>
  <c r="C710" i="1"/>
  <c r="G709" i="1"/>
  <c r="E709" i="1"/>
  <c r="C709" i="1"/>
  <c r="G708" i="1"/>
  <c r="E708" i="1"/>
  <c r="C708" i="1"/>
  <c r="G707" i="1"/>
  <c r="E707" i="1"/>
  <c r="C707" i="1"/>
  <c r="G706" i="1"/>
  <c r="E706" i="1"/>
  <c r="C706" i="1"/>
  <c r="G705" i="1"/>
  <c r="E705" i="1"/>
  <c r="C705" i="1"/>
  <c r="G704" i="1"/>
  <c r="E704" i="1"/>
  <c r="C704" i="1"/>
  <c r="G703" i="1"/>
  <c r="E703" i="1"/>
  <c r="C703" i="1"/>
  <c r="G702" i="1"/>
  <c r="E702" i="1"/>
  <c r="C702" i="1"/>
  <c r="G701" i="1"/>
  <c r="E701" i="1"/>
  <c r="C701" i="1"/>
  <c r="G700" i="1"/>
  <c r="E700" i="1"/>
  <c r="C700" i="1"/>
  <c r="G699" i="1"/>
  <c r="E699" i="1"/>
  <c r="C699" i="1"/>
  <c r="G698" i="1"/>
  <c r="E698" i="1"/>
  <c r="C698" i="1"/>
  <c r="G697" i="1"/>
  <c r="E697" i="1"/>
  <c r="C697" i="1"/>
  <c r="G696" i="1"/>
  <c r="E696" i="1"/>
  <c r="C696" i="1"/>
  <c r="G695" i="1"/>
  <c r="E695" i="1"/>
  <c r="C695" i="1"/>
  <c r="G694" i="1"/>
  <c r="E694" i="1"/>
  <c r="C694" i="1"/>
  <c r="G693" i="1"/>
  <c r="E693" i="1"/>
  <c r="C693" i="1"/>
  <c r="G692" i="1"/>
  <c r="E692" i="1"/>
  <c r="C692" i="1"/>
  <c r="G691" i="1"/>
  <c r="E691" i="1"/>
  <c r="C691" i="1"/>
  <c r="G690" i="1"/>
  <c r="E690" i="1"/>
  <c r="C690" i="1"/>
  <c r="G689" i="1"/>
  <c r="E689" i="1"/>
  <c r="C689" i="1"/>
  <c r="G688" i="1"/>
  <c r="E688" i="1"/>
  <c r="C688" i="1"/>
  <c r="G687" i="1"/>
  <c r="E687" i="1"/>
  <c r="C687" i="1"/>
  <c r="G686" i="1"/>
  <c r="E686" i="1"/>
  <c r="C686" i="1"/>
  <c r="G685" i="1"/>
  <c r="E685" i="1"/>
  <c r="C685" i="1"/>
  <c r="G684" i="1"/>
  <c r="E684" i="1"/>
  <c r="C684" i="1"/>
  <c r="G683" i="1"/>
  <c r="E683" i="1"/>
  <c r="C683" i="1"/>
  <c r="G682" i="1"/>
  <c r="E682" i="1"/>
  <c r="C682" i="1"/>
  <c r="G681" i="1"/>
  <c r="E681" i="1"/>
  <c r="C681" i="1"/>
  <c r="G680" i="1"/>
  <c r="E680" i="1"/>
  <c r="C680" i="1"/>
  <c r="G679" i="1"/>
  <c r="E679" i="1"/>
  <c r="C679" i="1"/>
  <c r="G678" i="1"/>
  <c r="E678" i="1"/>
  <c r="C678" i="1"/>
  <c r="G677" i="1"/>
  <c r="E677" i="1"/>
  <c r="C677" i="1"/>
  <c r="G676" i="1"/>
  <c r="E676" i="1"/>
  <c r="C676" i="1"/>
  <c r="G675" i="1"/>
  <c r="E675" i="1"/>
  <c r="C675" i="1"/>
  <c r="G674" i="1"/>
  <c r="E674" i="1"/>
  <c r="C674" i="1"/>
  <c r="G673" i="1"/>
  <c r="E673" i="1"/>
  <c r="C673" i="1"/>
  <c r="G672" i="1"/>
  <c r="E672" i="1"/>
  <c r="C672" i="1"/>
  <c r="G671" i="1"/>
  <c r="E671" i="1"/>
  <c r="C671" i="1"/>
  <c r="G670" i="1"/>
  <c r="E670" i="1"/>
  <c r="C670" i="1"/>
  <c r="G669" i="1"/>
  <c r="E669" i="1"/>
  <c r="C669" i="1"/>
  <c r="G668" i="1"/>
  <c r="E668" i="1"/>
  <c r="C668" i="1"/>
  <c r="G667" i="1"/>
  <c r="E667" i="1"/>
  <c r="C667" i="1"/>
  <c r="G666" i="1"/>
  <c r="E666" i="1"/>
  <c r="C666" i="1"/>
  <c r="G665" i="1"/>
  <c r="E665" i="1"/>
  <c r="C665" i="1"/>
  <c r="G664" i="1"/>
  <c r="E664" i="1"/>
  <c r="C664" i="1"/>
  <c r="G663" i="1"/>
  <c r="E663" i="1"/>
  <c r="C663" i="1"/>
  <c r="G662" i="1"/>
  <c r="E662" i="1"/>
  <c r="C662" i="1"/>
  <c r="G661" i="1"/>
  <c r="E661" i="1"/>
  <c r="C661" i="1"/>
  <c r="G660" i="1"/>
  <c r="E660" i="1"/>
  <c r="C660" i="1"/>
  <c r="G659" i="1"/>
  <c r="E659" i="1"/>
  <c r="C659" i="1"/>
  <c r="G658" i="1"/>
  <c r="E658" i="1"/>
  <c r="C658" i="1"/>
  <c r="G657" i="1"/>
  <c r="E657" i="1"/>
  <c r="C657" i="1"/>
  <c r="G656" i="1"/>
  <c r="E656" i="1"/>
  <c r="C656" i="1"/>
  <c r="G655" i="1"/>
  <c r="E655" i="1"/>
  <c r="C655" i="1"/>
  <c r="G654" i="1"/>
  <c r="E654" i="1"/>
  <c r="C654" i="1"/>
  <c r="G653" i="1"/>
  <c r="E653" i="1"/>
  <c r="C653" i="1"/>
  <c r="G652" i="1"/>
  <c r="E652" i="1"/>
  <c r="C652" i="1"/>
  <c r="G651" i="1"/>
  <c r="E651" i="1"/>
  <c r="C651" i="1"/>
  <c r="G650" i="1"/>
  <c r="E650" i="1"/>
  <c r="C650" i="1"/>
  <c r="G649" i="1"/>
  <c r="E649" i="1"/>
  <c r="C649" i="1"/>
  <c r="G648" i="1"/>
  <c r="E648" i="1"/>
  <c r="C648" i="1"/>
  <c r="G647" i="1"/>
  <c r="E647" i="1"/>
  <c r="C647" i="1"/>
  <c r="G646" i="1"/>
  <c r="E646" i="1"/>
  <c r="C646" i="1"/>
  <c r="G645" i="1"/>
  <c r="E645" i="1"/>
  <c r="C645" i="1"/>
  <c r="G644" i="1"/>
  <c r="E644" i="1"/>
  <c r="C644" i="1"/>
  <c r="G643" i="1"/>
  <c r="E643" i="1"/>
  <c r="C643" i="1"/>
  <c r="G642" i="1"/>
  <c r="E642" i="1"/>
  <c r="C642" i="1"/>
  <c r="G641" i="1"/>
  <c r="E641" i="1"/>
  <c r="C641" i="1"/>
  <c r="G640" i="1"/>
  <c r="E640" i="1"/>
  <c r="C640" i="1"/>
  <c r="G639" i="1"/>
  <c r="E639" i="1"/>
  <c r="C639" i="1"/>
  <c r="G638" i="1"/>
  <c r="E638" i="1"/>
  <c r="C638" i="1"/>
  <c r="G637" i="1"/>
  <c r="E637" i="1"/>
  <c r="C637" i="1"/>
  <c r="G636" i="1"/>
  <c r="E636" i="1"/>
  <c r="C636" i="1"/>
  <c r="G635" i="1"/>
  <c r="E635" i="1"/>
  <c r="C635" i="1"/>
  <c r="G634" i="1"/>
  <c r="E634" i="1"/>
  <c r="C634" i="1"/>
  <c r="G633" i="1"/>
  <c r="E633" i="1"/>
  <c r="C633" i="1"/>
  <c r="G632" i="1"/>
  <c r="E632" i="1"/>
  <c r="C632" i="1"/>
  <c r="G631" i="1"/>
  <c r="E631" i="1"/>
  <c r="C631" i="1"/>
  <c r="G630" i="1"/>
  <c r="E630" i="1"/>
  <c r="C630" i="1"/>
  <c r="G629" i="1"/>
  <c r="E629" i="1"/>
  <c r="C629" i="1"/>
  <c r="G628" i="1"/>
  <c r="E628" i="1"/>
  <c r="C628" i="1"/>
  <c r="G627" i="1"/>
  <c r="E627" i="1"/>
  <c r="C627" i="1"/>
  <c r="G626" i="1"/>
  <c r="E626" i="1"/>
  <c r="C626" i="1"/>
  <c r="G625" i="1"/>
  <c r="E625" i="1"/>
  <c r="C625" i="1"/>
  <c r="G624" i="1"/>
  <c r="E624" i="1"/>
  <c r="C624" i="1"/>
  <c r="G623" i="1"/>
  <c r="E623" i="1"/>
  <c r="C623" i="1"/>
  <c r="G622" i="1"/>
  <c r="E622" i="1"/>
  <c r="C622" i="1"/>
  <c r="G621" i="1"/>
  <c r="E621" i="1"/>
  <c r="C621" i="1"/>
  <c r="G620" i="1"/>
  <c r="E620" i="1"/>
  <c r="C620" i="1"/>
  <c r="G619" i="1"/>
  <c r="E619" i="1"/>
  <c r="C619" i="1"/>
  <c r="G618" i="1"/>
  <c r="E618" i="1"/>
  <c r="C618" i="1"/>
  <c r="G617" i="1"/>
  <c r="E617" i="1"/>
  <c r="C617" i="1"/>
  <c r="G616" i="1"/>
  <c r="E616" i="1"/>
  <c r="C616" i="1"/>
  <c r="G615" i="1"/>
  <c r="E615" i="1"/>
  <c r="C615" i="1"/>
  <c r="G614" i="1"/>
  <c r="E614" i="1"/>
  <c r="C614" i="1"/>
  <c r="G613" i="1"/>
  <c r="E613" i="1"/>
  <c r="C613" i="1"/>
  <c r="G612" i="1"/>
  <c r="E612" i="1"/>
  <c r="C612" i="1"/>
  <c r="G611" i="1"/>
  <c r="E611" i="1"/>
  <c r="C611" i="1"/>
  <c r="G610" i="1"/>
  <c r="E610" i="1"/>
  <c r="C610" i="1"/>
  <c r="G609" i="1"/>
  <c r="E609" i="1"/>
  <c r="C609" i="1"/>
  <c r="G608" i="1"/>
  <c r="E608" i="1"/>
  <c r="C608" i="1"/>
  <c r="G607" i="1"/>
  <c r="E607" i="1"/>
  <c r="C607" i="1"/>
  <c r="G606" i="1"/>
  <c r="E606" i="1"/>
  <c r="C606" i="1"/>
  <c r="G605" i="1"/>
  <c r="E605" i="1"/>
  <c r="C605" i="1"/>
  <c r="G604" i="1"/>
  <c r="E604" i="1"/>
  <c r="C604" i="1"/>
  <c r="G603" i="1"/>
  <c r="E603" i="1"/>
  <c r="C603" i="1"/>
  <c r="G602" i="1"/>
  <c r="E602" i="1"/>
  <c r="C602" i="1"/>
  <c r="G601" i="1"/>
  <c r="E601" i="1"/>
  <c r="C601" i="1"/>
  <c r="G600" i="1"/>
  <c r="E600" i="1"/>
  <c r="C600" i="1"/>
  <c r="G599" i="1"/>
  <c r="E599" i="1"/>
  <c r="C599" i="1"/>
  <c r="G598" i="1"/>
  <c r="E598" i="1"/>
  <c r="C598" i="1"/>
  <c r="G597" i="1"/>
  <c r="E597" i="1"/>
  <c r="C597" i="1"/>
  <c r="G596" i="1"/>
  <c r="E596" i="1"/>
  <c r="C596" i="1"/>
  <c r="G595" i="1"/>
  <c r="E595" i="1"/>
  <c r="C595" i="1"/>
  <c r="G594" i="1"/>
  <c r="E594" i="1"/>
  <c r="C594" i="1"/>
  <c r="G593" i="1"/>
  <c r="E593" i="1"/>
  <c r="C593" i="1"/>
  <c r="G592" i="1"/>
  <c r="E592" i="1"/>
  <c r="C592" i="1"/>
  <c r="G591" i="1"/>
  <c r="E591" i="1"/>
  <c r="C591" i="1"/>
  <c r="G590" i="1"/>
  <c r="E590" i="1"/>
  <c r="C590" i="1"/>
  <c r="G589" i="1"/>
  <c r="E589" i="1"/>
  <c r="C589" i="1"/>
  <c r="G588" i="1"/>
  <c r="E588" i="1"/>
  <c r="C588" i="1"/>
  <c r="G587" i="1"/>
  <c r="E587" i="1"/>
  <c r="C587" i="1"/>
  <c r="G586" i="1"/>
  <c r="E586" i="1"/>
  <c r="C586" i="1"/>
  <c r="G585" i="1"/>
  <c r="E585" i="1"/>
  <c r="C585" i="1"/>
  <c r="G584" i="1"/>
  <c r="E584" i="1"/>
  <c r="C584" i="1"/>
  <c r="G583" i="1"/>
  <c r="E583" i="1"/>
  <c r="C583" i="1"/>
  <c r="G582" i="1"/>
  <c r="E582" i="1"/>
  <c r="C582" i="1"/>
  <c r="G581" i="1"/>
  <c r="E581" i="1"/>
  <c r="C581" i="1"/>
  <c r="G580" i="1"/>
  <c r="E580" i="1"/>
  <c r="C580" i="1"/>
  <c r="G579" i="1"/>
  <c r="E579" i="1"/>
  <c r="C579" i="1"/>
  <c r="G578" i="1"/>
  <c r="E578" i="1"/>
  <c r="C578" i="1"/>
  <c r="G577" i="1"/>
  <c r="E577" i="1"/>
  <c r="C577" i="1"/>
  <c r="G576" i="1"/>
  <c r="E576" i="1"/>
  <c r="C576" i="1"/>
  <c r="G575" i="1"/>
  <c r="E575" i="1"/>
  <c r="C575" i="1"/>
  <c r="G574" i="1"/>
  <c r="E574" i="1"/>
  <c r="C574" i="1"/>
  <c r="G573" i="1"/>
  <c r="E573" i="1"/>
  <c r="C573" i="1"/>
  <c r="G572" i="1"/>
  <c r="E572" i="1"/>
  <c r="C572" i="1"/>
  <c r="G571" i="1"/>
  <c r="E571" i="1"/>
  <c r="C571" i="1"/>
  <c r="G570" i="1"/>
  <c r="E570" i="1"/>
  <c r="C570" i="1"/>
  <c r="G569" i="1"/>
  <c r="E569" i="1"/>
  <c r="C569" i="1"/>
  <c r="G568" i="1"/>
  <c r="E568" i="1"/>
  <c r="C568" i="1"/>
  <c r="G567" i="1"/>
  <c r="E567" i="1"/>
  <c r="C567" i="1"/>
  <c r="G566" i="1"/>
  <c r="E566" i="1"/>
  <c r="C566" i="1"/>
  <c r="G565" i="1"/>
  <c r="E565" i="1"/>
  <c r="C565" i="1"/>
  <c r="G564" i="1"/>
  <c r="E564" i="1"/>
  <c r="C564" i="1"/>
  <c r="G563" i="1"/>
  <c r="E563" i="1"/>
  <c r="C563" i="1"/>
  <c r="G562" i="1"/>
  <c r="E562" i="1"/>
  <c r="C562" i="1"/>
  <c r="G561" i="1"/>
  <c r="E561" i="1"/>
  <c r="C561" i="1"/>
  <c r="G560" i="1"/>
  <c r="E560" i="1"/>
  <c r="C560" i="1"/>
  <c r="G559" i="1"/>
  <c r="E559" i="1"/>
  <c r="C559" i="1"/>
  <c r="G558" i="1"/>
  <c r="E558" i="1"/>
  <c r="C558" i="1"/>
  <c r="G557" i="1"/>
  <c r="E557" i="1"/>
  <c r="C557" i="1"/>
  <c r="G556" i="1"/>
  <c r="E556" i="1"/>
  <c r="C556" i="1"/>
  <c r="G555" i="1"/>
  <c r="E555" i="1"/>
  <c r="C555" i="1"/>
  <c r="G554" i="1"/>
  <c r="E554" i="1"/>
  <c r="C554" i="1"/>
  <c r="G553" i="1"/>
  <c r="E553" i="1"/>
  <c r="C553" i="1"/>
  <c r="G552" i="1"/>
  <c r="E552" i="1"/>
  <c r="C552" i="1"/>
  <c r="G551" i="1"/>
  <c r="E551" i="1"/>
  <c r="C551" i="1"/>
  <c r="G550" i="1"/>
  <c r="E550" i="1"/>
  <c r="C550" i="1"/>
  <c r="G549" i="1"/>
  <c r="E549" i="1"/>
  <c r="C549" i="1"/>
  <c r="G548" i="1"/>
  <c r="E548" i="1"/>
  <c r="C548" i="1"/>
  <c r="G547" i="1"/>
  <c r="E547" i="1"/>
  <c r="C547" i="1"/>
  <c r="G546" i="1"/>
  <c r="E546" i="1"/>
  <c r="C546" i="1"/>
  <c r="G545" i="1"/>
  <c r="E545" i="1"/>
  <c r="C545" i="1"/>
  <c r="G544" i="1"/>
  <c r="E544" i="1"/>
  <c r="C544" i="1"/>
  <c r="G543" i="1"/>
  <c r="E543" i="1"/>
  <c r="C543" i="1"/>
  <c r="G542" i="1"/>
  <c r="E542" i="1"/>
  <c r="C542" i="1"/>
  <c r="G541" i="1"/>
  <c r="E541" i="1"/>
  <c r="C541" i="1"/>
  <c r="G540" i="1"/>
  <c r="E540" i="1"/>
  <c r="C540" i="1"/>
  <c r="G539" i="1"/>
  <c r="E539" i="1"/>
  <c r="C539" i="1"/>
  <c r="G538" i="1"/>
  <c r="E538" i="1"/>
  <c r="C538" i="1"/>
  <c r="G537" i="1"/>
  <c r="E537" i="1"/>
  <c r="C537" i="1"/>
  <c r="G536" i="1"/>
  <c r="E536" i="1"/>
  <c r="C536" i="1"/>
  <c r="G535" i="1"/>
  <c r="E535" i="1"/>
  <c r="C535" i="1"/>
  <c r="G534" i="1"/>
  <c r="E534" i="1"/>
  <c r="C534" i="1"/>
  <c r="G533" i="1"/>
  <c r="E533" i="1"/>
  <c r="C533" i="1"/>
  <c r="G532" i="1"/>
  <c r="E532" i="1"/>
  <c r="C532" i="1"/>
  <c r="G531" i="1"/>
  <c r="E531" i="1"/>
  <c r="C531" i="1"/>
  <c r="G530" i="1"/>
  <c r="E530" i="1"/>
  <c r="C530" i="1"/>
  <c r="G529" i="1"/>
  <c r="E529" i="1"/>
  <c r="C529" i="1"/>
  <c r="G528" i="1"/>
  <c r="E528" i="1"/>
  <c r="C528" i="1"/>
  <c r="G527" i="1"/>
  <c r="E527" i="1"/>
  <c r="C527" i="1"/>
  <c r="G526" i="1"/>
  <c r="E526" i="1"/>
  <c r="C526" i="1"/>
  <c r="G525" i="1"/>
  <c r="E525" i="1"/>
  <c r="C525" i="1"/>
  <c r="G524" i="1"/>
  <c r="E524" i="1"/>
  <c r="C524" i="1"/>
  <c r="G523" i="1"/>
  <c r="E523" i="1"/>
  <c r="C523" i="1"/>
  <c r="G522" i="1"/>
  <c r="E522" i="1"/>
  <c r="C522" i="1"/>
  <c r="G521" i="1"/>
  <c r="E521" i="1"/>
  <c r="C521" i="1"/>
  <c r="G520" i="1"/>
  <c r="E520" i="1"/>
  <c r="C520" i="1"/>
  <c r="G519" i="1"/>
  <c r="E519" i="1"/>
  <c r="C519" i="1"/>
  <c r="G518" i="1"/>
  <c r="E518" i="1"/>
  <c r="C518" i="1"/>
  <c r="G517" i="1"/>
  <c r="E517" i="1"/>
  <c r="C517" i="1"/>
  <c r="G516" i="1"/>
  <c r="E516" i="1"/>
  <c r="C516" i="1"/>
  <c r="G515" i="1"/>
  <c r="E515" i="1"/>
  <c r="C515" i="1"/>
  <c r="G514" i="1"/>
  <c r="E514" i="1"/>
  <c r="C514" i="1"/>
  <c r="G513" i="1"/>
  <c r="E513" i="1"/>
  <c r="C513" i="1"/>
  <c r="G512" i="1"/>
  <c r="E512" i="1"/>
  <c r="C512" i="1"/>
  <c r="G511" i="1"/>
  <c r="E511" i="1"/>
  <c r="C511" i="1"/>
  <c r="G510" i="1"/>
  <c r="E510" i="1"/>
  <c r="C510" i="1"/>
  <c r="G509" i="1"/>
  <c r="E509" i="1"/>
  <c r="C509" i="1"/>
  <c r="G508" i="1"/>
  <c r="E508" i="1"/>
  <c r="C508" i="1"/>
  <c r="G507" i="1"/>
  <c r="E507" i="1"/>
  <c r="C507" i="1"/>
  <c r="G506" i="1"/>
  <c r="E506" i="1"/>
  <c r="C506" i="1"/>
  <c r="G505" i="1"/>
  <c r="E505" i="1"/>
  <c r="C505" i="1"/>
  <c r="G504" i="1"/>
  <c r="E504" i="1"/>
  <c r="C504" i="1"/>
  <c r="G503" i="1"/>
  <c r="E503" i="1"/>
  <c r="C503" i="1"/>
  <c r="G502" i="1"/>
  <c r="E502" i="1"/>
  <c r="C502" i="1"/>
  <c r="G501" i="1"/>
  <c r="E501" i="1"/>
  <c r="C501" i="1"/>
  <c r="G500" i="1"/>
  <c r="E500" i="1"/>
  <c r="C500" i="1"/>
  <c r="G499" i="1"/>
  <c r="E499" i="1"/>
  <c r="C499" i="1"/>
  <c r="G498" i="1"/>
  <c r="E498" i="1"/>
  <c r="C498" i="1"/>
  <c r="G497" i="1"/>
  <c r="E497" i="1"/>
  <c r="C497" i="1"/>
  <c r="G496" i="1"/>
  <c r="E496" i="1"/>
  <c r="C496" i="1"/>
  <c r="G495" i="1"/>
  <c r="E495" i="1"/>
  <c r="C495" i="1"/>
  <c r="G494" i="1"/>
  <c r="E494" i="1"/>
  <c r="C494" i="1"/>
  <c r="G493" i="1"/>
  <c r="E493" i="1"/>
  <c r="C493" i="1"/>
  <c r="G492" i="1"/>
  <c r="E492" i="1"/>
  <c r="C492" i="1"/>
  <c r="G491" i="1"/>
  <c r="E491" i="1"/>
  <c r="C491" i="1"/>
  <c r="G490" i="1"/>
  <c r="E490" i="1"/>
  <c r="C490" i="1"/>
  <c r="G489" i="1"/>
  <c r="E489" i="1"/>
  <c r="C489" i="1"/>
  <c r="G488" i="1"/>
  <c r="E488" i="1"/>
  <c r="C488" i="1"/>
  <c r="G487" i="1"/>
  <c r="E487" i="1"/>
  <c r="C487" i="1"/>
  <c r="G486" i="1"/>
  <c r="E486" i="1"/>
  <c r="C486" i="1"/>
  <c r="G485" i="1"/>
  <c r="E485" i="1"/>
  <c r="C485" i="1"/>
  <c r="G484" i="1"/>
  <c r="E484" i="1"/>
  <c r="C484" i="1"/>
  <c r="G483" i="1"/>
  <c r="E483" i="1"/>
  <c r="C483" i="1"/>
  <c r="G482" i="1"/>
  <c r="E482" i="1"/>
  <c r="C482" i="1"/>
  <c r="G481" i="1"/>
  <c r="E481" i="1"/>
  <c r="C481" i="1"/>
  <c r="G480" i="1"/>
  <c r="E480" i="1"/>
  <c r="C480" i="1"/>
  <c r="G479" i="1"/>
  <c r="E479" i="1"/>
  <c r="C479" i="1"/>
  <c r="G478" i="1"/>
  <c r="E478" i="1"/>
  <c r="C478" i="1"/>
  <c r="G477" i="1"/>
  <c r="E477" i="1"/>
  <c r="C477" i="1"/>
  <c r="G476" i="1"/>
  <c r="E476" i="1"/>
  <c r="C476" i="1"/>
  <c r="G475" i="1"/>
  <c r="E475" i="1"/>
  <c r="C475" i="1"/>
  <c r="G474" i="1"/>
  <c r="E474" i="1"/>
  <c r="C474" i="1"/>
  <c r="G473" i="1"/>
  <c r="E473" i="1"/>
  <c r="C473" i="1"/>
  <c r="G472" i="1"/>
  <c r="E472" i="1"/>
  <c r="C472" i="1"/>
  <c r="G471" i="1"/>
  <c r="E471" i="1"/>
  <c r="C471" i="1"/>
  <c r="G470" i="1"/>
  <c r="E470" i="1"/>
  <c r="C470" i="1"/>
  <c r="G469" i="1"/>
  <c r="E469" i="1"/>
  <c r="C469" i="1"/>
  <c r="G468" i="1"/>
  <c r="E468" i="1"/>
  <c r="C468" i="1"/>
  <c r="G467" i="1"/>
  <c r="E467" i="1"/>
  <c r="C467" i="1"/>
  <c r="G466" i="1"/>
  <c r="E466" i="1"/>
  <c r="C466" i="1"/>
  <c r="G465" i="1"/>
  <c r="E465" i="1"/>
  <c r="C465" i="1"/>
  <c r="G464" i="1"/>
  <c r="E464" i="1"/>
  <c r="C464" i="1"/>
  <c r="G463" i="1"/>
  <c r="E463" i="1"/>
  <c r="C463" i="1"/>
  <c r="G462" i="1"/>
  <c r="E462" i="1"/>
  <c r="C462" i="1"/>
  <c r="G461" i="1"/>
  <c r="E461" i="1"/>
  <c r="C461" i="1"/>
  <c r="G460" i="1"/>
  <c r="E460" i="1"/>
  <c r="C460" i="1"/>
  <c r="G459" i="1"/>
  <c r="E459" i="1"/>
  <c r="C459" i="1"/>
  <c r="G458" i="1"/>
  <c r="E458" i="1"/>
  <c r="C458" i="1"/>
  <c r="G457" i="1"/>
  <c r="E457" i="1"/>
  <c r="C457" i="1"/>
  <c r="G456" i="1"/>
  <c r="E456" i="1"/>
  <c r="C456" i="1"/>
  <c r="G455" i="1"/>
  <c r="E455" i="1"/>
  <c r="C455" i="1"/>
  <c r="G454" i="1"/>
  <c r="E454" i="1"/>
  <c r="C454" i="1"/>
  <c r="G453" i="1"/>
  <c r="E453" i="1"/>
  <c r="C453" i="1"/>
  <c r="G452" i="1"/>
  <c r="E452" i="1"/>
  <c r="C452" i="1"/>
  <c r="G451" i="1"/>
  <c r="E451" i="1"/>
  <c r="C451" i="1"/>
  <c r="G450" i="1"/>
  <c r="E450" i="1"/>
  <c r="C450" i="1"/>
  <c r="G449" i="1"/>
  <c r="E449" i="1"/>
  <c r="C449" i="1"/>
  <c r="G448" i="1"/>
  <c r="E448" i="1"/>
  <c r="C448" i="1"/>
  <c r="G447" i="1"/>
  <c r="E447" i="1"/>
  <c r="C447" i="1"/>
  <c r="G446" i="1"/>
  <c r="E446" i="1"/>
  <c r="C446" i="1"/>
  <c r="G445" i="1"/>
  <c r="E445" i="1"/>
  <c r="C445" i="1"/>
  <c r="G444" i="1"/>
  <c r="E444" i="1"/>
  <c r="C444" i="1"/>
  <c r="G443" i="1"/>
  <c r="E443" i="1"/>
  <c r="C443" i="1"/>
  <c r="G442" i="1"/>
  <c r="E442" i="1"/>
  <c r="C442" i="1"/>
  <c r="G441" i="1"/>
  <c r="E441" i="1"/>
  <c r="C441" i="1"/>
  <c r="G440" i="1"/>
  <c r="E440" i="1"/>
  <c r="C440" i="1"/>
  <c r="G439" i="1"/>
  <c r="E439" i="1"/>
  <c r="C439" i="1"/>
  <c r="G438" i="1"/>
  <c r="E438" i="1"/>
  <c r="C438" i="1"/>
  <c r="G437" i="1"/>
  <c r="E437" i="1"/>
  <c r="C437" i="1"/>
  <c r="G436" i="1"/>
  <c r="E436" i="1"/>
  <c r="C436" i="1"/>
  <c r="G435" i="1"/>
  <c r="E435" i="1"/>
  <c r="C435" i="1"/>
  <c r="G434" i="1"/>
  <c r="E434" i="1"/>
  <c r="C434" i="1"/>
  <c r="G433" i="1"/>
  <c r="E433" i="1"/>
  <c r="C433" i="1"/>
  <c r="G432" i="1"/>
  <c r="E432" i="1"/>
  <c r="C432" i="1"/>
  <c r="G431" i="1"/>
  <c r="E431" i="1"/>
  <c r="C431" i="1"/>
  <c r="G430" i="1"/>
  <c r="E430" i="1"/>
  <c r="C430" i="1"/>
  <c r="G429" i="1"/>
  <c r="E429" i="1"/>
  <c r="C429" i="1"/>
  <c r="G428" i="1"/>
  <c r="E428" i="1"/>
  <c r="C428" i="1"/>
  <c r="G427" i="1"/>
  <c r="E427" i="1"/>
  <c r="C427" i="1"/>
  <c r="G426" i="1"/>
  <c r="E426" i="1"/>
  <c r="C426" i="1"/>
  <c r="G425" i="1"/>
  <c r="E425" i="1"/>
  <c r="C425" i="1"/>
  <c r="G424" i="1"/>
  <c r="E424" i="1"/>
  <c r="C424" i="1"/>
  <c r="G423" i="1"/>
  <c r="E423" i="1"/>
  <c r="C423" i="1"/>
  <c r="G422" i="1"/>
  <c r="E422" i="1"/>
  <c r="C422" i="1"/>
  <c r="G421" i="1"/>
  <c r="E421" i="1"/>
  <c r="C421" i="1"/>
  <c r="G420" i="1"/>
  <c r="E420" i="1"/>
  <c r="C420" i="1"/>
  <c r="G419" i="1"/>
  <c r="E419" i="1"/>
  <c r="C419" i="1"/>
  <c r="G418" i="1"/>
  <c r="E418" i="1"/>
  <c r="C418" i="1"/>
  <c r="G417" i="1"/>
  <c r="E417" i="1"/>
  <c r="C417" i="1"/>
  <c r="G416" i="1"/>
  <c r="E416" i="1"/>
  <c r="C416" i="1"/>
  <c r="G415" i="1"/>
  <c r="E415" i="1"/>
  <c r="C415" i="1"/>
  <c r="G414" i="1"/>
  <c r="E414" i="1"/>
  <c r="C414" i="1"/>
  <c r="G413" i="1"/>
  <c r="E413" i="1"/>
  <c r="C413" i="1"/>
  <c r="G412" i="1"/>
  <c r="E412" i="1"/>
  <c r="C412" i="1"/>
  <c r="G411" i="1"/>
  <c r="E411" i="1"/>
  <c r="C411" i="1"/>
  <c r="G410" i="1"/>
  <c r="E410" i="1"/>
  <c r="C410" i="1"/>
  <c r="G409" i="1"/>
  <c r="E409" i="1"/>
  <c r="C409" i="1"/>
  <c r="G408" i="1"/>
  <c r="E408" i="1"/>
  <c r="C408" i="1"/>
  <c r="G407" i="1"/>
  <c r="E407" i="1"/>
  <c r="C407" i="1"/>
  <c r="G406" i="1"/>
  <c r="E406" i="1"/>
  <c r="C406" i="1"/>
  <c r="G405" i="1"/>
  <c r="E405" i="1"/>
  <c r="C405" i="1"/>
  <c r="G404" i="1"/>
  <c r="E404" i="1"/>
  <c r="C404" i="1"/>
  <c r="G403" i="1"/>
  <c r="E403" i="1"/>
  <c r="C403" i="1"/>
  <c r="G402" i="1"/>
  <c r="E402" i="1"/>
  <c r="C402" i="1"/>
  <c r="G401" i="1"/>
  <c r="E401" i="1"/>
  <c r="C401" i="1"/>
  <c r="G400" i="1"/>
  <c r="E400" i="1"/>
  <c r="C400" i="1"/>
  <c r="G399" i="1"/>
  <c r="E399" i="1"/>
  <c r="C399" i="1"/>
  <c r="G398" i="1"/>
  <c r="E398" i="1"/>
  <c r="C398" i="1"/>
  <c r="G397" i="1"/>
  <c r="E397" i="1"/>
  <c r="C397" i="1"/>
  <c r="G396" i="1"/>
  <c r="E396" i="1"/>
  <c r="C396" i="1"/>
  <c r="G395" i="1"/>
  <c r="E395" i="1"/>
  <c r="C395" i="1"/>
  <c r="G394" i="1"/>
  <c r="E394" i="1"/>
  <c r="C394" i="1"/>
  <c r="G393" i="1"/>
  <c r="E393" i="1"/>
  <c r="C393" i="1"/>
  <c r="G392" i="1"/>
  <c r="E392" i="1"/>
  <c r="C392" i="1"/>
  <c r="G391" i="1"/>
  <c r="E391" i="1"/>
  <c r="C391" i="1"/>
  <c r="G390" i="1"/>
  <c r="E390" i="1"/>
  <c r="C390" i="1"/>
  <c r="G389" i="1"/>
  <c r="E389" i="1"/>
  <c r="C389" i="1"/>
  <c r="G388" i="1"/>
  <c r="E388" i="1"/>
  <c r="C388" i="1"/>
  <c r="G387" i="1"/>
  <c r="E387" i="1"/>
  <c r="C387" i="1"/>
  <c r="G386" i="1"/>
  <c r="E386" i="1"/>
  <c r="C386" i="1"/>
  <c r="G385" i="1"/>
  <c r="E385" i="1"/>
  <c r="C385" i="1"/>
  <c r="G384" i="1"/>
  <c r="E384" i="1"/>
  <c r="C384" i="1"/>
  <c r="G383" i="1"/>
  <c r="E383" i="1"/>
  <c r="C383" i="1"/>
  <c r="G382" i="1"/>
  <c r="E382" i="1"/>
  <c r="C382" i="1"/>
  <c r="G381" i="1"/>
  <c r="E381" i="1"/>
  <c r="C381" i="1"/>
  <c r="G380" i="1"/>
  <c r="E380" i="1"/>
  <c r="C380" i="1"/>
  <c r="G379" i="1"/>
  <c r="E379" i="1"/>
  <c r="C379" i="1"/>
  <c r="G378" i="1"/>
  <c r="E378" i="1"/>
  <c r="C378" i="1"/>
  <c r="G377" i="1"/>
  <c r="E377" i="1"/>
  <c r="C377" i="1"/>
  <c r="G376" i="1"/>
  <c r="E376" i="1"/>
  <c r="C376" i="1"/>
  <c r="G375" i="1"/>
  <c r="E375" i="1"/>
  <c r="C375" i="1"/>
  <c r="G374" i="1"/>
  <c r="E374" i="1"/>
  <c r="C374" i="1"/>
  <c r="G373" i="1"/>
  <c r="E373" i="1"/>
  <c r="C373" i="1"/>
  <c r="G372" i="1"/>
  <c r="E372" i="1"/>
  <c r="C372" i="1"/>
  <c r="G371" i="1"/>
  <c r="E371" i="1"/>
  <c r="C371" i="1"/>
  <c r="G370" i="1"/>
  <c r="E370" i="1"/>
  <c r="C370" i="1"/>
  <c r="G369" i="1"/>
  <c r="E369" i="1"/>
  <c r="C369" i="1"/>
  <c r="G368" i="1"/>
  <c r="E368" i="1"/>
  <c r="C368" i="1"/>
  <c r="G367" i="1"/>
  <c r="E367" i="1"/>
  <c r="C367" i="1"/>
  <c r="G366" i="1"/>
  <c r="E366" i="1"/>
  <c r="C366" i="1"/>
  <c r="G365" i="1"/>
  <c r="E365" i="1"/>
  <c r="C365" i="1"/>
  <c r="G364" i="1"/>
  <c r="E364" i="1"/>
  <c r="C364" i="1"/>
  <c r="G363" i="1"/>
  <c r="E363" i="1"/>
  <c r="C363" i="1"/>
  <c r="G362" i="1"/>
  <c r="E362" i="1"/>
  <c r="C362" i="1"/>
  <c r="G361" i="1"/>
  <c r="E361" i="1"/>
  <c r="C361" i="1"/>
  <c r="G360" i="1"/>
  <c r="E360" i="1"/>
  <c r="C360" i="1"/>
  <c r="G359" i="1"/>
  <c r="E359" i="1"/>
  <c r="C359" i="1"/>
  <c r="G358" i="1"/>
  <c r="E358" i="1"/>
  <c r="C358" i="1"/>
  <c r="G357" i="1"/>
  <c r="E357" i="1"/>
  <c r="C357" i="1"/>
  <c r="G356" i="1"/>
  <c r="E356" i="1"/>
  <c r="C356" i="1"/>
  <c r="G355" i="1"/>
  <c r="E355" i="1"/>
  <c r="C355" i="1"/>
  <c r="G354" i="1"/>
  <c r="E354" i="1"/>
  <c r="C354" i="1"/>
  <c r="G353" i="1"/>
  <c r="E353" i="1"/>
  <c r="C353" i="1"/>
  <c r="G352" i="1"/>
  <c r="E352" i="1"/>
  <c r="C352" i="1"/>
  <c r="G351" i="1"/>
  <c r="E351" i="1"/>
  <c r="C351" i="1"/>
  <c r="G350" i="1"/>
  <c r="E350" i="1"/>
  <c r="C350" i="1"/>
  <c r="G349" i="1"/>
  <c r="E349" i="1"/>
  <c r="C349" i="1"/>
  <c r="G348" i="1"/>
  <c r="E348" i="1"/>
  <c r="C348" i="1"/>
  <c r="G347" i="1"/>
  <c r="E347" i="1"/>
  <c r="C347" i="1"/>
  <c r="G346" i="1"/>
  <c r="E346" i="1"/>
  <c r="C346" i="1"/>
  <c r="G345" i="1"/>
  <c r="E345" i="1"/>
  <c r="C345" i="1"/>
  <c r="G344" i="1"/>
  <c r="E344" i="1"/>
  <c r="C344" i="1"/>
  <c r="G343" i="1"/>
  <c r="E343" i="1"/>
  <c r="C343" i="1"/>
  <c r="G342" i="1"/>
  <c r="E342" i="1"/>
  <c r="C342" i="1"/>
  <c r="G341" i="1"/>
  <c r="E341" i="1"/>
  <c r="C341" i="1"/>
  <c r="G340" i="1"/>
  <c r="E340" i="1"/>
  <c r="C340" i="1"/>
  <c r="G339" i="1"/>
  <c r="E339" i="1"/>
  <c r="C339" i="1"/>
  <c r="G338" i="1"/>
  <c r="E338" i="1"/>
  <c r="C338" i="1"/>
  <c r="G337" i="1"/>
  <c r="E337" i="1"/>
  <c r="C337" i="1"/>
  <c r="G336" i="1"/>
  <c r="E336" i="1"/>
  <c r="C336" i="1"/>
  <c r="G335" i="1"/>
  <c r="E335" i="1"/>
  <c r="C335" i="1"/>
  <c r="G334" i="1"/>
  <c r="E334" i="1"/>
  <c r="C334" i="1"/>
  <c r="G333" i="1"/>
  <c r="E333" i="1"/>
  <c r="C333" i="1"/>
  <c r="G332" i="1"/>
  <c r="E332" i="1"/>
  <c r="C332" i="1"/>
  <c r="G331" i="1"/>
  <c r="E331" i="1"/>
  <c r="C331" i="1"/>
  <c r="G330" i="1"/>
  <c r="E330" i="1"/>
  <c r="C330" i="1"/>
  <c r="G329" i="1"/>
  <c r="E329" i="1"/>
  <c r="C329" i="1"/>
  <c r="G328" i="1"/>
  <c r="E328" i="1"/>
  <c r="C328" i="1"/>
  <c r="G327" i="1"/>
  <c r="E327" i="1"/>
  <c r="C327" i="1"/>
  <c r="G326" i="1"/>
  <c r="E326" i="1"/>
  <c r="C326" i="1"/>
  <c r="G325" i="1"/>
  <c r="E325" i="1"/>
  <c r="C325" i="1"/>
  <c r="G324" i="1"/>
  <c r="E324" i="1"/>
  <c r="C324" i="1"/>
  <c r="G323" i="1"/>
  <c r="E323" i="1"/>
  <c r="C323" i="1"/>
  <c r="G322" i="1"/>
  <c r="E322" i="1"/>
  <c r="C322" i="1"/>
  <c r="G321" i="1"/>
  <c r="E321" i="1"/>
  <c r="C321" i="1"/>
  <c r="G320" i="1"/>
  <c r="E320" i="1"/>
  <c r="C320" i="1"/>
  <c r="G319" i="1"/>
  <c r="E319" i="1"/>
  <c r="C319" i="1"/>
  <c r="G318" i="1"/>
  <c r="E318" i="1"/>
  <c r="C318" i="1"/>
  <c r="G317" i="1"/>
  <c r="E317" i="1"/>
  <c r="C317" i="1"/>
  <c r="G316" i="1"/>
  <c r="E316" i="1"/>
  <c r="C316" i="1"/>
  <c r="G315" i="1"/>
  <c r="E315" i="1"/>
  <c r="C315" i="1"/>
  <c r="G314" i="1"/>
  <c r="E314" i="1"/>
  <c r="C314" i="1"/>
  <c r="G313" i="1"/>
  <c r="E313" i="1"/>
  <c r="C313" i="1"/>
  <c r="G312" i="1"/>
  <c r="E312" i="1"/>
  <c r="C312" i="1"/>
  <c r="G311" i="1"/>
  <c r="E311" i="1"/>
  <c r="C311" i="1"/>
  <c r="G310" i="1"/>
  <c r="E310" i="1"/>
  <c r="C310" i="1"/>
  <c r="G309" i="1"/>
  <c r="E309" i="1"/>
  <c r="C309" i="1"/>
  <c r="G308" i="1"/>
  <c r="E308" i="1"/>
  <c r="C308" i="1"/>
  <c r="G307" i="1"/>
  <c r="E307" i="1"/>
  <c r="C307" i="1"/>
  <c r="G306" i="1"/>
  <c r="E306" i="1"/>
  <c r="C306" i="1"/>
  <c r="G305" i="1"/>
  <c r="E305" i="1"/>
  <c r="C305" i="1"/>
  <c r="G304" i="1"/>
  <c r="E304" i="1"/>
  <c r="C304" i="1"/>
  <c r="G303" i="1"/>
  <c r="E303" i="1"/>
  <c r="C303" i="1"/>
  <c r="G302" i="1"/>
  <c r="E302" i="1"/>
  <c r="C302" i="1"/>
  <c r="G301" i="1"/>
  <c r="E301" i="1"/>
  <c r="C301" i="1"/>
  <c r="G300" i="1"/>
  <c r="E300" i="1"/>
  <c r="C300" i="1"/>
  <c r="G299" i="1"/>
  <c r="E299" i="1"/>
  <c r="C299" i="1"/>
  <c r="G298" i="1"/>
  <c r="E298" i="1"/>
  <c r="C298" i="1"/>
  <c r="G297" i="1"/>
  <c r="E297" i="1"/>
  <c r="C297" i="1"/>
  <c r="G296" i="1"/>
  <c r="E296" i="1"/>
  <c r="C296" i="1"/>
  <c r="G295" i="1"/>
  <c r="E295" i="1"/>
  <c r="C295" i="1"/>
  <c r="G294" i="1"/>
  <c r="E294" i="1"/>
  <c r="C294" i="1"/>
  <c r="G293" i="1"/>
  <c r="E293" i="1"/>
  <c r="C293" i="1"/>
  <c r="G292" i="1"/>
  <c r="E292" i="1"/>
  <c r="C292" i="1"/>
  <c r="G291" i="1"/>
  <c r="E291" i="1"/>
  <c r="C291" i="1"/>
  <c r="G290" i="1"/>
  <c r="E290" i="1"/>
  <c r="C290" i="1"/>
  <c r="G289" i="1"/>
  <c r="E289" i="1"/>
  <c r="C289" i="1"/>
  <c r="G288" i="1"/>
  <c r="E288" i="1"/>
  <c r="C288" i="1"/>
  <c r="G287" i="1"/>
  <c r="E287" i="1"/>
  <c r="C287" i="1"/>
  <c r="G286" i="1"/>
  <c r="E286" i="1"/>
  <c r="C286" i="1"/>
  <c r="G285" i="1"/>
  <c r="E285" i="1"/>
  <c r="C285" i="1"/>
  <c r="G284" i="1"/>
  <c r="E284" i="1"/>
  <c r="C284" i="1"/>
  <c r="G283" i="1"/>
  <c r="E283" i="1"/>
  <c r="C283" i="1"/>
  <c r="G282" i="1"/>
  <c r="E282" i="1"/>
  <c r="C282" i="1"/>
  <c r="G281" i="1"/>
  <c r="E281" i="1"/>
  <c r="C281" i="1"/>
  <c r="G280" i="1"/>
  <c r="E280" i="1"/>
  <c r="C280" i="1"/>
  <c r="G279" i="1"/>
  <c r="E279" i="1"/>
  <c r="C279" i="1"/>
  <c r="G278" i="1"/>
  <c r="E278" i="1"/>
  <c r="C278" i="1"/>
  <c r="G277" i="1"/>
  <c r="E277" i="1"/>
  <c r="C277" i="1"/>
  <c r="G276" i="1"/>
  <c r="E276" i="1"/>
  <c r="C276" i="1"/>
  <c r="G275" i="1"/>
  <c r="E275" i="1"/>
  <c r="C275" i="1"/>
  <c r="G274" i="1"/>
  <c r="E274" i="1"/>
  <c r="C274" i="1"/>
  <c r="G273" i="1"/>
  <c r="E273" i="1"/>
  <c r="C273" i="1"/>
  <c r="G272" i="1"/>
  <c r="E272" i="1"/>
  <c r="C272" i="1"/>
  <c r="G271" i="1"/>
  <c r="E271" i="1"/>
  <c r="C271" i="1"/>
  <c r="G270" i="1"/>
  <c r="E270" i="1"/>
  <c r="C270" i="1"/>
  <c r="G269" i="1"/>
  <c r="E269" i="1"/>
  <c r="C269" i="1"/>
  <c r="G268" i="1"/>
  <c r="E268" i="1"/>
  <c r="C268" i="1"/>
  <c r="G267" i="1"/>
  <c r="E267" i="1"/>
  <c r="C267" i="1"/>
  <c r="G266" i="1"/>
  <c r="E266" i="1"/>
  <c r="C266" i="1"/>
  <c r="G265" i="1"/>
  <c r="E265" i="1"/>
  <c r="C265" i="1"/>
  <c r="G264" i="1"/>
  <c r="E264" i="1"/>
  <c r="C264" i="1"/>
  <c r="G263" i="1"/>
  <c r="E263" i="1"/>
  <c r="C263" i="1"/>
  <c r="G262" i="1"/>
  <c r="E262" i="1"/>
  <c r="C262" i="1"/>
  <c r="G261" i="1"/>
  <c r="E261" i="1"/>
  <c r="C261" i="1"/>
  <c r="G260" i="1"/>
  <c r="E260" i="1"/>
  <c r="C260" i="1"/>
  <c r="G259" i="1"/>
  <c r="E259" i="1"/>
  <c r="C259" i="1"/>
  <c r="G258" i="1"/>
  <c r="E258" i="1"/>
  <c r="C258" i="1"/>
  <c r="G257" i="1"/>
  <c r="E257" i="1"/>
  <c r="C257" i="1"/>
  <c r="G256" i="1"/>
  <c r="E256" i="1"/>
  <c r="C256" i="1"/>
  <c r="G255" i="1"/>
  <c r="E255" i="1"/>
  <c r="C255" i="1"/>
  <c r="G254" i="1"/>
  <c r="E254" i="1"/>
  <c r="C254" i="1"/>
  <c r="G253" i="1"/>
  <c r="E253" i="1"/>
  <c r="C253" i="1"/>
  <c r="G252" i="1"/>
  <c r="E252" i="1"/>
  <c r="C252" i="1"/>
  <c r="G251" i="1"/>
  <c r="E251" i="1"/>
  <c r="C251" i="1"/>
  <c r="G250" i="1"/>
  <c r="E250" i="1"/>
  <c r="C250" i="1"/>
  <c r="G249" i="1"/>
  <c r="E249" i="1"/>
  <c r="C249" i="1"/>
  <c r="G248" i="1"/>
  <c r="E248" i="1"/>
  <c r="C248" i="1"/>
  <c r="G247" i="1"/>
  <c r="E247" i="1"/>
  <c r="C247" i="1"/>
  <c r="G246" i="1"/>
  <c r="E246" i="1"/>
  <c r="C246" i="1"/>
  <c r="G245" i="1"/>
  <c r="E245" i="1"/>
  <c r="C245" i="1"/>
  <c r="G244" i="1"/>
  <c r="E244" i="1"/>
  <c r="C244" i="1"/>
  <c r="G243" i="1"/>
  <c r="E243" i="1"/>
  <c r="C243" i="1"/>
  <c r="G242" i="1"/>
  <c r="E242" i="1"/>
  <c r="C242" i="1"/>
  <c r="G241" i="1"/>
  <c r="E241" i="1"/>
  <c r="C241" i="1"/>
  <c r="G240" i="1"/>
  <c r="E240" i="1"/>
  <c r="C240" i="1"/>
  <c r="G239" i="1"/>
  <c r="E239" i="1"/>
  <c r="C239" i="1"/>
  <c r="G238" i="1"/>
  <c r="E238" i="1"/>
  <c r="C238" i="1"/>
  <c r="G237" i="1"/>
  <c r="E237" i="1"/>
  <c r="C237" i="1"/>
  <c r="G236" i="1"/>
  <c r="E236" i="1"/>
  <c r="C236" i="1"/>
  <c r="G235" i="1"/>
  <c r="E235" i="1"/>
  <c r="C235" i="1"/>
  <c r="G234" i="1"/>
  <c r="E234" i="1"/>
  <c r="C234" i="1"/>
  <c r="G233" i="1"/>
  <c r="E233" i="1"/>
  <c r="C233" i="1"/>
  <c r="G232" i="1"/>
  <c r="E232" i="1"/>
  <c r="C232" i="1"/>
  <c r="G231" i="1"/>
  <c r="E231" i="1"/>
  <c r="C231" i="1"/>
  <c r="G230" i="1"/>
  <c r="E230" i="1"/>
  <c r="C230" i="1"/>
  <c r="G229" i="1"/>
  <c r="E229" i="1"/>
  <c r="C229" i="1"/>
  <c r="G228" i="1"/>
  <c r="E228" i="1"/>
  <c r="C228" i="1"/>
  <c r="G227" i="1"/>
  <c r="E227" i="1"/>
  <c r="C227" i="1"/>
  <c r="G226" i="1"/>
  <c r="E226" i="1"/>
  <c r="C226" i="1"/>
  <c r="G225" i="1"/>
  <c r="E225" i="1"/>
  <c r="C225" i="1"/>
  <c r="G224" i="1"/>
  <c r="E224" i="1"/>
  <c r="C224" i="1"/>
  <c r="G223" i="1"/>
  <c r="E223" i="1"/>
  <c r="C223" i="1"/>
  <c r="G222" i="1"/>
  <c r="E222" i="1"/>
  <c r="C222" i="1"/>
  <c r="G221" i="1"/>
  <c r="E221" i="1"/>
  <c r="C221" i="1"/>
  <c r="G220" i="1"/>
  <c r="E220" i="1"/>
  <c r="C220" i="1"/>
  <c r="G219" i="1"/>
  <c r="E219" i="1"/>
  <c r="C219" i="1"/>
  <c r="G218" i="1"/>
  <c r="E218" i="1"/>
  <c r="C218" i="1"/>
  <c r="G217" i="1"/>
  <c r="E217" i="1"/>
  <c r="C217" i="1"/>
  <c r="G216" i="1"/>
  <c r="E216" i="1"/>
  <c r="C216" i="1"/>
  <c r="G215" i="1"/>
  <c r="E215" i="1"/>
  <c r="C215" i="1"/>
  <c r="G214" i="1"/>
  <c r="E214" i="1"/>
  <c r="C214" i="1"/>
  <c r="G213" i="1"/>
  <c r="E213" i="1"/>
  <c r="C213" i="1"/>
  <c r="G212" i="1"/>
  <c r="E212" i="1"/>
  <c r="C212" i="1"/>
  <c r="G211" i="1"/>
  <c r="E211" i="1"/>
  <c r="C211" i="1"/>
  <c r="G210" i="1"/>
  <c r="E210" i="1"/>
  <c r="C210" i="1"/>
  <c r="G209" i="1"/>
  <c r="E209" i="1"/>
  <c r="C209" i="1"/>
  <c r="G208" i="1"/>
  <c r="E208" i="1"/>
  <c r="C208" i="1"/>
  <c r="G207" i="1"/>
  <c r="E207" i="1"/>
  <c r="C207" i="1"/>
  <c r="G206" i="1"/>
  <c r="E206" i="1"/>
  <c r="C206" i="1"/>
  <c r="G205" i="1"/>
  <c r="E205" i="1"/>
  <c r="C205" i="1"/>
  <c r="G204" i="1"/>
  <c r="E204" i="1"/>
  <c r="C204" i="1"/>
  <c r="G203" i="1"/>
  <c r="E203" i="1"/>
  <c r="C203" i="1"/>
  <c r="G202" i="1"/>
  <c r="E202" i="1"/>
  <c r="C202" i="1"/>
  <c r="G201" i="1"/>
  <c r="E201" i="1"/>
  <c r="C201" i="1"/>
  <c r="G200" i="1"/>
  <c r="E200" i="1"/>
  <c r="C200" i="1"/>
  <c r="G199" i="1"/>
  <c r="E199" i="1"/>
  <c r="C199" i="1"/>
  <c r="G198" i="1"/>
  <c r="E198" i="1"/>
  <c r="C198" i="1"/>
  <c r="G197" i="1"/>
  <c r="E197" i="1"/>
  <c r="C197" i="1"/>
  <c r="G196" i="1"/>
  <c r="E196" i="1"/>
  <c r="C196" i="1"/>
  <c r="G195" i="1"/>
  <c r="E195" i="1"/>
  <c r="C195" i="1"/>
  <c r="G194" i="1"/>
  <c r="E194" i="1"/>
  <c r="C194" i="1"/>
  <c r="G193" i="1"/>
  <c r="E193" i="1"/>
  <c r="C193" i="1"/>
  <c r="G192" i="1"/>
  <c r="E192" i="1"/>
  <c r="C192" i="1"/>
  <c r="G191" i="1"/>
  <c r="E191" i="1"/>
  <c r="C191" i="1"/>
  <c r="G190" i="1"/>
  <c r="E190" i="1"/>
  <c r="C190" i="1"/>
  <c r="G189" i="1"/>
  <c r="E189" i="1"/>
  <c r="C189" i="1"/>
  <c r="G188" i="1"/>
  <c r="E188" i="1"/>
  <c r="C188" i="1"/>
  <c r="G187" i="1"/>
  <c r="E187" i="1"/>
  <c r="C187" i="1"/>
  <c r="G186" i="1"/>
  <c r="E186" i="1"/>
  <c r="C186" i="1"/>
  <c r="G185" i="1"/>
  <c r="E185" i="1"/>
  <c r="C185" i="1"/>
  <c r="G184" i="1"/>
  <c r="E184" i="1"/>
  <c r="C184" i="1"/>
  <c r="G183" i="1"/>
  <c r="E183" i="1"/>
  <c r="C183" i="1"/>
  <c r="G182" i="1"/>
  <c r="E182" i="1"/>
  <c r="C182" i="1"/>
  <c r="G181" i="1"/>
  <c r="E181" i="1"/>
  <c r="C181" i="1"/>
  <c r="G180" i="1"/>
  <c r="E180" i="1"/>
  <c r="C180" i="1"/>
  <c r="G179" i="1"/>
  <c r="E179" i="1"/>
  <c r="C179" i="1"/>
  <c r="G178" i="1"/>
  <c r="E178" i="1"/>
  <c r="C178" i="1"/>
  <c r="G177" i="1"/>
  <c r="E177" i="1"/>
  <c r="C177" i="1"/>
  <c r="G176" i="1"/>
  <c r="E176" i="1"/>
  <c r="C176" i="1"/>
  <c r="G175" i="1"/>
  <c r="E175" i="1"/>
  <c r="C175" i="1"/>
  <c r="G174" i="1"/>
  <c r="E174" i="1"/>
  <c r="C174" i="1"/>
  <c r="G173" i="1"/>
  <c r="E173" i="1"/>
  <c r="C173" i="1"/>
  <c r="G172" i="1"/>
  <c r="E172" i="1"/>
  <c r="C172" i="1"/>
  <c r="G171" i="1"/>
  <c r="E171" i="1"/>
  <c r="C171" i="1"/>
  <c r="G170" i="1"/>
  <c r="E170" i="1"/>
  <c r="C170" i="1"/>
  <c r="G169" i="1"/>
  <c r="E169" i="1"/>
  <c r="C169" i="1"/>
  <c r="G168" i="1"/>
  <c r="E168" i="1"/>
  <c r="C168" i="1"/>
  <c r="G167" i="1"/>
  <c r="E167" i="1"/>
  <c r="C167" i="1"/>
  <c r="G166" i="1"/>
  <c r="E166" i="1"/>
  <c r="C166" i="1"/>
  <c r="G165" i="1"/>
  <c r="E165" i="1"/>
  <c r="C165" i="1"/>
  <c r="G164" i="1"/>
  <c r="E164" i="1"/>
  <c r="C164" i="1"/>
  <c r="G163" i="1"/>
  <c r="E163" i="1"/>
  <c r="C163" i="1"/>
  <c r="G162" i="1"/>
  <c r="E162" i="1"/>
  <c r="C162" i="1"/>
  <c r="G161" i="1"/>
  <c r="E161" i="1"/>
  <c r="C161" i="1"/>
  <c r="G160" i="1"/>
  <c r="E160" i="1"/>
  <c r="C160" i="1"/>
  <c r="G159" i="1"/>
  <c r="E159" i="1"/>
  <c r="C159" i="1"/>
  <c r="G158" i="1"/>
  <c r="E158" i="1"/>
  <c r="C158" i="1"/>
  <c r="G157" i="1"/>
  <c r="E157" i="1"/>
  <c r="C157" i="1"/>
  <c r="G156" i="1"/>
  <c r="E156" i="1"/>
  <c r="C156" i="1"/>
  <c r="G155" i="1"/>
  <c r="E155" i="1"/>
  <c r="C155" i="1"/>
  <c r="G154" i="1"/>
  <c r="E154" i="1"/>
  <c r="C154" i="1"/>
  <c r="G153" i="1"/>
  <c r="E153" i="1"/>
  <c r="C153" i="1"/>
  <c r="G152" i="1"/>
  <c r="E152" i="1"/>
  <c r="C152" i="1"/>
  <c r="G151" i="1"/>
  <c r="E151" i="1"/>
  <c r="C151" i="1"/>
  <c r="G150" i="1"/>
  <c r="E150" i="1"/>
  <c r="C150" i="1"/>
  <c r="G149" i="1"/>
  <c r="E149" i="1"/>
  <c r="C149" i="1"/>
  <c r="G148" i="1"/>
  <c r="E148" i="1"/>
  <c r="C148" i="1"/>
  <c r="G147" i="1"/>
  <c r="E147" i="1"/>
  <c r="C147" i="1"/>
  <c r="G146" i="1"/>
  <c r="E146" i="1"/>
  <c r="C146" i="1"/>
  <c r="G145" i="1"/>
  <c r="E145" i="1"/>
  <c r="C145" i="1"/>
  <c r="G144" i="1"/>
  <c r="E144" i="1"/>
  <c r="C144" i="1"/>
  <c r="G143" i="1"/>
  <c r="E143" i="1"/>
  <c r="C143" i="1"/>
  <c r="G142" i="1"/>
  <c r="E142" i="1"/>
  <c r="C142" i="1"/>
  <c r="G141" i="1"/>
  <c r="E141" i="1"/>
  <c r="C141" i="1"/>
  <c r="G140" i="1"/>
  <c r="E140" i="1"/>
  <c r="C140" i="1"/>
  <c r="G139" i="1"/>
  <c r="E139" i="1"/>
  <c r="C139" i="1"/>
  <c r="G138" i="1"/>
  <c r="E138" i="1"/>
  <c r="C138" i="1"/>
  <c r="G137" i="1"/>
  <c r="E137" i="1"/>
  <c r="C137" i="1"/>
  <c r="G136" i="1"/>
  <c r="E136" i="1"/>
  <c r="C136" i="1"/>
  <c r="G135" i="1"/>
  <c r="E135" i="1"/>
  <c r="C135" i="1"/>
  <c r="G134" i="1"/>
  <c r="E134" i="1"/>
  <c r="C134" i="1"/>
  <c r="G133" i="1"/>
  <c r="E133" i="1"/>
  <c r="C133" i="1"/>
  <c r="G132" i="1"/>
  <c r="E132" i="1"/>
  <c r="C132" i="1"/>
  <c r="G131" i="1"/>
  <c r="E131" i="1"/>
  <c r="C131" i="1"/>
  <c r="G130" i="1"/>
  <c r="E130" i="1"/>
  <c r="C130" i="1"/>
  <c r="G129" i="1"/>
  <c r="E129" i="1"/>
  <c r="C129" i="1"/>
  <c r="G128" i="1"/>
  <c r="E128" i="1"/>
  <c r="C128" i="1"/>
  <c r="G127" i="1"/>
  <c r="E127" i="1"/>
  <c r="C127" i="1"/>
  <c r="G126" i="1"/>
  <c r="E126" i="1"/>
  <c r="C126" i="1"/>
  <c r="G125" i="1"/>
  <c r="E125" i="1"/>
  <c r="C125" i="1"/>
  <c r="G124" i="1"/>
  <c r="E124" i="1"/>
  <c r="C124" i="1"/>
  <c r="G123" i="1"/>
  <c r="E123" i="1"/>
  <c r="C123" i="1"/>
  <c r="G122" i="1"/>
  <c r="E122" i="1"/>
  <c r="C122" i="1"/>
  <c r="G121" i="1"/>
  <c r="E121" i="1"/>
  <c r="C121" i="1"/>
  <c r="G120" i="1"/>
  <c r="E120" i="1"/>
  <c r="C120" i="1"/>
  <c r="G119" i="1"/>
  <c r="E119" i="1"/>
  <c r="C119" i="1"/>
  <c r="G118" i="1"/>
  <c r="E118" i="1"/>
  <c r="C118" i="1"/>
  <c r="G117" i="1"/>
  <c r="E117" i="1"/>
  <c r="C117" i="1"/>
  <c r="G116" i="1"/>
  <c r="E116" i="1"/>
  <c r="C116" i="1"/>
  <c r="G115" i="1"/>
  <c r="E115" i="1"/>
  <c r="C115" i="1"/>
  <c r="G114" i="1"/>
  <c r="E114" i="1"/>
  <c r="C114" i="1"/>
  <c r="G113" i="1"/>
  <c r="E113" i="1"/>
  <c r="C113" i="1"/>
  <c r="G112" i="1"/>
  <c r="E112" i="1"/>
  <c r="C112" i="1"/>
  <c r="G111" i="1"/>
  <c r="E111" i="1"/>
  <c r="C111" i="1"/>
  <c r="G110" i="1"/>
  <c r="E110" i="1"/>
  <c r="C110" i="1"/>
  <c r="G109" i="1"/>
  <c r="E109" i="1"/>
  <c r="C109" i="1"/>
  <c r="G108" i="1"/>
  <c r="E108" i="1"/>
  <c r="C108" i="1"/>
  <c r="G107" i="1"/>
  <c r="E107" i="1"/>
  <c r="C107" i="1"/>
  <c r="G106" i="1"/>
  <c r="E106" i="1"/>
  <c r="C106" i="1"/>
  <c r="G105" i="1"/>
  <c r="E105" i="1"/>
  <c r="C105" i="1"/>
  <c r="G104" i="1"/>
  <c r="E104" i="1"/>
  <c r="C104" i="1"/>
  <c r="G103" i="1"/>
  <c r="E103" i="1"/>
  <c r="C103" i="1"/>
  <c r="G102" i="1"/>
  <c r="E102" i="1"/>
  <c r="C102" i="1"/>
  <c r="G101" i="1"/>
  <c r="E101" i="1"/>
  <c r="C101" i="1"/>
  <c r="G100" i="1"/>
  <c r="E100" i="1"/>
  <c r="C100" i="1"/>
  <c r="G99" i="1"/>
  <c r="E99" i="1"/>
  <c r="C99" i="1"/>
  <c r="G98" i="1"/>
  <c r="E98" i="1"/>
  <c r="C98" i="1"/>
  <c r="G97" i="1"/>
  <c r="E97" i="1"/>
  <c r="C97" i="1"/>
  <c r="G96" i="1"/>
  <c r="E96" i="1"/>
  <c r="C96" i="1"/>
  <c r="G95" i="1"/>
  <c r="E95" i="1"/>
  <c r="C95" i="1"/>
  <c r="G94" i="1"/>
  <c r="E94" i="1"/>
  <c r="C94" i="1"/>
  <c r="G93" i="1"/>
  <c r="E93" i="1"/>
  <c r="C93" i="1"/>
  <c r="G92" i="1"/>
  <c r="E92" i="1"/>
  <c r="C92" i="1"/>
  <c r="G91" i="1"/>
  <c r="E91" i="1"/>
  <c r="C91" i="1"/>
  <c r="G90" i="1"/>
  <c r="E90" i="1"/>
  <c r="C90" i="1"/>
  <c r="G89" i="1"/>
  <c r="E89" i="1"/>
  <c r="C89" i="1"/>
  <c r="G88" i="1"/>
  <c r="E88" i="1"/>
  <c r="C88" i="1"/>
  <c r="G87" i="1"/>
  <c r="E87" i="1"/>
  <c r="C87" i="1"/>
  <c r="G86" i="1"/>
  <c r="E86" i="1"/>
  <c r="C86" i="1"/>
  <c r="G85" i="1"/>
  <c r="E85" i="1"/>
  <c r="C85" i="1"/>
  <c r="G84" i="1"/>
  <c r="E84" i="1"/>
  <c r="C84" i="1"/>
  <c r="G83" i="1"/>
  <c r="E83" i="1"/>
  <c r="C83" i="1"/>
  <c r="G82" i="1"/>
  <c r="E82" i="1"/>
  <c r="C82" i="1"/>
  <c r="G81" i="1"/>
  <c r="E81" i="1"/>
  <c r="C81" i="1"/>
  <c r="G80" i="1"/>
  <c r="E80" i="1"/>
  <c r="C80" i="1"/>
  <c r="G79" i="1"/>
  <c r="E79" i="1"/>
  <c r="C79" i="1"/>
  <c r="G78" i="1"/>
  <c r="E78" i="1"/>
  <c r="C78" i="1"/>
  <c r="G77" i="1"/>
  <c r="E77" i="1"/>
  <c r="C77" i="1"/>
  <c r="G76" i="1"/>
  <c r="E76" i="1"/>
  <c r="C76" i="1"/>
  <c r="G75" i="1"/>
  <c r="E75" i="1"/>
  <c r="C75" i="1"/>
  <c r="G74" i="1"/>
  <c r="E74" i="1"/>
  <c r="C74" i="1"/>
  <c r="G73" i="1"/>
  <c r="E73" i="1"/>
  <c r="C73" i="1"/>
  <c r="G72" i="1"/>
  <c r="E72" i="1"/>
  <c r="C72" i="1"/>
  <c r="G71" i="1"/>
  <c r="E71" i="1"/>
  <c r="C71" i="1"/>
  <c r="G70" i="1"/>
  <c r="E70" i="1"/>
  <c r="C70" i="1"/>
  <c r="G69" i="1"/>
  <c r="E69" i="1"/>
  <c r="C69" i="1"/>
  <c r="G68" i="1"/>
  <c r="E68" i="1"/>
  <c r="C68" i="1"/>
  <c r="G67" i="1"/>
  <c r="E67" i="1"/>
  <c r="C67" i="1"/>
  <c r="G66" i="1"/>
  <c r="E66" i="1"/>
  <c r="C66" i="1"/>
  <c r="G65" i="1"/>
  <c r="E65" i="1"/>
  <c r="C65" i="1"/>
  <c r="G64" i="1"/>
  <c r="E64" i="1"/>
  <c r="C64" i="1"/>
  <c r="G63" i="1"/>
  <c r="E63" i="1"/>
  <c r="C63" i="1"/>
  <c r="G62" i="1"/>
  <c r="E62" i="1"/>
  <c r="C62" i="1"/>
  <c r="G61" i="1"/>
  <c r="E61" i="1"/>
  <c r="C61" i="1"/>
  <c r="G60" i="1"/>
  <c r="E60" i="1"/>
  <c r="C60" i="1"/>
  <c r="G59" i="1"/>
  <c r="E59" i="1"/>
  <c r="C59" i="1"/>
  <c r="G58" i="1"/>
  <c r="E58" i="1"/>
  <c r="C58" i="1"/>
  <c r="G57" i="1"/>
  <c r="E57" i="1"/>
  <c r="C57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G51" i="1"/>
  <c r="E51" i="1"/>
  <c r="C51" i="1"/>
  <c r="G50" i="1"/>
  <c r="E50" i="1"/>
  <c r="C50" i="1"/>
  <c r="G49" i="1"/>
  <c r="E49" i="1"/>
  <c r="C49" i="1"/>
  <c r="G48" i="1"/>
  <c r="E48" i="1"/>
  <c r="C48" i="1"/>
  <c r="G47" i="1"/>
  <c r="E47" i="1"/>
  <c r="C47" i="1"/>
  <c r="G46" i="1"/>
  <c r="E46" i="1"/>
  <c r="C46" i="1"/>
  <c r="G45" i="1"/>
  <c r="E45" i="1"/>
  <c r="C45" i="1"/>
  <c r="G44" i="1"/>
  <c r="E44" i="1"/>
  <c r="C44" i="1"/>
  <c r="G43" i="1"/>
  <c r="E43" i="1"/>
  <c r="C43" i="1"/>
  <c r="G42" i="1"/>
  <c r="E42" i="1"/>
  <c r="C42" i="1"/>
  <c r="G41" i="1"/>
  <c r="E41" i="1"/>
  <c r="C41" i="1"/>
  <c r="G40" i="1"/>
  <c r="E40" i="1"/>
  <c r="C40" i="1"/>
  <c r="G39" i="1"/>
  <c r="E39" i="1"/>
  <c r="C39" i="1"/>
  <c r="G38" i="1"/>
  <c r="E38" i="1"/>
  <c r="C38" i="1"/>
  <c r="G37" i="1"/>
  <c r="E37" i="1"/>
  <c r="C37" i="1"/>
  <c r="G36" i="1"/>
  <c r="E36" i="1"/>
  <c r="C36" i="1"/>
  <c r="G35" i="1"/>
  <c r="E35" i="1"/>
  <c r="C35" i="1"/>
  <c r="G34" i="1"/>
  <c r="E34" i="1"/>
  <c r="C34" i="1"/>
  <c r="G33" i="1"/>
  <c r="E33" i="1"/>
  <c r="C33" i="1"/>
  <c r="G32" i="1"/>
  <c r="E32" i="1"/>
  <c r="C32" i="1"/>
  <c r="G31" i="1"/>
  <c r="E31" i="1"/>
  <c r="C31" i="1"/>
  <c r="G30" i="1"/>
  <c r="E30" i="1"/>
  <c r="C30" i="1"/>
  <c r="G29" i="1"/>
  <c r="E29" i="1"/>
  <c r="C29" i="1"/>
  <c r="G28" i="1"/>
  <c r="E28" i="1"/>
  <c r="C28" i="1"/>
  <c r="G27" i="1"/>
  <c r="E27" i="1"/>
  <c r="C27" i="1"/>
  <c r="G26" i="1"/>
  <c r="E26" i="1"/>
  <c r="C26" i="1"/>
  <c r="G25" i="1"/>
  <c r="E25" i="1"/>
  <c r="C25" i="1"/>
  <c r="G24" i="1"/>
  <c r="E24" i="1"/>
  <c r="C24" i="1"/>
  <c r="G23" i="1"/>
  <c r="E23" i="1"/>
  <c r="C23" i="1"/>
  <c r="G22" i="1"/>
  <c r="E22" i="1"/>
  <c r="C22" i="1"/>
  <c r="G21" i="1"/>
  <c r="E21" i="1"/>
  <c r="C21" i="1"/>
  <c r="G20" i="1"/>
  <c r="E20" i="1"/>
  <c r="C20" i="1"/>
  <c r="G19" i="1"/>
  <c r="E19" i="1"/>
  <c r="C19" i="1"/>
  <c r="G18" i="1"/>
  <c r="E18" i="1"/>
  <c r="C18" i="1"/>
  <c r="G17" i="1"/>
  <c r="E17" i="1"/>
  <c r="C17" i="1"/>
  <c r="G16" i="1"/>
  <c r="E16" i="1"/>
  <c r="C16" i="1"/>
  <c r="G15" i="1"/>
  <c r="E15" i="1"/>
  <c r="C15" i="1"/>
  <c r="G14" i="1"/>
  <c r="E14" i="1"/>
  <c r="C14" i="1"/>
  <c r="G13" i="1"/>
  <c r="E13" i="1"/>
  <c r="C13" i="1"/>
  <c r="G12" i="1"/>
  <c r="E12" i="1"/>
  <c r="C12" i="1"/>
  <c r="G11" i="1"/>
  <c r="E11" i="1"/>
  <c r="C11" i="1"/>
  <c r="G10" i="1"/>
  <c r="E10" i="1"/>
  <c r="C10" i="1"/>
  <c r="G9" i="1"/>
  <c r="E9" i="1"/>
  <c r="C9" i="1"/>
  <c r="G8" i="1"/>
  <c r="E8" i="1"/>
  <c r="C8" i="1"/>
  <c r="G7" i="1"/>
  <c r="E7" i="1"/>
  <c r="C7" i="1"/>
  <c r="G6" i="1"/>
  <c r="E6" i="1"/>
  <c r="C6" i="1"/>
  <c r="G5" i="1"/>
  <c r="E5" i="1"/>
  <c r="C5" i="1"/>
  <c r="G4" i="1"/>
  <c r="E4" i="1"/>
  <c r="C4" i="1"/>
  <c r="G3" i="1"/>
  <c r="E3" i="1"/>
  <c r="C3" i="1"/>
  <c r="G2" i="1"/>
  <c r="E2" i="1"/>
  <c r="C2" i="1"/>
</calcChain>
</file>

<file path=xl/sharedStrings.xml><?xml version="1.0" encoding="utf-8"?>
<sst xmlns="http://schemas.openxmlformats.org/spreadsheetml/2006/main" count="31809" uniqueCount="11369">
  <si>
    <t>Tỉnh thành</t>
  </si>
  <si>
    <t>Quận huyện</t>
  </si>
  <si>
    <t>Xã phường</t>
  </si>
  <si>
    <t>01</t>
  </si>
  <si>
    <t>02</t>
  </si>
  <si>
    <t>04</t>
  </si>
  <si>
    <t>06</t>
  </si>
  <si>
    <t>08</t>
  </si>
  <si>
    <t>10</t>
  </si>
  <si>
    <t>11</t>
  </si>
  <si>
    <t>12</t>
  </si>
  <si>
    <t>14</t>
  </si>
  <si>
    <t>15</t>
  </si>
  <si>
    <t>17</t>
  </si>
  <si>
    <t>19</t>
  </si>
  <si>
    <t>20</t>
  </si>
  <si>
    <t>22</t>
  </si>
  <si>
    <t>24</t>
  </si>
  <si>
    <t>25</t>
  </si>
  <si>
    <t>26</t>
  </si>
  <si>
    <t>27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</si>
  <si>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</si>
  <si>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</si>
  <si>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</si>
  <si>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</si>
  <si>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</si>
  <si>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</si>
  <si>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</si>
  <si>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</si>
  <si>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</si>
  <si>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42</t>
  </si>
  <si>
    <t>44</t>
  </si>
  <si>
    <t>45</t>
  </si>
  <si>
    <t>46</t>
  </si>
  <si>
    <t>48</t>
  </si>
  <si>
    <t>49</t>
  </si>
  <si>
    <t>51</t>
  </si>
  <si>
    <t>52</t>
  </si>
  <si>
    <t>54</t>
  </si>
  <si>
    <t>56</t>
  </si>
  <si>
    <t>58</t>
  </si>
  <si>
    <t>60</t>
  </si>
  <si>
    <t>62</t>
  </si>
  <si>
    <t>64</t>
  </si>
  <si>
    <t>66</t>
  </si>
  <si>
    <t>67</t>
  </si>
  <si>
    <t>68</t>
  </si>
  <si>
    <t>70</t>
  </si>
  <si>
    <t>72</t>
  </si>
  <si>
    <t>74</t>
  </si>
  <si>
    <t>75</t>
  </si>
  <si>
    <t>77</t>
  </si>
  <si>
    <t>79</t>
  </si>
  <si>
    <t>80</t>
  </si>
  <si>
    <t>82</t>
  </si>
  <si>
    <t>83</t>
  </si>
  <si>
    <t>84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</si>
  <si>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</si>
  <si>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</si>
  <si>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</si>
  <si>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</si>
  <si>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</si>
  <si>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</si>
  <si>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</si>
  <si>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</si>
  <si>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</si>
  <si>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</si>
  <si>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</si>
  <si>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</si>
  <si>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</si>
  <si>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</si>
  <si>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</si>
  <si>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</si>
  <si>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</si>
  <si>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</si>
  <si>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016</t>
  </si>
  <si>
    <t>017</t>
  </si>
  <si>
    <t>018</t>
  </si>
  <si>
    <t>019</t>
  </si>
  <si>
    <t>020</t>
  </si>
  <si>
    <t>021</t>
  </si>
  <si>
    <t>250</t>
  </si>
  <si>
    <t>268</t>
  </si>
  <si>
    <t>269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</si>
  <si>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</si>
  <si>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</si>
  <si>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</si>
  <si>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</si>
  <si>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</si>
  <si>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</si>
  <si>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</si>
  <si>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</si>
  <si>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</si>
  <si>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</si>
  <si>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</si>
  <si>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</si>
  <si>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024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</si>
  <si>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</si>
  <si>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</si>
  <si>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</si>
  <si>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</si>
  <si>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</si>
  <si>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</si>
  <si>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</si>
  <si>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</si>
  <si>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</si>
  <si>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</si>
  <si>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040</t>
  </si>
  <si>
    <t>042</t>
  </si>
  <si>
    <t>043</t>
  </si>
  <si>
    <t>045</t>
  </si>
  <si>
    <t>047</t>
  </si>
  <si>
    <t>048</t>
  </si>
  <si>
    <t>049</t>
  </si>
  <si>
    <t>051</t>
  </si>
  <si>
    <t>052</t>
  </si>
  <si>
    <t>053</t>
  </si>
  <si>
    <t>058</t>
  </si>
  <si>
    <t>060</t>
  </si>
  <si>
    <t>061</t>
  </si>
  <si>
    <t>062</t>
  </si>
  <si>
    <t>063</t>
  </si>
  <si>
    <t>064</t>
  </si>
  <si>
    <t>065</t>
  </si>
  <si>
    <t>066</t>
  </si>
  <si>
    <t>070</t>
  </si>
  <si>
    <t>071</t>
  </si>
  <si>
    <t>072</t>
  </si>
  <si>
    <t>073</t>
  </si>
  <si>
    <t>074</t>
  </si>
  <si>
    <t>075</t>
  </si>
  <si>
    <t>076</t>
  </si>
  <si>
    <t>080</t>
  </si>
  <si>
    <t>082</t>
  </si>
  <si>
    <t>083</t>
  </si>
  <si>
    <t>084</t>
  </si>
  <si>
    <t>085</t>
  </si>
  <si>
    <t>086</t>
  </si>
  <si>
    <t>087</t>
  </si>
  <si>
    <t>088</t>
  </si>
  <si>
    <t>089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</si>
  <si>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</si>
  <si>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</si>
  <si>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</si>
  <si>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</si>
  <si>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</si>
  <si>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</si>
  <si>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</si>
  <si>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</si>
  <si>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</si>
  <si>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</si>
  <si>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</si>
  <si>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</si>
  <si>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</si>
  <si>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</si>
  <si>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</si>
  <si>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</si>
  <si>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</si>
  <si>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</si>
  <si>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116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</si>
  <si>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</si>
  <si>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</si>
  <si>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</si>
  <si>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</si>
  <si>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</si>
  <si>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</si>
  <si>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</si>
  <si>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</si>
  <si>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</si>
  <si>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</si>
  <si>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</si>
  <si>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132</t>
  </si>
  <si>
    <t>133</t>
  </si>
  <si>
    <t>135</t>
  </si>
  <si>
    <t>136</t>
  </si>
  <si>
    <t>137</t>
  </si>
  <si>
    <t>138</t>
  </si>
  <si>
    <t>139</t>
  </si>
  <si>
    <t>140</t>
  </si>
  <si>
    <t>141</t>
  </si>
  <si>
    <t>148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</si>
  <si>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</si>
  <si>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</si>
  <si>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</si>
  <si>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</si>
  <si>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</si>
  <si>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</si>
  <si>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</si>
  <si>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</si>
  <si>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</si>
  <si>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164</t>
  </si>
  <si>
    <t>165</t>
  </si>
  <si>
    <t>167</t>
  </si>
  <si>
    <t>168</t>
  </si>
  <si>
    <t>169</t>
  </si>
  <si>
    <t>170</t>
  </si>
  <si>
    <t>171</t>
  </si>
  <si>
    <t>172</t>
  </si>
  <si>
    <t>173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</si>
  <si>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</si>
  <si>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</si>
  <si>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</si>
  <si>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</si>
  <si>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</si>
  <si>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</si>
  <si>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</si>
  <si>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</si>
  <si>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</si>
  <si>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</si>
  <si>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</si>
  <si>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193</t>
  </si>
  <si>
    <t>194</t>
  </si>
  <si>
    <t>195</t>
  </si>
  <si>
    <t>196</t>
  </si>
  <si>
    <t>198</t>
  </si>
  <si>
    <t>199</t>
  </si>
  <si>
    <t>200</t>
  </si>
  <si>
    <t>201</t>
  </si>
  <si>
    <t>202</t>
  </si>
  <si>
    <t>203</t>
  </si>
  <si>
    <t>205</t>
  </si>
  <si>
    <t>206</t>
  </si>
  <si>
    <t>207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</si>
  <si>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</si>
  <si>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</si>
  <si>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</si>
  <si>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</si>
  <si>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</si>
  <si>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</si>
  <si>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</si>
  <si>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</si>
  <si>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</si>
  <si>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</si>
  <si>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227</t>
  </si>
  <si>
    <t>228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</si>
  <si>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</si>
  <si>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</si>
  <si>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</si>
  <si>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</si>
  <si>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</si>
  <si>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</si>
  <si>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</si>
  <si>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</si>
  <si>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</si>
  <si>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</si>
  <si>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</si>
  <si>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243</t>
  </si>
  <si>
    <t>244</t>
  </si>
  <si>
    <t>246</t>
  </si>
  <si>
    <t>247</t>
  </si>
  <si>
    <t>248</t>
  </si>
  <si>
    <t>249</t>
  </si>
  <si>
    <t>251</t>
  </si>
  <si>
    <t>252</t>
  </si>
  <si>
    <t>253</t>
  </si>
  <si>
    <t>256</t>
  </si>
  <si>
    <t>258</t>
  </si>
  <si>
    <t>259</t>
  </si>
  <si>
    <t>260</t>
  </si>
  <si>
    <t>261</t>
  </si>
  <si>
    <t>262</t>
  </si>
  <si>
    <t>263</t>
  </si>
  <si>
    <t>264</t>
  </si>
  <si>
    <t>288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</si>
  <si>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</si>
  <si>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</si>
  <si>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</si>
  <si>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</si>
  <si>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</si>
  <si>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</si>
  <si>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</si>
  <si>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</si>
  <si>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</si>
  <si>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</si>
  <si>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</si>
  <si>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303</t>
  </si>
  <si>
    <t>304</t>
  </si>
  <si>
    <t>305</t>
  </si>
  <si>
    <t>306</t>
  </si>
  <si>
    <t>307</t>
  </si>
  <si>
    <t>308</t>
  </si>
  <si>
    <t>309</t>
  </si>
  <si>
    <t>311</t>
  </si>
  <si>
    <t>312</t>
  </si>
  <si>
    <t>313</t>
  </si>
  <si>
    <t>314</t>
  </si>
  <si>
    <t>315</t>
  </si>
  <si>
    <t>316</t>
  </si>
  <si>
    <t>317</t>
  </si>
  <si>
    <t>323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</si>
  <si>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</si>
  <si>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</si>
  <si>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</si>
  <si>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</si>
  <si>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</si>
  <si>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</si>
  <si>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</si>
  <si>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</si>
  <si>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</si>
  <si>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336</t>
  </si>
  <si>
    <t>338</t>
  </si>
  <si>
    <t>339</t>
  </si>
  <si>
    <t>340</t>
  </si>
  <si>
    <t>341</t>
  </si>
  <si>
    <t>342</t>
  </si>
  <si>
    <t>343</t>
  </si>
  <si>
    <t>344</t>
  </si>
  <si>
    <t>347</t>
  </si>
  <si>
    <t>349</t>
  </si>
  <si>
    <t>350</t>
  </si>
  <si>
    <t>351</t>
  </si>
  <si>
    <t>352</t>
  </si>
  <si>
    <t>353</t>
  </si>
  <si>
    <t>356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</si>
  <si>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</si>
  <si>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</si>
  <si>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</si>
  <si>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</si>
  <si>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</si>
  <si>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</si>
  <si>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</si>
  <si>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</si>
  <si>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</si>
  <si>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369</t>
  </si>
  <si>
    <t>370</t>
  </si>
  <si>
    <t>372</t>
  </si>
  <si>
    <t>373</t>
  </si>
  <si>
    <t>374</t>
  </si>
  <si>
    <t>375</t>
  </si>
  <si>
    <t>376</t>
  </si>
  <si>
    <t>377</t>
  </si>
  <si>
    <t>380</t>
  </si>
  <si>
    <t>381</t>
  </si>
  <si>
    <t>382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</si>
  <si>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</si>
  <si>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</si>
  <si>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</si>
  <si>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</si>
  <si>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</si>
  <si>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</si>
  <si>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</si>
  <si>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</si>
  <si>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</si>
  <si>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</si>
  <si>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</si>
  <si>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</si>
  <si>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</si>
  <si>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</si>
  <si>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</si>
  <si>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</si>
  <si>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</si>
  <si>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</si>
  <si>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</si>
  <si>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</si>
  <si>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</si>
  <si>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</si>
  <si>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</si>
  <si>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</si>
  <si>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</si>
  <si>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</si>
  <si>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</si>
  <si>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</si>
  <si>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</si>
  <si>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</si>
  <si>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</si>
  <si>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</si>
  <si>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</si>
  <si>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</si>
  <si>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</si>
  <si>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</si>
  <si>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</si>
  <si>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</si>
  <si>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</si>
  <si>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</si>
  <si>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</si>
  <si>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</si>
  <si>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</si>
  <si>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</si>
  <si>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</si>
  <si>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436</t>
  </si>
  <si>
    <t>437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</si>
  <si>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</si>
  <si>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</si>
  <si>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</si>
  <si>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</si>
  <si>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</si>
  <si>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</si>
  <si>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</si>
  <si>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</si>
  <si>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</si>
  <si>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</si>
  <si>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</si>
  <si>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</si>
  <si>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452</t>
  </si>
  <si>
    <t>453</t>
  </si>
  <si>
    <t>454</t>
  </si>
  <si>
    <t>455</t>
  </si>
  <si>
    <t>456</t>
  </si>
  <si>
    <t>457</t>
  </si>
  <si>
    <t>458</t>
  </si>
  <si>
    <t>461</t>
  </si>
  <si>
    <t>462</t>
  </si>
  <si>
    <t>464</t>
  </si>
  <si>
    <t>465</t>
  </si>
  <si>
    <t>466</t>
  </si>
  <si>
    <t>467</t>
  </si>
  <si>
    <t>468</t>
  </si>
  <si>
    <t>469</t>
  </si>
  <si>
    <t>470</t>
  </si>
  <si>
    <t>474</t>
  </si>
  <si>
    <t>476</t>
  </si>
  <si>
    <t>477</t>
  </si>
  <si>
    <t>478</t>
  </si>
  <si>
    <t>479</t>
  </si>
  <si>
    <t>480</t>
  </si>
  <si>
    <t>481</t>
  </si>
  <si>
    <t>482</t>
  </si>
  <si>
    <t>483</t>
  </si>
  <si>
    <t>490</t>
  </si>
  <si>
    <t>491</t>
  </si>
  <si>
    <t>492</t>
  </si>
  <si>
    <t>493</t>
  </si>
  <si>
    <t>494</t>
  </si>
  <si>
    <t>495</t>
  </si>
  <si>
    <t>497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</si>
  <si>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</si>
  <si>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</si>
  <si>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</si>
  <si>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</si>
  <si>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</si>
  <si>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</si>
  <si>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</si>
  <si>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</si>
  <si>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</si>
  <si>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</si>
  <si>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</si>
  <si>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</si>
  <si>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</si>
  <si>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</si>
  <si>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</si>
  <si>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</si>
  <si>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</si>
  <si>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</si>
  <si>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522</t>
  </si>
  <si>
    <t>524</t>
  </si>
  <si>
    <t>525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</si>
  <si>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</si>
  <si>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</si>
  <si>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</si>
  <si>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</si>
  <si>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</si>
  <si>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</si>
  <si>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</si>
  <si>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</si>
  <si>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</si>
  <si>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540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</si>
  <si>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</si>
  <si>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</si>
  <si>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</si>
  <si>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</si>
  <si>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</si>
  <si>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</si>
  <si>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</si>
  <si>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</si>
  <si>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</si>
  <si>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</si>
  <si>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555</t>
  </si>
  <si>
    <t>557</t>
  </si>
  <si>
    <t>558</t>
  </si>
  <si>
    <t>559</t>
  </si>
  <si>
    <t>560</t>
  </si>
  <si>
    <t>561</t>
  </si>
  <si>
    <t>562</t>
  </si>
  <si>
    <t>563</t>
  </si>
  <si>
    <t>564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</si>
  <si>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</si>
  <si>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</si>
  <si>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</si>
  <si>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</si>
  <si>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</si>
  <si>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</si>
  <si>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</si>
  <si>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</si>
  <si>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</si>
  <si>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582</t>
  </si>
  <si>
    <t>584</t>
  </si>
  <si>
    <t>585</t>
  </si>
  <si>
    <t>586</t>
  </si>
  <si>
    <t>587</t>
  </si>
  <si>
    <t>588</t>
  </si>
  <si>
    <t>589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</si>
  <si>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</si>
  <si>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</si>
  <si>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</si>
  <si>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</si>
  <si>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</si>
  <si>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</si>
  <si>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</si>
  <si>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</si>
  <si>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</si>
  <si>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</si>
  <si>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608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</si>
  <si>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</si>
  <si>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</si>
  <si>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</si>
  <si>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</si>
  <si>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</si>
  <si>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</si>
  <si>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</si>
  <si>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</si>
  <si>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</si>
  <si>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</si>
  <si>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</si>
  <si>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</si>
  <si>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</si>
  <si>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</si>
  <si>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</si>
  <si>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</si>
  <si>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</si>
  <si>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</si>
  <si>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</si>
  <si>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</si>
  <si>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</si>
  <si>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</si>
  <si>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</si>
  <si>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637</t>
  </si>
  <si>
    <t>638</t>
  </si>
  <si>
    <t>639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</si>
  <si>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</si>
  <si>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</si>
  <si>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</si>
  <si>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</si>
  <si>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</si>
  <si>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</si>
  <si>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</si>
  <si>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</si>
  <si>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</si>
  <si>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</si>
  <si>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</si>
  <si>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</si>
  <si>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</si>
  <si>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</si>
  <si>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</si>
  <si>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660</t>
  </si>
  <si>
    <t>661</t>
  </si>
  <si>
    <t>662</t>
  </si>
  <si>
    <t>663</t>
  </si>
  <si>
    <t>664</t>
  </si>
  <si>
    <t>665</t>
  </si>
  <si>
    <t>666</t>
  </si>
  <si>
    <t>667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</si>
  <si>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</si>
  <si>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</si>
  <si>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</si>
  <si>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</si>
  <si>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</si>
  <si>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</si>
  <si>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</si>
  <si>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</si>
  <si>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</si>
  <si>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</si>
  <si>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</si>
  <si>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</si>
  <si>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</si>
  <si>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</si>
  <si>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</si>
  <si>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</si>
  <si>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</si>
  <si>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</si>
  <si>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</si>
  <si>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</si>
  <si>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</si>
  <si>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</si>
  <si>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</si>
  <si>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</si>
  <si>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</si>
  <si>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</si>
  <si>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</si>
  <si>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</si>
  <si>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</si>
  <si>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</si>
  <si>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</si>
  <si>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</si>
  <si>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</si>
  <si>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</si>
  <si>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</si>
  <si>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</si>
  <si>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</si>
  <si>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</si>
  <si>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</si>
  <si>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</si>
  <si>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</si>
  <si>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731</t>
  </si>
  <si>
    <t>732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</si>
  <si>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</si>
  <si>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</si>
  <si>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</si>
  <si>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</si>
  <si>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</si>
  <si>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</si>
  <si>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</si>
  <si>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</si>
  <si>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</si>
  <si>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747</t>
  </si>
  <si>
    <t>748</t>
  </si>
  <si>
    <t>750</t>
  </si>
  <si>
    <t>751</t>
  </si>
  <si>
    <t>752</t>
  </si>
  <si>
    <t>753</t>
  </si>
  <si>
    <t>754</t>
  </si>
  <si>
    <t>760</t>
  </si>
  <si>
    <t>761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</si>
  <si>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</si>
  <si>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</si>
  <si>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</si>
  <si>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</si>
  <si>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</si>
  <si>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</si>
  <si>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</si>
  <si>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</si>
  <si>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</si>
  <si>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</si>
  <si>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</si>
  <si>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</si>
  <si>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</si>
  <si>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</si>
  <si>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</si>
  <si>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783</t>
  </si>
  <si>
    <t>784</t>
  </si>
  <si>
    <t>785</t>
  </si>
  <si>
    <t>786</t>
  </si>
  <si>
    <t>787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</si>
  <si>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</si>
  <si>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</si>
  <si>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</si>
  <si>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</si>
  <si>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</si>
  <si>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</si>
  <si>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</si>
  <si>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</si>
  <si>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</si>
  <si>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</si>
  <si>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</si>
  <si>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</si>
  <si>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</si>
  <si>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</si>
  <si>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</si>
  <si>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</si>
  <si>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</si>
  <si>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</si>
  <si>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</si>
  <si>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</si>
  <si>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</si>
  <si>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</si>
  <si>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</si>
  <si>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</si>
  <si>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</si>
  <si>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</si>
  <si>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829</t>
  </si>
  <si>
    <t>831</t>
  </si>
  <si>
    <t>832</t>
  </si>
  <si>
    <t>833</t>
  </si>
  <si>
    <t>834</t>
  </si>
  <si>
    <t>835</t>
  </si>
  <si>
    <t>836</t>
  </si>
  <si>
    <t>837</t>
  </si>
  <si>
    <t>838</t>
  </si>
  <si>
    <t>842</t>
  </si>
  <si>
    <t>844</t>
  </si>
  <si>
    <t>845</t>
  </si>
  <si>
    <t>846</t>
  </si>
  <si>
    <t>847</t>
  </si>
  <si>
    <t>848</t>
  </si>
  <si>
    <t>849</t>
  </si>
  <si>
    <t>850</t>
  </si>
  <si>
    <t>851</t>
  </si>
  <si>
    <t>855</t>
  </si>
  <si>
    <t>857</t>
  </si>
  <si>
    <t>858</t>
  </si>
  <si>
    <t>859</t>
  </si>
  <si>
    <t>860</t>
  </si>
  <si>
    <t>861</t>
  </si>
  <si>
    <t>862</t>
  </si>
  <si>
    <t>863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</si>
  <si>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</si>
  <si>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</si>
  <si>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</si>
  <si>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</si>
  <si>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</si>
  <si>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</si>
  <si>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</si>
  <si>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</si>
  <si>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</si>
  <si>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</si>
  <si>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</si>
  <si>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</si>
  <si>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883</t>
  </si>
  <si>
    <t>884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</si>
  <si>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</si>
  <si>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</si>
  <si>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</si>
  <si>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</si>
  <si>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</si>
  <si>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</si>
  <si>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</si>
  <si>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</si>
  <si>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</si>
  <si>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899</t>
  </si>
  <si>
    <t>900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</si>
  <si>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</si>
  <si>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</si>
  <si>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</si>
  <si>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</si>
  <si>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</si>
  <si>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</si>
  <si>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</si>
  <si>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</si>
  <si>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</si>
  <si>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</si>
  <si>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</si>
  <si>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</si>
  <si>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</si>
  <si>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916</t>
  </si>
  <si>
    <t>917</t>
  </si>
  <si>
    <t>918</t>
  </si>
  <si>
    <t>919</t>
  </si>
  <si>
    <t>923</t>
  </si>
  <si>
    <t>924</t>
  </si>
  <si>
    <t>925</t>
  </si>
  <si>
    <t>926</t>
  </si>
  <si>
    <t>927</t>
  </si>
  <si>
    <t>930</t>
  </si>
  <si>
    <t>931</t>
  </si>
  <si>
    <t>932</t>
  </si>
  <si>
    <t>933</t>
  </si>
  <si>
    <t>934</t>
  </si>
  <si>
    <t>935</t>
  </si>
  <si>
    <t>936</t>
  </si>
  <si>
    <t>937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</si>
  <si>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</si>
  <si>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</si>
  <si>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</si>
  <si>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</si>
  <si>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</si>
  <si>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</si>
  <si>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</si>
  <si>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</si>
  <si>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</si>
  <si>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</si>
  <si>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</si>
  <si>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954</t>
  </si>
  <si>
    <t>956</t>
  </si>
  <si>
    <t>957</t>
  </si>
  <si>
    <t>958</t>
  </si>
  <si>
    <t>959</t>
  </si>
  <si>
    <t>960</t>
  </si>
  <si>
    <t>961</t>
  </si>
  <si>
    <t>964</t>
  </si>
  <si>
    <t>966</t>
  </si>
  <si>
    <t>967</t>
  </si>
  <si>
    <t>968</t>
  </si>
  <si>
    <t>969</t>
  </si>
  <si>
    <t>970</t>
  </si>
  <si>
    <t>971</t>
  </si>
  <si>
    <t>972</t>
  </si>
  <si>
    <t>973</t>
  </si>
  <si>
    <t>00001</t>
  </si>
  <si>
    <t>00004</t>
  </si>
  <si>
    <t>00006</t>
  </si>
  <si>
    <t>00007</t>
  </si>
  <si>
    <t>00008</t>
  </si>
  <si>
    <t>00010</t>
  </si>
  <si>
    <t>00013</t>
  </si>
  <si>
    <t>00016</t>
  </si>
  <si>
    <t>00019</t>
  </si>
  <si>
    <t>00022</t>
  </si>
  <si>
    <t>00025</t>
  </si>
  <si>
    <t>00028</t>
  </si>
  <si>
    <t>00031</t>
  </si>
  <si>
    <t>00034</t>
  </si>
  <si>
    <t>00037</t>
  </si>
  <si>
    <t>00040</t>
  </si>
  <si>
    <t>00043</t>
  </si>
  <si>
    <t>00046</t>
  </si>
  <si>
    <t>00049</t>
  </si>
  <si>
    <t>00052</t>
  </si>
  <si>
    <t>00055</t>
  </si>
  <si>
    <t>00058</t>
  </si>
  <si>
    <t>00061</t>
  </si>
  <si>
    <t>00064</t>
  </si>
  <si>
    <t>00067</t>
  </si>
  <si>
    <t>00070</t>
  </si>
  <si>
    <t>00073</t>
  </si>
  <si>
    <t>00076</t>
  </si>
  <si>
    <t>00079</t>
  </si>
  <si>
    <t>00082</t>
  </si>
  <si>
    <t>00085</t>
  </si>
  <si>
    <t>00088</t>
  </si>
  <si>
    <t>00091</t>
  </si>
  <si>
    <t>00094</t>
  </si>
  <si>
    <t>00097</t>
  </si>
  <si>
    <t>00100</t>
  </si>
  <si>
    <t>00103</t>
  </si>
  <si>
    <t>00106</t>
  </si>
  <si>
    <t>00109</t>
  </si>
  <si>
    <t>00112</t>
  </si>
  <si>
    <t>00115</t>
  </si>
  <si>
    <t>00118</t>
  </si>
  <si>
    <t>00121</t>
  </si>
  <si>
    <t>00124</t>
  </si>
  <si>
    <t>00127</t>
  </si>
  <si>
    <t>00130</t>
  </si>
  <si>
    <t>00133</t>
  </si>
  <si>
    <t>00136</t>
  </si>
  <si>
    <t>00139</t>
  </si>
  <si>
    <t>00142</t>
  </si>
  <si>
    <t>00145</t>
  </si>
  <si>
    <t>00148</t>
  </si>
  <si>
    <t>00151</t>
  </si>
  <si>
    <t>00154</t>
  </si>
  <si>
    <t>00157</t>
  </si>
  <si>
    <t>00160</t>
  </si>
  <si>
    <t>00163</t>
  </si>
  <si>
    <t>00166</t>
  </si>
  <si>
    <t>00167</t>
  </si>
  <si>
    <t>00169</t>
  </si>
  <si>
    <t>00172</t>
  </si>
  <si>
    <t>00175</t>
  </si>
  <si>
    <t>00178</t>
  </si>
  <si>
    <t>00181</t>
  </si>
  <si>
    <t>00184</t>
  </si>
  <si>
    <t>00187</t>
  </si>
  <si>
    <t>00190</t>
  </si>
  <si>
    <t>00193</t>
  </si>
  <si>
    <t>00196</t>
  </si>
  <si>
    <t>00199</t>
  </si>
  <si>
    <t>00202</t>
  </si>
  <si>
    <t>00205</t>
  </si>
  <si>
    <t>00208</t>
  </si>
  <si>
    <t>00211</t>
  </si>
  <si>
    <t>00214</t>
  </si>
  <si>
    <t>00217</t>
  </si>
  <si>
    <t>00220</t>
  </si>
  <si>
    <t>00223</t>
  </si>
  <si>
    <t>00226</t>
  </si>
  <si>
    <t>00229</t>
  </si>
  <si>
    <t>00232</t>
  </si>
  <si>
    <t>00235</t>
  </si>
  <si>
    <t>00238</t>
  </si>
  <si>
    <t>00241</t>
  </si>
  <si>
    <t>00244</t>
  </si>
  <si>
    <t>00247</t>
  </si>
  <si>
    <t>00256</t>
  </si>
  <si>
    <t>00259</t>
  </si>
  <si>
    <t>00262</t>
  </si>
  <si>
    <t>00265</t>
  </si>
  <si>
    <t>00268</t>
  </si>
  <si>
    <t>00271</t>
  </si>
  <si>
    <t>00274</t>
  </si>
  <si>
    <t>00277</t>
  </si>
  <si>
    <t>00280</t>
  </si>
  <si>
    <t>00283</t>
  </si>
  <si>
    <t>00286</t>
  </si>
  <si>
    <t>00289</t>
  </si>
  <si>
    <t>00292</t>
  </si>
  <si>
    <t>00295</t>
  </si>
  <si>
    <t>00298</t>
  </si>
  <si>
    <t>00301</t>
  </si>
  <si>
    <t>00304</t>
  </si>
  <si>
    <t>00307</t>
  </si>
  <si>
    <t>00310</t>
  </si>
  <si>
    <t>00313</t>
  </si>
  <si>
    <t>00316</t>
  </si>
  <si>
    <t>00319</t>
  </si>
  <si>
    <t>00322</t>
  </si>
  <si>
    <t>00325</t>
  </si>
  <si>
    <t>00328</t>
  </si>
  <si>
    <t>00331</t>
  </si>
  <si>
    <t>00334</t>
  </si>
  <si>
    <t>00337</t>
  </si>
  <si>
    <t>00340</t>
  </si>
  <si>
    <t>00343</t>
  </si>
  <si>
    <t>00346</t>
  </si>
  <si>
    <t>00349</t>
  </si>
  <si>
    <t>00352</t>
  </si>
  <si>
    <t>00355</t>
  </si>
  <si>
    <t>00358</t>
  </si>
  <si>
    <t>00361</t>
  </si>
  <si>
    <t>00364</t>
  </si>
  <si>
    <t>00367</t>
  </si>
  <si>
    <t>00370</t>
  </si>
  <si>
    <t>00373</t>
  </si>
  <si>
    <t>00376</t>
  </si>
  <si>
    <t>00379</t>
  </si>
  <si>
    <t>00382</t>
  </si>
  <si>
    <t>00385</t>
  </si>
  <si>
    <t>00388</t>
  </si>
  <si>
    <t>00391</t>
  </si>
  <si>
    <t>00394</t>
  </si>
  <si>
    <t>00397</t>
  </si>
  <si>
    <t>00400</t>
  </si>
  <si>
    <t>00403</t>
  </si>
  <si>
    <t>00406</t>
  </si>
  <si>
    <t>00409</t>
  </si>
  <si>
    <t>00412</t>
  </si>
  <si>
    <t>00415</t>
  </si>
  <si>
    <t>00418</t>
  </si>
  <si>
    <t>00421</t>
  </si>
  <si>
    <t>00424</t>
  </si>
  <si>
    <t>00427</t>
  </si>
  <si>
    <t>00430</t>
  </si>
  <si>
    <t>00433</t>
  </si>
  <si>
    <t>00436</t>
  </si>
  <si>
    <t>00439</t>
  </si>
  <si>
    <t>00442</t>
  </si>
  <si>
    <t>00445</t>
  </si>
  <si>
    <t>00448</t>
  </si>
  <si>
    <t>00451</t>
  </si>
  <si>
    <t>00454</t>
  </si>
  <si>
    <t>00457</t>
  </si>
  <si>
    <t>00460</t>
  </si>
  <si>
    <t>00463</t>
  </si>
  <si>
    <t>00466</t>
  </si>
  <si>
    <t>00469</t>
  </si>
  <si>
    <t>00472</t>
  </si>
  <si>
    <t>00475</t>
  </si>
  <si>
    <t>00478</t>
  </si>
  <si>
    <t>00481</t>
  </si>
  <si>
    <t>00484</t>
  </si>
  <si>
    <t>00487</t>
  </si>
  <si>
    <t>00490</t>
  </si>
  <si>
    <t>00493</t>
  </si>
  <si>
    <t>00496</t>
  </si>
  <si>
    <t>00499</t>
  </si>
  <si>
    <t>00502</t>
  </si>
  <si>
    <t>00505</t>
  </si>
  <si>
    <t>00508</t>
  </si>
  <si>
    <t>00511</t>
  </si>
  <si>
    <t>00514</t>
  </si>
  <si>
    <t>00517</t>
  </si>
  <si>
    <t>00520</t>
  </si>
  <si>
    <t>00523</t>
  </si>
  <si>
    <t>00526</t>
  </si>
  <si>
    <t>00529</t>
  </si>
  <si>
    <t>00532</t>
  </si>
  <si>
    <t>00535</t>
  </si>
  <si>
    <t>00538</t>
  </si>
  <si>
    <t>00541</t>
  </si>
  <si>
    <t>00544</t>
  </si>
  <si>
    <t>00547</t>
  </si>
  <si>
    <t>00550</t>
  </si>
  <si>
    <t>00553</t>
  </si>
  <si>
    <t>00556</t>
  </si>
  <si>
    <t>00559</t>
  </si>
  <si>
    <t>00562</t>
  </si>
  <si>
    <t>00565</t>
  </si>
  <si>
    <t>00568</t>
  </si>
  <si>
    <t>00571</t>
  </si>
  <si>
    <t>00574</t>
  </si>
  <si>
    <t>00577</t>
  </si>
  <si>
    <t>00580</t>
  </si>
  <si>
    <t>00583</t>
  </si>
  <si>
    <t>00586</t>
  </si>
  <si>
    <t>00589</t>
  </si>
  <si>
    <t>00592</t>
  </si>
  <si>
    <t>00622</t>
  </si>
  <si>
    <t>00623</t>
  </si>
  <si>
    <t>00625</t>
  </si>
  <si>
    <t>00626</t>
  </si>
  <si>
    <t>00628</t>
  </si>
  <si>
    <t>00631</t>
  </si>
  <si>
    <t>00632</t>
  </si>
  <si>
    <t>00634</t>
  </si>
  <si>
    <t>00637</t>
  </si>
  <si>
    <t>00640</t>
  </si>
  <si>
    <t>00643</t>
  </si>
  <si>
    <t>00646</t>
  </si>
  <si>
    <t>00649</t>
  </si>
  <si>
    <t>00652</t>
  </si>
  <si>
    <t>00655</t>
  </si>
  <si>
    <t>00658</t>
  </si>
  <si>
    <t>00661</t>
  </si>
  <si>
    <t>00664</t>
  </si>
  <si>
    <t>00667</t>
  </si>
  <si>
    <t>00670</t>
  </si>
  <si>
    <t>00673</t>
  </si>
  <si>
    <t>00676</t>
  </si>
  <si>
    <t>00679</t>
  </si>
  <si>
    <t>00682</t>
  </si>
  <si>
    <t>00685</t>
  </si>
  <si>
    <t>00595</t>
  </si>
  <si>
    <t>00598</t>
  </si>
  <si>
    <t>00601</t>
  </si>
  <si>
    <t>00602</t>
  </si>
  <si>
    <t>00604</t>
  </si>
  <si>
    <t>00607</t>
  </si>
  <si>
    <t>00610</t>
  </si>
  <si>
    <t>00611</t>
  </si>
  <si>
    <t>00613</t>
  </si>
  <si>
    <t>00616</t>
  </si>
  <si>
    <t>00617</t>
  </si>
  <si>
    <t>00619</t>
  </si>
  <si>
    <t>00620</t>
  </si>
  <si>
    <t>08973</t>
  </si>
  <si>
    <t>08974</t>
  </si>
  <si>
    <t>08977</t>
  </si>
  <si>
    <t>08980</t>
  </si>
  <si>
    <t>08983</t>
  </si>
  <si>
    <t>08986</t>
  </si>
  <si>
    <t>08989</t>
  </si>
  <si>
    <t>08992</t>
  </si>
  <si>
    <t>08995</t>
  </si>
  <si>
    <t>08998</t>
  </si>
  <si>
    <t>09001</t>
  </si>
  <si>
    <t>09004</t>
  </si>
  <si>
    <t>09007</t>
  </si>
  <si>
    <t>09010</t>
  </si>
  <si>
    <t>09013</t>
  </si>
  <si>
    <t>09016</t>
  </si>
  <si>
    <t>09019</t>
  </si>
  <si>
    <t>09022</t>
  </si>
  <si>
    <t>09538</t>
  </si>
  <si>
    <t>09541</t>
  </si>
  <si>
    <t>09542</t>
  </si>
  <si>
    <t>09544</t>
  </si>
  <si>
    <t>09547</t>
  </si>
  <si>
    <t>09550</t>
  </si>
  <si>
    <t>09551</t>
  </si>
  <si>
    <t>09552</t>
  </si>
  <si>
    <t>09553</t>
  </si>
  <si>
    <t>09556</t>
  </si>
  <si>
    <t>09562</t>
  </si>
  <si>
    <t>09565</t>
  </si>
  <si>
    <t>09568</t>
  </si>
  <si>
    <t>09571</t>
  </si>
  <si>
    <t>09886</t>
  </si>
  <si>
    <t>10117</t>
  </si>
  <si>
    <t>10123</t>
  </si>
  <si>
    <t>09574</t>
  </si>
  <si>
    <t>09577</t>
  </si>
  <si>
    <t>09580</t>
  </si>
  <si>
    <t>09583</t>
  </si>
  <si>
    <t>09586</t>
  </si>
  <si>
    <t>09589</t>
  </si>
  <si>
    <t>09592</t>
  </si>
  <si>
    <t>09595</t>
  </si>
  <si>
    <t>09598</t>
  </si>
  <si>
    <t>09601</t>
  </si>
  <si>
    <t>09604</t>
  </si>
  <si>
    <t>09607</t>
  </si>
  <si>
    <t>09610</t>
  </si>
  <si>
    <t>09613</t>
  </si>
  <si>
    <t>09616</t>
  </si>
  <si>
    <t>09619</t>
  </si>
  <si>
    <t>09625</t>
  </si>
  <si>
    <t>09628</t>
  </si>
  <si>
    <t>09631</t>
  </si>
  <si>
    <t>09634</t>
  </si>
  <si>
    <t>09637</t>
  </si>
  <si>
    <t>09640</t>
  </si>
  <si>
    <t>09643</t>
  </si>
  <si>
    <t>09646</t>
  </si>
  <si>
    <t>09649</t>
  </si>
  <si>
    <t>09652</t>
  </si>
  <si>
    <t>09655</t>
  </si>
  <si>
    <t>09658</t>
  </si>
  <si>
    <t>09661</t>
  </si>
  <si>
    <t>09664</t>
  </si>
  <si>
    <t>09667</t>
  </si>
  <si>
    <t>09670</t>
  </si>
  <si>
    <t>09673</t>
  </si>
  <si>
    <t>09676</t>
  </si>
  <si>
    <t>09679</t>
  </si>
  <si>
    <t>09682</t>
  </si>
  <si>
    <t>09685</t>
  </si>
  <si>
    <t>09688</t>
  </si>
  <si>
    <t>09691</t>
  </si>
  <si>
    <t>09694</t>
  </si>
  <si>
    <t>09697</t>
  </si>
  <si>
    <t>09700</t>
  </si>
  <si>
    <t>09703</t>
  </si>
  <si>
    <t>09706</t>
  </si>
  <si>
    <t>09709</t>
  </si>
  <si>
    <t>09712</t>
  </si>
  <si>
    <t>09715</t>
  </si>
  <si>
    <t>09718</t>
  </si>
  <si>
    <t>09721</t>
  </si>
  <si>
    <t>09724</t>
  </si>
  <si>
    <t>09727</t>
  </si>
  <si>
    <t>09733</t>
  </si>
  <si>
    <t>09739</t>
  </si>
  <si>
    <t>09742</t>
  </si>
  <si>
    <t>09745</t>
  </si>
  <si>
    <t>09748</t>
  </si>
  <si>
    <t>09751</t>
  </si>
  <si>
    <t>09754</t>
  </si>
  <si>
    <t>09757</t>
  </si>
  <si>
    <t>09760</t>
  </si>
  <si>
    <t>09763</t>
  </si>
  <si>
    <t>09766</t>
  </si>
  <si>
    <t>09769</t>
  </si>
  <si>
    <t>09772</t>
  </si>
  <si>
    <t>09775</t>
  </si>
  <si>
    <t>09778</t>
  </si>
  <si>
    <t>09781</t>
  </si>
  <si>
    <t>09784</t>
  </si>
  <si>
    <t>09787</t>
  </si>
  <si>
    <t>09790</t>
  </si>
  <si>
    <t>09793</t>
  </si>
  <si>
    <t>09796</t>
  </si>
  <si>
    <t>09799</t>
  </si>
  <si>
    <t>09802</t>
  </si>
  <si>
    <t>09805</t>
  </si>
  <si>
    <t>09808</t>
  </si>
  <si>
    <t>09811</t>
  </si>
  <si>
    <t>09814</t>
  </si>
  <si>
    <t>09817</t>
  </si>
  <si>
    <t>09820</t>
  </si>
  <si>
    <t>09823</t>
  </si>
  <si>
    <t>09826</t>
  </si>
  <si>
    <t>09829</t>
  </si>
  <si>
    <t>09832</t>
  </si>
  <si>
    <t>09835</t>
  </si>
  <si>
    <t>09838</t>
  </si>
  <si>
    <t>09841</t>
  </si>
  <si>
    <t>09844</t>
  </si>
  <si>
    <t>09847</t>
  </si>
  <si>
    <t>09850</t>
  </si>
  <si>
    <t>09853</t>
  </si>
  <si>
    <t>09856</t>
  </si>
  <si>
    <t>09859</t>
  </si>
  <si>
    <t>09862</t>
  </si>
  <si>
    <t>09865</t>
  </si>
  <si>
    <t>09868</t>
  </si>
  <si>
    <t>09871</t>
  </si>
  <si>
    <t>09874</t>
  </si>
  <si>
    <t>09877</t>
  </si>
  <si>
    <t>09880</t>
  </si>
  <si>
    <t>09883</t>
  </si>
  <si>
    <t>09889</t>
  </si>
  <si>
    <t>09892</t>
  </si>
  <si>
    <t>04939</t>
  </si>
  <si>
    <t>09895</t>
  </si>
  <si>
    <t>09898</t>
  </si>
  <si>
    <t>09901</t>
  </si>
  <si>
    <t>09904</t>
  </si>
  <si>
    <t>09907</t>
  </si>
  <si>
    <t>09910</t>
  </si>
  <si>
    <t>09913</t>
  </si>
  <si>
    <t>09916</t>
  </si>
  <si>
    <t>09919</t>
  </si>
  <si>
    <t>09922</t>
  </si>
  <si>
    <t>09925</t>
  </si>
  <si>
    <t>09928</t>
  </si>
  <si>
    <t>09931</t>
  </si>
  <si>
    <t>09934</t>
  </si>
  <si>
    <t>09937</t>
  </si>
  <si>
    <t>09940</t>
  </si>
  <si>
    <t>09943</t>
  </si>
  <si>
    <t>09946</t>
  </si>
  <si>
    <t>09949</t>
  </si>
  <si>
    <t>09952</t>
  </si>
  <si>
    <t>04927</t>
  </si>
  <si>
    <t>04930</t>
  </si>
  <si>
    <t>04936</t>
  </si>
  <si>
    <t>09955</t>
  </si>
  <si>
    <t>09958</t>
  </si>
  <si>
    <t>09961</t>
  </si>
  <si>
    <t>09964</t>
  </si>
  <si>
    <t>09967</t>
  </si>
  <si>
    <t>09970</t>
  </si>
  <si>
    <t>09973</t>
  </si>
  <si>
    <t>09976</t>
  </si>
  <si>
    <t>09979</t>
  </si>
  <si>
    <t>09982</t>
  </si>
  <si>
    <t>09985</t>
  </si>
  <si>
    <t>09988</t>
  </si>
  <si>
    <t>09991</t>
  </si>
  <si>
    <t>09994</t>
  </si>
  <si>
    <t>09997</t>
  </si>
  <si>
    <t>10000</t>
  </si>
  <si>
    <t>10003</t>
  </si>
  <si>
    <t>10006</t>
  </si>
  <si>
    <t>10009</t>
  </si>
  <si>
    <t>10012</t>
  </si>
  <si>
    <t>10015</t>
  </si>
  <si>
    <t>10018</t>
  </si>
  <si>
    <t>10021</t>
  </si>
  <si>
    <t>10024</t>
  </si>
  <si>
    <t>10027</t>
  </si>
  <si>
    <t>10030</t>
  </si>
  <si>
    <t>10033</t>
  </si>
  <si>
    <t>10039</t>
  </si>
  <si>
    <t>10042</t>
  </si>
  <si>
    <t>10045</t>
  </si>
  <si>
    <t>10048</t>
  </si>
  <si>
    <t>10051</t>
  </si>
  <si>
    <t>10054</t>
  </si>
  <si>
    <t>10057</t>
  </si>
  <si>
    <t>10060</t>
  </si>
  <si>
    <t>10063</t>
  </si>
  <si>
    <t>10066</t>
  </si>
  <si>
    <t>10069</t>
  </si>
  <si>
    <t>10072</t>
  </si>
  <si>
    <t>10075</t>
  </si>
  <si>
    <t>10078</t>
  </si>
  <si>
    <t>10081</t>
  </si>
  <si>
    <t>10084</t>
  </si>
  <si>
    <t>10087</t>
  </si>
  <si>
    <t>10090</t>
  </si>
  <si>
    <t>10093</t>
  </si>
  <si>
    <t>10096</t>
  </si>
  <si>
    <t>10099</t>
  </si>
  <si>
    <t>10102</t>
  </si>
  <si>
    <t>10105</t>
  </si>
  <si>
    <t>10108</t>
  </si>
  <si>
    <t>10111</t>
  </si>
  <si>
    <t>10114</t>
  </si>
  <si>
    <t>10120</t>
  </si>
  <si>
    <t>10126</t>
  </si>
  <si>
    <t>10129</t>
  </si>
  <si>
    <t>10132</t>
  </si>
  <si>
    <t>10135</t>
  </si>
  <si>
    <t>10138</t>
  </si>
  <si>
    <t>10141</t>
  </si>
  <si>
    <t>10144</t>
  </si>
  <si>
    <t>10147</t>
  </si>
  <si>
    <t>10150</t>
  </si>
  <si>
    <t>10153</t>
  </si>
  <si>
    <t>10156</t>
  </si>
  <si>
    <t>10159</t>
  </si>
  <si>
    <t>10162</t>
  </si>
  <si>
    <t>10165</t>
  </si>
  <si>
    <t>10168</t>
  </si>
  <si>
    <t>10171</t>
  </si>
  <si>
    <t>10174</t>
  </si>
  <si>
    <t>10177</t>
  </si>
  <si>
    <t>10180</t>
  </si>
  <si>
    <t>10183</t>
  </si>
  <si>
    <t>10186</t>
  </si>
  <si>
    <t>10189</t>
  </si>
  <si>
    <t>10192</t>
  </si>
  <si>
    <t>10195</t>
  </si>
  <si>
    <t>10198</t>
  </si>
  <si>
    <t>10201</t>
  </si>
  <si>
    <t>10204</t>
  </si>
  <si>
    <t>10207</t>
  </si>
  <si>
    <t>10210</t>
  </si>
  <si>
    <t>10213</t>
  </si>
  <si>
    <t>10216</t>
  </si>
  <si>
    <t>10219</t>
  </si>
  <si>
    <t>10222</t>
  </si>
  <si>
    <t>10225</t>
  </si>
  <si>
    <t>10228</t>
  </si>
  <si>
    <t>10231</t>
  </si>
  <si>
    <t>10234</t>
  </si>
  <si>
    <t>10237</t>
  </si>
  <si>
    <t>10240</t>
  </si>
  <si>
    <t>10243</t>
  </si>
  <si>
    <t>10246</t>
  </si>
  <si>
    <t>10249</t>
  </si>
  <si>
    <t>10252</t>
  </si>
  <si>
    <t>10255</t>
  </si>
  <si>
    <t>10258</t>
  </si>
  <si>
    <t>10261</t>
  </si>
  <si>
    <t>10264</t>
  </si>
  <si>
    <t>10267</t>
  </si>
  <si>
    <t>10270</t>
  </si>
  <si>
    <t>10273</t>
  </si>
  <si>
    <t>10276</t>
  </si>
  <si>
    <t>10279</t>
  </si>
  <si>
    <t>10282</t>
  </si>
  <si>
    <t>10288</t>
  </si>
  <si>
    <t>10291</t>
  </si>
  <si>
    <t>10294</t>
  </si>
  <si>
    <t>10297</t>
  </si>
  <si>
    <t>10300</t>
  </si>
  <si>
    <t>10303</t>
  </si>
  <si>
    <t>10306</t>
  </si>
  <si>
    <t>10309</t>
  </si>
  <si>
    <t>10312</t>
  </si>
  <si>
    <t>10315</t>
  </si>
  <si>
    <t>10318</t>
  </si>
  <si>
    <t>10321</t>
  </si>
  <si>
    <t>10324</t>
  </si>
  <si>
    <t>10327</t>
  </si>
  <si>
    <t>10330</t>
  </si>
  <si>
    <t>10333</t>
  </si>
  <si>
    <t>10336</t>
  </si>
  <si>
    <t>10339</t>
  </si>
  <si>
    <t>10342</t>
  </si>
  <si>
    <t>10345</t>
  </si>
  <si>
    <t>10348</t>
  </si>
  <si>
    <t>10351</t>
  </si>
  <si>
    <t>10354</t>
  </si>
  <si>
    <t>10357</t>
  </si>
  <si>
    <t>10360</t>
  </si>
  <si>
    <t>10363</t>
  </si>
  <si>
    <t>10366</t>
  </si>
  <si>
    <t>10369</t>
  </si>
  <si>
    <t>10372</t>
  </si>
  <si>
    <t>10375</t>
  </si>
  <si>
    <t>10378</t>
  </si>
  <si>
    <t>10381</t>
  </si>
  <si>
    <t>10384</t>
  </si>
  <si>
    <t>10387</t>
  </si>
  <si>
    <t>10390</t>
  </si>
  <si>
    <t>10393</t>
  </si>
  <si>
    <t>10396</t>
  </si>
  <si>
    <t>10399</t>
  </si>
  <si>
    <t>10402</t>
  </si>
  <si>
    <t>10405</t>
  </si>
  <si>
    <t>10408</t>
  </si>
  <si>
    <t>10411</t>
  </si>
  <si>
    <t>10414</t>
  </si>
  <si>
    <t>10417</t>
  </si>
  <si>
    <t>10420</t>
  </si>
  <si>
    <t>10423</t>
  </si>
  <si>
    <t>10426</t>
  </si>
  <si>
    <t>10429</t>
  </si>
  <si>
    <t>10432</t>
  </si>
  <si>
    <t>10435</t>
  </si>
  <si>
    <t>10438</t>
  </si>
  <si>
    <t>10441</t>
  </si>
  <si>
    <t>10444</t>
  </si>
  <si>
    <t>10447</t>
  </si>
  <si>
    <t>10450</t>
  </si>
  <si>
    <t>10453</t>
  </si>
  <si>
    <t>10456</t>
  </si>
  <si>
    <t>10459</t>
  </si>
  <si>
    <t>10462</t>
  </si>
  <si>
    <t>10465</t>
  </si>
  <si>
    <t>10468</t>
  </si>
  <si>
    <t>10471</t>
  </si>
  <si>
    <t>10474</t>
  </si>
  <si>
    <t>10477</t>
  </si>
  <si>
    <t>10480</t>
  </si>
  <si>
    <t>10483</t>
  </si>
  <si>
    <t>10486</t>
  </si>
  <si>
    <t>10489</t>
  </si>
  <si>
    <t>10492</t>
  </si>
  <si>
    <t>10495</t>
  </si>
  <si>
    <t>10498</t>
  </si>
  <si>
    <t>10501</t>
  </si>
  <si>
    <t>10504</t>
  </si>
  <si>
    <t>00688</t>
  </si>
  <si>
    <t>00691</t>
  </si>
  <si>
    <t>00692</t>
  </si>
  <si>
    <t>00694</t>
  </si>
  <si>
    <t>00697</t>
  </si>
  <si>
    <t>00700</t>
  </si>
  <si>
    <t>00946</t>
  </si>
  <si>
    <t>00949</t>
  </si>
  <si>
    <t>00712</t>
  </si>
  <si>
    <t>00715</t>
  </si>
  <si>
    <t>00718</t>
  </si>
  <si>
    <t>00721</t>
  </si>
  <si>
    <t>00724</t>
  </si>
  <si>
    <t>00727</t>
  </si>
  <si>
    <t>00730</t>
  </si>
  <si>
    <t>00733</t>
  </si>
  <si>
    <t>00736</t>
  </si>
  <si>
    <t>00739</t>
  </si>
  <si>
    <t>00742</t>
  </si>
  <si>
    <t>00745</t>
  </si>
  <si>
    <t>00748</t>
  </si>
  <si>
    <t>00751</t>
  </si>
  <si>
    <t>00754</t>
  </si>
  <si>
    <t>00757</t>
  </si>
  <si>
    <t>00760</t>
  </si>
  <si>
    <t>00763</t>
  </si>
  <si>
    <t>00766</t>
  </si>
  <si>
    <t>00769</t>
  </si>
  <si>
    <t>00772</t>
  </si>
  <si>
    <t>00775</t>
  </si>
  <si>
    <t>00778</t>
  </si>
  <si>
    <t>00781</t>
  </si>
  <si>
    <t>00784</t>
  </si>
  <si>
    <t>00787</t>
  </si>
  <si>
    <t>00790</t>
  </si>
  <si>
    <t>00793</t>
  </si>
  <si>
    <t>00796</t>
  </si>
  <si>
    <t>00799</t>
  </si>
  <si>
    <t>00802</t>
  </si>
  <si>
    <t>00805</t>
  </si>
  <si>
    <t>00808</t>
  </si>
  <si>
    <t>00811</t>
  </si>
  <si>
    <t>00814</t>
  </si>
  <si>
    <t>00815</t>
  </si>
  <si>
    <t>00817</t>
  </si>
  <si>
    <t>00820</t>
  </si>
  <si>
    <t>00823</t>
  </si>
  <si>
    <t>00826</t>
  </si>
  <si>
    <t>00829</t>
  </si>
  <si>
    <t>00832</t>
  </si>
  <si>
    <t>00835</t>
  </si>
  <si>
    <t>00838</t>
  </si>
  <si>
    <t>00841</t>
  </si>
  <si>
    <t>00844</t>
  </si>
  <si>
    <t>00847</t>
  </si>
  <si>
    <t>00850</t>
  </si>
  <si>
    <t>00853</t>
  </si>
  <si>
    <t>00856</t>
  </si>
  <si>
    <t>00859</t>
  </si>
  <si>
    <t>00862</t>
  </si>
  <si>
    <t>00865</t>
  </si>
  <si>
    <t>00868</t>
  </si>
  <si>
    <t>00871</t>
  </si>
  <si>
    <t>00874</t>
  </si>
  <si>
    <t>00877</t>
  </si>
  <si>
    <t>00880</t>
  </si>
  <si>
    <t>00883</t>
  </si>
  <si>
    <t>00886</t>
  </si>
  <si>
    <t>00889</t>
  </si>
  <si>
    <t>00892</t>
  </si>
  <si>
    <t>00895</t>
  </si>
  <si>
    <t>00898</t>
  </si>
  <si>
    <t>00901</t>
  </si>
  <si>
    <t>00904</t>
  </si>
  <si>
    <t>00907</t>
  </si>
  <si>
    <t>00910</t>
  </si>
  <si>
    <t>00703</t>
  </si>
  <si>
    <t>00706</t>
  </si>
  <si>
    <t>00709</t>
  </si>
  <si>
    <t>00913</t>
  </si>
  <si>
    <t>00916</t>
  </si>
  <si>
    <t>00919</t>
  </si>
  <si>
    <t>00922</t>
  </si>
  <si>
    <t>00925</t>
  </si>
  <si>
    <t>00928</t>
  </si>
  <si>
    <t>00931</t>
  </si>
  <si>
    <t>00934</t>
  </si>
  <si>
    <t>00937</t>
  </si>
  <si>
    <t>00940</t>
  </si>
  <si>
    <t>00943</t>
  </si>
  <si>
    <t>00952</t>
  </si>
  <si>
    <t>00955</t>
  </si>
  <si>
    <t>00958</t>
  </si>
  <si>
    <t>00961</t>
  </si>
  <si>
    <t>00964</t>
  </si>
  <si>
    <t>00967</t>
  </si>
  <si>
    <t>00970</t>
  </si>
  <si>
    <t>00973</t>
  </si>
  <si>
    <t>00976</t>
  </si>
  <si>
    <t>00979</t>
  </si>
  <si>
    <t>00982</t>
  </si>
  <si>
    <t>00985</t>
  </si>
  <si>
    <t>00988</t>
  </si>
  <si>
    <t>00991</t>
  </si>
  <si>
    <t>00994</t>
  </si>
  <si>
    <t>00997</t>
  </si>
  <si>
    <t>01000</t>
  </si>
  <si>
    <t>01003</t>
  </si>
  <si>
    <t>01006</t>
  </si>
  <si>
    <t>01009</t>
  </si>
  <si>
    <t>01012</t>
  </si>
  <si>
    <t>01015</t>
  </si>
  <si>
    <t>01018</t>
  </si>
  <si>
    <t>01021</t>
  </si>
  <si>
    <t>01024</t>
  </si>
  <si>
    <t>01027</t>
  </si>
  <si>
    <t>01030</t>
  </si>
  <si>
    <t>01033</t>
  </si>
  <si>
    <t>01036</t>
  </si>
  <si>
    <t>01039</t>
  </si>
  <si>
    <t>01042</t>
  </si>
  <si>
    <t>01045</t>
  </si>
  <si>
    <t>01048</t>
  </si>
  <si>
    <t>01051</t>
  </si>
  <si>
    <t>01054</t>
  </si>
  <si>
    <t>01057</t>
  </si>
  <si>
    <t>01060</t>
  </si>
  <si>
    <t>01063</t>
  </si>
  <si>
    <t>01066</t>
  </si>
  <si>
    <t>01069</t>
  </si>
  <si>
    <t>01072</t>
  </si>
  <si>
    <t>01075</t>
  </si>
  <si>
    <t>01081</t>
  </si>
  <si>
    <t>01084</t>
  </si>
  <si>
    <t>01087</t>
  </si>
  <si>
    <t>01090</t>
  </si>
  <si>
    <t>01093</t>
  </si>
  <si>
    <t>01096</t>
  </si>
  <si>
    <t>01099</t>
  </si>
  <si>
    <t>01102</t>
  </si>
  <si>
    <t>01105</t>
  </si>
  <si>
    <t>01108</t>
  </si>
  <si>
    <t>01114</t>
  </si>
  <si>
    <t>01117</t>
  </si>
  <si>
    <t>01120</t>
  </si>
  <si>
    <t>01123</t>
  </si>
  <si>
    <t>01126</t>
  </si>
  <si>
    <t>01129</t>
  </si>
  <si>
    <t>01132</t>
  </si>
  <si>
    <t>01135</t>
  </si>
  <si>
    <t>01138</t>
  </si>
  <si>
    <t>01141</t>
  </si>
  <si>
    <t>01144</t>
  </si>
  <si>
    <t>01147</t>
  </si>
  <si>
    <t>01150</t>
  </si>
  <si>
    <t>01153</t>
  </si>
  <si>
    <t>01156</t>
  </si>
  <si>
    <t>01159</t>
  </si>
  <si>
    <t>01162</t>
  </si>
  <si>
    <t>01165</t>
  </si>
  <si>
    <t>01168</t>
  </si>
  <si>
    <t>01171</t>
  </si>
  <si>
    <t>01174</t>
  </si>
  <si>
    <t>01177</t>
  </si>
  <si>
    <t>01180</t>
  </si>
  <si>
    <t>01183</t>
  </si>
  <si>
    <t>01186</t>
  </si>
  <si>
    <t>01189</t>
  </si>
  <si>
    <t>01192</t>
  </si>
  <si>
    <t>01195</t>
  </si>
  <si>
    <t>01198</t>
  </si>
  <si>
    <t>01201</t>
  </si>
  <si>
    <t>01204</t>
  </si>
  <si>
    <t>01207</t>
  </si>
  <si>
    <t>01210</t>
  </si>
  <si>
    <t>01213</t>
  </si>
  <si>
    <t>01216</t>
  </si>
  <si>
    <t>01219</t>
  </si>
  <si>
    <t>01222</t>
  </si>
  <si>
    <t>01225</t>
  </si>
  <si>
    <t>01228</t>
  </si>
  <si>
    <t>01231</t>
  </si>
  <si>
    <t>01234</t>
  </si>
  <si>
    <t>01237</t>
  </si>
  <si>
    <t>01240</t>
  </si>
  <si>
    <t>01243</t>
  </si>
  <si>
    <t>01246</t>
  </si>
  <si>
    <t>01249</t>
  </si>
  <si>
    <t>01252</t>
  </si>
  <si>
    <t>01255</t>
  </si>
  <si>
    <t>01258</t>
  </si>
  <si>
    <t>01261</t>
  </si>
  <si>
    <t>01264</t>
  </si>
  <si>
    <t>01267</t>
  </si>
  <si>
    <t>01270</t>
  </si>
  <si>
    <t>01273</t>
  </si>
  <si>
    <t>01276</t>
  </si>
  <si>
    <t>01279</t>
  </si>
  <si>
    <t>01282</t>
  </si>
  <si>
    <t>01285</t>
  </si>
  <si>
    <t>01288</t>
  </si>
  <si>
    <t>01693</t>
  </si>
  <si>
    <t>01705</t>
  </si>
  <si>
    <t>01720</t>
  </si>
  <si>
    <t>01290</t>
  </si>
  <si>
    <t>01291</t>
  </si>
  <si>
    <t>01294</t>
  </si>
  <si>
    <t>01296</t>
  </si>
  <si>
    <t>01297</t>
  </si>
  <si>
    <t>01300</t>
  </si>
  <si>
    <t>01303</t>
  </si>
  <si>
    <t>01304</t>
  </si>
  <si>
    <t>01309</t>
  </si>
  <si>
    <t>01312</t>
  </si>
  <si>
    <t>01315</t>
  </si>
  <si>
    <t>01316</t>
  </si>
  <si>
    <t>01318</t>
  </si>
  <si>
    <t>01321</t>
  </si>
  <si>
    <t>01324</t>
  </si>
  <si>
    <t>01327</t>
  </si>
  <si>
    <t>01330</t>
  </si>
  <si>
    <t>01333</t>
  </si>
  <si>
    <t>01336</t>
  </si>
  <si>
    <t>01339</t>
  </si>
  <si>
    <t>01342</t>
  </si>
  <si>
    <t>01343</t>
  </si>
  <si>
    <t>01345</t>
  </si>
  <si>
    <t>01348</t>
  </si>
  <si>
    <t>01351</t>
  </si>
  <si>
    <t>01352</t>
  </si>
  <si>
    <t>01354</t>
  </si>
  <si>
    <t>01357</t>
  </si>
  <si>
    <t>01359</t>
  </si>
  <si>
    <t>01360</t>
  </si>
  <si>
    <t>01363</t>
  </si>
  <si>
    <t>01366</t>
  </si>
  <si>
    <t>01367</t>
  </si>
  <si>
    <t>01372</t>
  </si>
  <si>
    <t>01375</t>
  </si>
  <si>
    <t>01378</t>
  </si>
  <si>
    <t>01381</t>
  </si>
  <si>
    <t>01384</t>
  </si>
  <si>
    <t>01387</t>
  </si>
  <si>
    <t>01392</t>
  </si>
  <si>
    <t>01393</t>
  </si>
  <si>
    <t>01399</t>
  </si>
  <si>
    <t>01402</t>
  </si>
  <si>
    <t>01411</t>
  </si>
  <si>
    <t>01414</t>
  </si>
  <si>
    <t>01417</t>
  </si>
  <si>
    <t>01420</t>
  </si>
  <si>
    <t>01429</t>
  </si>
  <si>
    <t>01432</t>
  </si>
  <si>
    <t>01435</t>
  </si>
  <si>
    <t>01438</t>
  </si>
  <si>
    <t>01447</t>
  </si>
  <si>
    <t>01453</t>
  </si>
  <si>
    <t>01456</t>
  </si>
  <si>
    <t>01462</t>
  </si>
  <si>
    <t>01465</t>
  </si>
  <si>
    <t>01468</t>
  </si>
  <si>
    <t>01471</t>
  </si>
  <si>
    <t>01477</t>
  </si>
  <si>
    <t>01480</t>
  </si>
  <si>
    <t>01481</t>
  </si>
  <si>
    <t>01483</t>
  </si>
  <si>
    <t>01489</t>
  </si>
  <si>
    <t>01495</t>
  </si>
  <si>
    <t>01498</t>
  </si>
  <si>
    <t>01501</t>
  </si>
  <si>
    <t>01504</t>
  </si>
  <si>
    <t>01507</t>
  </si>
  <si>
    <t>01516</t>
  </si>
  <si>
    <t>01519</t>
  </si>
  <si>
    <t>01522</t>
  </si>
  <si>
    <t>01525</t>
  </si>
  <si>
    <t>01534</t>
  </si>
  <si>
    <t>01537</t>
  </si>
  <si>
    <t>01540</t>
  </si>
  <si>
    <t>01543</t>
  </si>
  <si>
    <t>01546</t>
  </si>
  <si>
    <t>01549</t>
  </si>
  <si>
    <t>01552</t>
  </si>
  <si>
    <t>01555</t>
  </si>
  <si>
    <t>01558</t>
  </si>
  <si>
    <t>01561</t>
  </si>
  <si>
    <t>01564</t>
  </si>
  <si>
    <t>01567</t>
  </si>
  <si>
    <t>01573</t>
  </si>
  <si>
    <t>01474</t>
  </si>
  <si>
    <t>01576</t>
  </si>
  <si>
    <t>01579</t>
  </si>
  <si>
    <t>01582</t>
  </si>
  <si>
    <t>01594</t>
  </si>
  <si>
    <t>01597</t>
  </si>
  <si>
    <t>01603</t>
  </si>
  <si>
    <t>01606</t>
  </si>
  <si>
    <t>01609</t>
  </si>
  <si>
    <t>01615</t>
  </si>
  <si>
    <t>01618</t>
  </si>
  <si>
    <t>01624</t>
  </si>
  <si>
    <t>01627</t>
  </si>
  <si>
    <t>01630</t>
  </si>
  <si>
    <t>01636</t>
  </si>
  <si>
    <t>01639</t>
  </si>
  <si>
    <t>01645</t>
  </si>
  <si>
    <t>01648</t>
  </si>
  <si>
    <t>01651</t>
  </si>
  <si>
    <t>01654</t>
  </si>
  <si>
    <t>01657</t>
  </si>
  <si>
    <t>01660</t>
  </si>
  <si>
    <t>01666</t>
  </si>
  <si>
    <t>01669</t>
  </si>
  <si>
    <t>01672</t>
  </si>
  <si>
    <t>01675</t>
  </si>
  <si>
    <t>01687</t>
  </si>
  <si>
    <t>01696</t>
  </si>
  <si>
    <t>01699</t>
  </si>
  <si>
    <t>01702</t>
  </si>
  <si>
    <t>01708</t>
  </si>
  <si>
    <t>01711</t>
  </si>
  <si>
    <t>01714</t>
  </si>
  <si>
    <t>01723</t>
  </si>
  <si>
    <t>01726</t>
  </si>
  <si>
    <t>01729</t>
  </si>
  <si>
    <t>01732</t>
  </si>
  <si>
    <t>01735</t>
  </si>
  <si>
    <t>01738</t>
  </si>
  <si>
    <t>01744</t>
  </si>
  <si>
    <t>01747</t>
  </si>
  <si>
    <t>01750</t>
  </si>
  <si>
    <t>01756</t>
  </si>
  <si>
    <t>01762</t>
  </si>
  <si>
    <t>01765</t>
  </si>
  <si>
    <t>01768</t>
  </si>
  <si>
    <t>01771</t>
  </si>
  <si>
    <t>01774</t>
  </si>
  <si>
    <t>01777</t>
  </si>
  <si>
    <t>01780</t>
  </si>
  <si>
    <t>01783</t>
  </si>
  <si>
    <t>01786</t>
  </si>
  <si>
    <t>01789</t>
  </si>
  <si>
    <t>01792</t>
  </si>
  <si>
    <t>01795</t>
  </si>
  <si>
    <t>01801</t>
  </si>
  <si>
    <t>01804</t>
  </si>
  <si>
    <t>01807</t>
  </si>
  <si>
    <t>01810</t>
  </si>
  <si>
    <t>01813</t>
  </si>
  <si>
    <t>01816</t>
  </si>
  <si>
    <t>01819</t>
  </si>
  <si>
    <t>01822</t>
  </si>
  <si>
    <t>01828</t>
  </si>
  <si>
    <t>01831</t>
  </si>
  <si>
    <t>01834</t>
  </si>
  <si>
    <t>01837</t>
  </si>
  <si>
    <t>01840</t>
  </si>
  <si>
    <t>01843</t>
  </si>
  <si>
    <t>01846</t>
  </si>
  <si>
    <t>01849</t>
  </si>
  <si>
    <t>01852</t>
  </si>
  <si>
    <t>01855</t>
  </si>
  <si>
    <t>01858</t>
  </si>
  <si>
    <t>01861</t>
  </si>
  <si>
    <t>01864</t>
  </si>
  <si>
    <t>01867</t>
  </si>
  <si>
    <t>01870</t>
  </si>
  <si>
    <t>01873</t>
  </si>
  <si>
    <t>01876</t>
  </si>
  <si>
    <t>01879</t>
  </si>
  <si>
    <t>01882</t>
  </si>
  <si>
    <t>01885</t>
  </si>
  <si>
    <t>01888</t>
  </si>
  <si>
    <t>01891</t>
  </si>
  <si>
    <t>01894</t>
  </si>
  <si>
    <t>01897</t>
  </si>
  <si>
    <t>01900</t>
  </si>
  <si>
    <t>01906</t>
  </si>
  <si>
    <t>01909</t>
  </si>
  <si>
    <t>01912</t>
  </si>
  <si>
    <t>01915</t>
  </si>
  <si>
    <t>01918</t>
  </si>
  <si>
    <t>01921</t>
  </si>
  <si>
    <t>01924</t>
  </si>
  <si>
    <t>01927</t>
  </si>
  <si>
    <t>01930</t>
  </si>
  <si>
    <t>01933</t>
  </si>
  <si>
    <t>01936</t>
  </si>
  <si>
    <t>01939</t>
  </si>
  <si>
    <t>01942</t>
  </si>
  <si>
    <t>01945</t>
  </si>
  <si>
    <t>01948</t>
  </si>
  <si>
    <t>01951</t>
  </si>
  <si>
    <t>01954</t>
  </si>
  <si>
    <t>01957</t>
  </si>
  <si>
    <t>01960</t>
  </si>
  <si>
    <t>01963</t>
  </si>
  <si>
    <t>01969</t>
  </si>
  <si>
    <t>01975</t>
  </si>
  <si>
    <t>01978</t>
  </si>
  <si>
    <t>01981</t>
  </si>
  <si>
    <t>01984</t>
  </si>
  <si>
    <t>01990</t>
  </si>
  <si>
    <t>01993</t>
  </si>
  <si>
    <t>01999</t>
  </si>
  <si>
    <t>02002</t>
  </si>
  <si>
    <t>02005</t>
  </si>
  <si>
    <t>02008</t>
  </si>
  <si>
    <t>02011</t>
  </si>
  <si>
    <t>02014</t>
  </si>
  <si>
    <t>02017</t>
  </si>
  <si>
    <t>02020</t>
  </si>
  <si>
    <t>02023</t>
  </si>
  <si>
    <t>02026</t>
  </si>
  <si>
    <t>02029</t>
  </si>
  <si>
    <t>02032</t>
  </si>
  <si>
    <t>02035</t>
  </si>
  <si>
    <t>02038</t>
  </si>
  <si>
    <t>02041</t>
  </si>
  <si>
    <t>02044</t>
  </si>
  <si>
    <t>02047</t>
  </si>
  <si>
    <t>02050</t>
  </si>
  <si>
    <t>02053</t>
  </si>
  <si>
    <t>02059</t>
  </si>
  <si>
    <t>02062</t>
  </si>
  <si>
    <t>02065</t>
  </si>
  <si>
    <t>02068</t>
  </si>
  <si>
    <t>02071</t>
  </si>
  <si>
    <t>02077</t>
  </si>
  <si>
    <t>02080</t>
  </si>
  <si>
    <t>02083</t>
  </si>
  <si>
    <t>02086</t>
  </si>
  <si>
    <t>02089</t>
  </si>
  <si>
    <t>02092</t>
  </si>
  <si>
    <t>02095</t>
  </si>
  <si>
    <t>02098</t>
  </si>
  <si>
    <t>02101</t>
  </si>
  <si>
    <t>02104</t>
  </si>
  <si>
    <t>02107</t>
  </si>
  <si>
    <t>02110</t>
  </si>
  <si>
    <t>02113</t>
  </si>
  <si>
    <t>02116</t>
  </si>
  <si>
    <t>02122</t>
  </si>
  <si>
    <t>02125</t>
  </si>
  <si>
    <t>02131</t>
  </si>
  <si>
    <t>02137</t>
  </si>
  <si>
    <t>02140</t>
  </si>
  <si>
    <t>02143</t>
  </si>
  <si>
    <t>02146</t>
  </si>
  <si>
    <t>02152</t>
  </si>
  <si>
    <t>02155</t>
  </si>
  <si>
    <t>02158</t>
  </si>
  <si>
    <t>02161</t>
  </si>
  <si>
    <t>02170</t>
  </si>
  <si>
    <t>02173</t>
  </si>
  <si>
    <t>02176</t>
  </si>
  <si>
    <t>02179</t>
  </si>
  <si>
    <t>02185</t>
  </si>
  <si>
    <t>02188</t>
  </si>
  <si>
    <t>02191</t>
  </si>
  <si>
    <t>02194</t>
  </si>
  <si>
    <t>02197</t>
  </si>
  <si>
    <t>02200</t>
  </si>
  <si>
    <t>02203</t>
  </si>
  <si>
    <t>02206</t>
  </si>
  <si>
    <t>02209</t>
  </si>
  <si>
    <t>02212</t>
  </si>
  <si>
    <t>02215</t>
  </si>
  <si>
    <t>02216</t>
  </si>
  <si>
    <t>02218</t>
  </si>
  <si>
    <t>02497</t>
  </si>
  <si>
    <t>02503</t>
  </si>
  <si>
    <t>02509</t>
  </si>
  <si>
    <t>02512</t>
  </si>
  <si>
    <t>02515</t>
  </si>
  <si>
    <t>02521</t>
  </si>
  <si>
    <t>02524</t>
  </si>
  <si>
    <t>02233</t>
  </si>
  <si>
    <t>02242</t>
  </si>
  <si>
    <t>02251</t>
  </si>
  <si>
    <t>02266</t>
  </si>
  <si>
    <t>02269</t>
  </si>
  <si>
    <t>02290</t>
  </si>
  <si>
    <t>02293</t>
  </si>
  <si>
    <t>02296</t>
  </si>
  <si>
    <t>02299</t>
  </si>
  <si>
    <t>02302</t>
  </si>
  <si>
    <t>02221</t>
  </si>
  <si>
    <t>02227</t>
  </si>
  <si>
    <t>02230</t>
  </si>
  <si>
    <t>02239</t>
  </si>
  <si>
    <t>02245</t>
  </si>
  <si>
    <t>02248</t>
  </si>
  <si>
    <t>02254</t>
  </si>
  <si>
    <t>02260</t>
  </si>
  <si>
    <t>02263</t>
  </si>
  <si>
    <t>02275</t>
  </si>
  <si>
    <t>02281</t>
  </si>
  <si>
    <t>02284</t>
  </si>
  <si>
    <t>02287</t>
  </si>
  <si>
    <t>02305</t>
  </si>
  <si>
    <t>02308</t>
  </si>
  <si>
    <t>02311</t>
  </si>
  <si>
    <t>02314</t>
  </si>
  <si>
    <t>02317</t>
  </si>
  <si>
    <t>02320</t>
  </si>
  <si>
    <t>02323</t>
  </si>
  <si>
    <t>02326</t>
  </si>
  <si>
    <t>02329</t>
  </si>
  <si>
    <t>02332</t>
  </si>
  <si>
    <t>02335</t>
  </si>
  <si>
    <t>02338</t>
  </si>
  <si>
    <t>02341</t>
  </si>
  <si>
    <t>02344</t>
  </si>
  <si>
    <t>02347</t>
  </si>
  <si>
    <t>02350</t>
  </si>
  <si>
    <t>02353</t>
  </si>
  <si>
    <t>02356</t>
  </si>
  <si>
    <t>02359</t>
  </si>
  <si>
    <t>02362</t>
  </si>
  <si>
    <t>02365</t>
  </si>
  <si>
    <t>02368</t>
  </si>
  <si>
    <t>02371</t>
  </si>
  <si>
    <t>02374</t>
  </si>
  <si>
    <t>02377</t>
  </si>
  <si>
    <t>02380</t>
  </si>
  <si>
    <t>02383</t>
  </si>
  <si>
    <t>02386</t>
  </si>
  <si>
    <t>02389</t>
  </si>
  <si>
    <t>02392</t>
  </si>
  <si>
    <t>02395</t>
  </si>
  <si>
    <t>02398</t>
  </si>
  <si>
    <t>02401</t>
  </si>
  <si>
    <t>02404</t>
  </si>
  <si>
    <t>02407</t>
  </si>
  <si>
    <t>02410</t>
  </si>
  <si>
    <t>02413</t>
  </si>
  <si>
    <t>02416</t>
  </si>
  <si>
    <t>02419</t>
  </si>
  <si>
    <t>02422</t>
  </si>
  <si>
    <t>02425</t>
  </si>
  <si>
    <t>02431</t>
  </si>
  <si>
    <t>02434</t>
  </si>
  <si>
    <t>02437</t>
  </si>
  <si>
    <t>02440</t>
  </si>
  <si>
    <t>02443</t>
  </si>
  <si>
    <t>02446</t>
  </si>
  <si>
    <t>02449</t>
  </si>
  <si>
    <t>02452</t>
  </si>
  <si>
    <t>02455</t>
  </si>
  <si>
    <t>02458</t>
  </si>
  <si>
    <t>02461</t>
  </si>
  <si>
    <t>02464</t>
  </si>
  <si>
    <t>02467</t>
  </si>
  <si>
    <t>02470</t>
  </si>
  <si>
    <t>02473</t>
  </si>
  <si>
    <t>02476</t>
  </si>
  <si>
    <t>02479</t>
  </si>
  <si>
    <t>02482</t>
  </si>
  <si>
    <t>02485</t>
  </si>
  <si>
    <t>02488</t>
  </si>
  <si>
    <t>02491</t>
  </si>
  <si>
    <t>02494</t>
  </si>
  <si>
    <t>02500</t>
  </si>
  <si>
    <t>02506</t>
  </si>
  <si>
    <t>02518</t>
  </si>
  <si>
    <t>02527</t>
  </si>
  <si>
    <t>02530</t>
  </si>
  <si>
    <t>02533</t>
  </si>
  <si>
    <t>02536</t>
  </si>
  <si>
    <t>02539</t>
  </si>
  <si>
    <t>02542</t>
  </si>
  <si>
    <t>02545</t>
  </si>
  <si>
    <t>02548</t>
  </si>
  <si>
    <t>02551</t>
  </si>
  <si>
    <t>02554</t>
  </si>
  <si>
    <t>02557</t>
  </si>
  <si>
    <t>02560</t>
  </si>
  <si>
    <t>02563</t>
  </si>
  <si>
    <t>02566</t>
  </si>
  <si>
    <t>02569</t>
  </si>
  <si>
    <t>02572</t>
  </si>
  <si>
    <t>02575</t>
  </si>
  <si>
    <t>02578</t>
  </si>
  <si>
    <t>02584</t>
  </si>
  <si>
    <t>02587</t>
  </si>
  <si>
    <t>02590</t>
  </si>
  <si>
    <t>02593</t>
  </si>
  <si>
    <t>02596</t>
  </si>
  <si>
    <t>02599</t>
  </si>
  <si>
    <t>02602</t>
  </si>
  <si>
    <t>02605</t>
  </si>
  <si>
    <t>02608</t>
  </si>
  <si>
    <t>02611</t>
  </si>
  <si>
    <t>02614</t>
  </si>
  <si>
    <t>02617</t>
  </si>
  <si>
    <t>02620</t>
  </si>
  <si>
    <t>02623</t>
  </si>
  <si>
    <t>02626</t>
  </si>
  <si>
    <t>02632</t>
  </si>
  <si>
    <t>02635</t>
  </si>
  <si>
    <t>02641</t>
  </si>
  <si>
    <t>02644</t>
  </si>
  <si>
    <t>02647</t>
  </si>
  <si>
    <t>02650</t>
  </si>
  <si>
    <t>02653</t>
  </si>
  <si>
    <t>02656</t>
  </si>
  <si>
    <t>02658</t>
  </si>
  <si>
    <t>02659</t>
  </si>
  <si>
    <t>02662</t>
  </si>
  <si>
    <t>02665</t>
  </si>
  <si>
    <t>02668</t>
  </si>
  <si>
    <t>02671</t>
  </si>
  <si>
    <t>02674</t>
  </si>
  <si>
    <t>02677</t>
  </si>
  <si>
    <t>02680</t>
  </si>
  <si>
    <t>02746</t>
  </si>
  <si>
    <t>02683</t>
  </si>
  <si>
    <t>02686</t>
  </si>
  <si>
    <t>02689</t>
  </si>
  <si>
    <t>02692</t>
  </si>
  <si>
    <t>02695</t>
  </si>
  <si>
    <t>02701</t>
  </si>
  <si>
    <t>02704</t>
  </si>
  <si>
    <t>02707</t>
  </si>
  <si>
    <t>02710</t>
  </si>
  <si>
    <t>02713</t>
  </si>
  <si>
    <t>02716</t>
  </si>
  <si>
    <t>02719</t>
  </si>
  <si>
    <t>02722</t>
  </si>
  <si>
    <t>02725</t>
  </si>
  <si>
    <t>02728</t>
  </si>
  <si>
    <t>02731</t>
  </si>
  <si>
    <t>02734</t>
  </si>
  <si>
    <t>02737</t>
  </si>
  <si>
    <t>02740</t>
  </si>
  <si>
    <t>02743</t>
  </si>
  <si>
    <t>02749</t>
  </si>
  <si>
    <t>02752</t>
  </si>
  <si>
    <t>02755</t>
  </si>
  <si>
    <t>02758</t>
  </si>
  <si>
    <t>02761</t>
  </si>
  <si>
    <t>02764</t>
  </si>
  <si>
    <t>02767</t>
  </si>
  <si>
    <t>02770</t>
  </si>
  <si>
    <t>02773</t>
  </si>
  <si>
    <t>02776</t>
  </si>
  <si>
    <t>02779</t>
  </si>
  <si>
    <t>02782</t>
  </si>
  <si>
    <t>02785</t>
  </si>
  <si>
    <t>02788</t>
  </si>
  <si>
    <t>02791</t>
  </si>
  <si>
    <t>02794</t>
  </si>
  <si>
    <t>02797</t>
  </si>
  <si>
    <t>02800</t>
  </si>
  <si>
    <t>02803</t>
  </si>
  <si>
    <t>02806</t>
  </si>
  <si>
    <t>02809</t>
  </si>
  <si>
    <t>02812</t>
  </si>
  <si>
    <t>02818</t>
  </si>
  <si>
    <t>02821</t>
  </si>
  <si>
    <t>02824</t>
  </si>
  <si>
    <t>02827</t>
  </si>
  <si>
    <t>02836</t>
  </si>
  <si>
    <t>02839</t>
  </si>
  <si>
    <t>02842</t>
  </si>
  <si>
    <t>02848</t>
  </si>
  <si>
    <t>02851</t>
  </si>
  <si>
    <t>02854</t>
  </si>
  <si>
    <t>02857</t>
  </si>
  <si>
    <t>02863</t>
  </si>
  <si>
    <t>02866</t>
  </si>
  <si>
    <t>02869</t>
  </si>
  <si>
    <t>02872</t>
  </si>
  <si>
    <t>02875</t>
  </si>
  <si>
    <t>02878</t>
  </si>
  <si>
    <t>02881</t>
  </si>
  <si>
    <t>02884</t>
  </si>
  <si>
    <t>02887</t>
  </si>
  <si>
    <t>02890</t>
  </si>
  <si>
    <t>02893</t>
  </si>
  <si>
    <t>02896</t>
  </si>
  <si>
    <t>02899</t>
  </si>
  <si>
    <t>02902</t>
  </si>
  <si>
    <t>02905</t>
  </si>
  <si>
    <t>02908</t>
  </si>
  <si>
    <t>02911</t>
  </si>
  <si>
    <t>02914</t>
  </si>
  <si>
    <t>02917</t>
  </si>
  <si>
    <t>02920</t>
  </si>
  <si>
    <t>02923</t>
  </si>
  <si>
    <t>02926</t>
  </si>
  <si>
    <t>02929</t>
  </si>
  <si>
    <t>02932</t>
  </si>
  <si>
    <t>02935</t>
  </si>
  <si>
    <t>02938</t>
  </si>
  <si>
    <t>02944</t>
  </si>
  <si>
    <t>02947</t>
  </si>
  <si>
    <t>02950</t>
  </si>
  <si>
    <t>02953</t>
  </si>
  <si>
    <t>02956</t>
  </si>
  <si>
    <t>02959</t>
  </si>
  <si>
    <t>02962</t>
  </si>
  <si>
    <t>02965</t>
  </si>
  <si>
    <t>02968</t>
  </si>
  <si>
    <t>02971</t>
  </si>
  <si>
    <t>02974</t>
  </si>
  <si>
    <t>02977</t>
  </si>
  <si>
    <t>02980</t>
  </si>
  <si>
    <t>02983</t>
  </si>
  <si>
    <t>02986</t>
  </si>
  <si>
    <t>02989</t>
  </si>
  <si>
    <t>02992</t>
  </si>
  <si>
    <t>02998</t>
  </si>
  <si>
    <t>03001</t>
  </si>
  <si>
    <t>03002</t>
  </si>
  <si>
    <t>03003</t>
  </si>
  <si>
    <t>03004</t>
  </si>
  <si>
    <t>03006</t>
  </si>
  <si>
    <t>03010</t>
  </si>
  <si>
    <t>03013</t>
  </si>
  <si>
    <t>03016</t>
  </si>
  <si>
    <t>03019</t>
  </si>
  <si>
    <t>03022</t>
  </si>
  <si>
    <t>03028</t>
  </si>
  <si>
    <t>03037</t>
  </si>
  <si>
    <t>03040</t>
  </si>
  <si>
    <t>03043</t>
  </si>
  <si>
    <t>03046</t>
  </si>
  <si>
    <t>03052</t>
  </si>
  <si>
    <t>03055</t>
  </si>
  <si>
    <t>03061</t>
  </si>
  <si>
    <t>03064</t>
  </si>
  <si>
    <t>03067</t>
  </si>
  <si>
    <t>03070</t>
  </si>
  <si>
    <t>03073</t>
  </si>
  <si>
    <t>03076</t>
  </si>
  <si>
    <t>03079</t>
  </si>
  <si>
    <t>03082</t>
  </si>
  <si>
    <t>03085</t>
  </si>
  <si>
    <t>03088</t>
  </si>
  <si>
    <t>03091</t>
  </si>
  <si>
    <t>03094</t>
  </si>
  <si>
    <t>03097</t>
  </si>
  <si>
    <t>03100</t>
  </si>
  <si>
    <t>03103</t>
  </si>
  <si>
    <t>03106</t>
  </si>
  <si>
    <t>03109</t>
  </si>
  <si>
    <t>03112</t>
  </si>
  <si>
    <t>03115</t>
  </si>
  <si>
    <t>03118</t>
  </si>
  <si>
    <t>03121</t>
  </si>
  <si>
    <t>03124</t>
  </si>
  <si>
    <t>03127</t>
  </si>
  <si>
    <t>03130</t>
  </si>
  <si>
    <t>03133</t>
  </si>
  <si>
    <t>03136</t>
  </si>
  <si>
    <t>03139</t>
  </si>
  <si>
    <t>03142</t>
  </si>
  <si>
    <t>03145</t>
  </si>
  <si>
    <t>03316</t>
  </si>
  <si>
    <t>03317</t>
  </si>
  <si>
    <t>03325</t>
  </si>
  <si>
    <t>03326</t>
  </si>
  <si>
    <t>03148</t>
  </si>
  <si>
    <t>03151</t>
  </si>
  <si>
    <t>03184</t>
  </si>
  <si>
    <t>03154</t>
  </si>
  <si>
    <t>03155</t>
  </si>
  <si>
    <t>03157</t>
  </si>
  <si>
    <t>03158</t>
  </si>
  <si>
    <t>03159</t>
  </si>
  <si>
    <t>03160</t>
  </si>
  <si>
    <t>03161</t>
  </si>
  <si>
    <t>03162</t>
  </si>
  <si>
    <t>03163</t>
  </si>
  <si>
    <t>03164</t>
  </si>
  <si>
    <t>03177</t>
  </si>
  <si>
    <t>03172</t>
  </si>
  <si>
    <t>03178</t>
  </si>
  <si>
    <t>03181</t>
  </si>
  <si>
    <t>03190</t>
  </si>
  <si>
    <t>03191</t>
  </si>
  <si>
    <t>03193</t>
  </si>
  <si>
    <t>03194</t>
  </si>
  <si>
    <t>03196</t>
  </si>
  <si>
    <t>03197</t>
  </si>
  <si>
    <t>03200</t>
  </si>
  <si>
    <t>03201</t>
  </si>
  <si>
    <t>03202</t>
  </si>
  <si>
    <t>03217</t>
  </si>
  <si>
    <t>03220</t>
  </si>
  <si>
    <t>03223</t>
  </si>
  <si>
    <t>03226</t>
  </si>
  <si>
    <t>03229</t>
  </si>
  <si>
    <t>03232</t>
  </si>
  <si>
    <t>03235</t>
  </si>
  <si>
    <t>03238</t>
  </si>
  <si>
    <t>03241</t>
  </si>
  <si>
    <t>03244</t>
  </si>
  <si>
    <t>03247</t>
  </si>
  <si>
    <t>03250</t>
  </si>
  <si>
    <t>03253</t>
  </si>
  <si>
    <t>03259</t>
  </si>
  <si>
    <t>03260</t>
  </si>
  <si>
    <t>03262</t>
  </si>
  <si>
    <t>03263</t>
  </si>
  <si>
    <t>03265</t>
  </si>
  <si>
    <t>03268</t>
  </si>
  <si>
    <t>03269</t>
  </si>
  <si>
    <t>03271</t>
  </si>
  <si>
    <t>03274</t>
  </si>
  <si>
    <t>03277</t>
  </si>
  <si>
    <t>03280</t>
  </si>
  <si>
    <t>03283</t>
  </si>
  <si>
    <t>03284</t>
  </si>
  <si>
    <t>03289</t>
  </si>
  <si>
    <t>03295</t>
  </si>
  <si>
    <t>03298</t>
  </si>
  <si>
    <t>03299</t>
  </si>
  <si>
    <t>03304</t>
  </si>
  <si>
    <t>03319</t>
  </si>
  <si>
    <t>03322</t>
  </si>
  <si>
    <t>03323</t>
  </si>
  <si>
    <t>03328</t>
  </si>
  <si>
    <t>03331</t>
  </si>
  <si>
    <t>03334</t>
  </si>
  <si>
    <t>03337</t>
  </si>
  <si>
    <t>03340</t>
  </si>
  <si>
    <t>03343</t>
  </si>
  <si>
    <t>03346</t>
  </si>
  <si>
    <t>03349</t>
  </si>
  <si>
    <t>03352</t>
  </si>
  <si>
    <t>03355</t>
  </si>
  <si>
    <t>03356</t>
  </si>
  <si>
    <t>03358</t>
  </si>
  <si>
    <t>03359</t>
  </si>
  <si>
    <t>03361</t>
  </si>
  <si>
    <t>03364</t>
  </si>
  <si>
    <t>03365</t>
  </si>
  <si>
    <t>03367</t>
  </si>
  <si>
    <t>03368</t>
  </si>
  <si>
    <t>03203</t>
  </si>
  <si>
    <t>03205</t>
  </si>
  <si>
    <t>03208</t>
  </si>
  <si>
    <t>03211</t>
  </si>
  <si>
    <t>03214</t>
  </si>
  <si>
    <t>03370</t>
  </si>
  <si>
    <t>03371</t>
  </si>
  <si>
    <t>03373</t>
  </si>
  <si>
    <t>03376</t>
  </si>
  <si>
    <t>03379</t>
  </si>
  <si>
    <t>03382</t>
  </si>
  <si>
    <t>03383</t>
  </si>
  <si>
    <t>03384</t>
  </si>
  <si>
    <t>03385</t>
  </si>
  <si>
    <t>03256</t>
  </si>
  <si>
    <t>03286</t>
  </si>
  <si>
    <t>03287</t>
  </si>
  <si>
    <t>03292</t>
  </si>
  <si>
    <t>03301</t>
  </si>
  <si>
    <t>03302</t>
  </si>
  <si>
    <t>03307</t>
  </si>
  <si>
    <t>03310</t>
  </si>
  <si>
    <t>03312</t>
  </si>
  <si>
    <t>03313</t>
  </si>
  <si>
    <t>03156</t>
  </si>
  <si>
    <t>03165</t>
  </si>
  <si>
    <t>03166</t>
  </si>
  <si>
    <t>03167</t>
  </si>
  <si>
    <t>03168</t>
  </si>
  <si>
    <t>03169</t>
  </si>
  <si>
    <t>03170</t>
  </si>
  <si>
    <t>03171</t>
  </si>
  <si>
    <t>03173</t>
  </si>
  <si>
    <t>03174</t>
  </si>
  <si>
    <t>03175</t>
  </si>
  <si>
    <t>03176</t>
  </si>
  <si>
    <t>03187</t>
  </si>
  <si>
    <t>03198</t>
  </si>
  <si>
    <t>03199</t>
  </si>
  <si>
    <t>03386</t>
  </si>
  <si>
    <t>03387</t>
  </si>
  <si>
    <t>03388</t>
  </si>
  <si>
    <t>03389</t>
  </si>
  <si>
    <t>03403</t>
  </si>
  <si>
    <t>03408</t>
  </si>
  <si>
    <t>03409</t>
  </si>
  <si>
    <t>03390</t>
  </si>
  <si>
    <t>03394</t>
  </si>
  <si>
    <t>03400</t>
  </si>
  <si>
    <t>03405</t>
  </si>
  <si>
    <t>03406</t>
  </si>
  <si>
    <t>03412</t>
  </si>
  <si>
    <t>03413</t>
  </si>
  <si>
    <t>03415</t>
  </si>
  <si>
    <t>03418</t>
  </si>
  <si>
    <t>03421</t>
  </si>
  <si>
    <t>03424</t>
  </si>
  <si>
    <t>03427</t>
  </si>
  <si>
    <t>03430</t>
  </si>
  <si>
    <t>03433</t>
  </si>
  <si>
    <t>03436</t>
  </si>
  <si>
    <t>03439</t>
  </si>
  <si>
    <t>03440</t>
  </si>
  <si>
    <t>03442</t>
  </si>
  <si>
    <t>03445</t>
  </si>
  <si>
    <t>03448</t>
  </si>
  <si>
    <t>03451</t>
  </si>
  <si>
    <t>03454</t>
  </si>
  <si>
    <t>03457</t>
  </si>
  <si>
    <t>03463</t>
  </si>
  <si>
    <t>03466</t>
  </si>
  <si>
    <t>03467</t>
  </si>
  <si>
    <t>03469</t>
  </si>
  <si>
    <t>03478</t>
  </si>
  <si>
    <t>03487</t>
  </si>
  <si>
    <t>03493</t>
  </si>
  <si>
    <t>03496</t>
  </si>
  <si>
    <t>03499</t>
  </si>
  <si>
    <t>03505</t>
  </si>
  <si>
    <t>03508</t>
  </si>
  <si>
    <t>03509</t>
  </si>
  <si>
    <t>03511</t>
  </si>
  <si>
    <t>03514</t>
  </si>
  <si>
    <t>03517</t>
  </si>
  <si>
    <t>03520</t>
  </si>
  <si>
    <t>03523</t>
  </si>
  <si>
    <t>03526</t>
  </si>
  <si>
    <t>03527</t>
  </si>
  <si>
    <t>03529</t>
  </si>
  <si>
    <t>03532</t>
  </si>
  <si>
    <t>03535</t>
  </si>
  <si>
    <t>03538</t>
  </si>
  <si>
    <t>03541</t>
  </si>
  <si>
    <t>03544</t>
  </si>
  <si>
    <t>03547</t>
  </si>
  <si>
    <t>03391</t>
  </si>
  <si>
    <t>03490</t>
  </si>
  <si>
    <t>03549</t>
  </si>
  <si>
    <t>03550</t>
  </si>
  <si>
    <t>03553</t>
  </si>
  <si>
    <t>03559</t>
  </si>
  <si>
    <t>03562</t>
  </si>
  <si>
    <t>03565</t>
  </si>
  <si>
    <t>03568</t>
  </si>
  <si>
    <t>03571</t>
  </si>
  <si>
    <t>03574</t>
  </si>
  <si>
    <t>03577</t>
  </si>
  <si>
    <t>03580</t>
  </si>
  <si>
    <t>03583</t>
  </si>
  <si>
    <t>03586</t>
  </si>
  <si>
    <t>03589</t>
  </si>
  <si>
    <t>03592</t>
  </si>
  <si>
    <t>03595</t>
  </si>
  <si>
    <t>03618</t>
  </si>
  <si>
    <t>03619</t>
  </si>
  <si>
    <t>03625</t>
  </si>
  <si>
    <t>03628</t>
  </si>
  <si>
    <t>03631</t>
  </si>
  <si>
    <t>03632</t>
  </si>
  <si>
    <t>03634</t>
  </si>
  <si>
    <t>03637</t>
  </si>
  <si>
    <t>03638</t>
  </si>
  <si>
    <t>03640</t>
  </si>
  <si>
    <t>03643</t>
  </si>
  <si>
    <t>03598</t>
  </si>
  <si>
    <t>03601</t>
  </si>
  <si>
    <t>03602</t>
  </si>
  <si>
    <t>03604</t>
  </si>
  <si>
    <t>03605</t>
  </si>
  <si>
    <t>03607</t>
  </si>
  <si>
    <t>03610</t>
  </si>
  <si>
    <t>03613</t>
  </si>
  <si>
    <t>03616</t>
  </si>
  <si>
    <t>03622</t>
  </si>
  <si>
    <t>03434</t>
  </si>
  <si>
    <t>03460</t>
  </si>
  <si>
    <t>03472</t>
  </si>
  <si>
    <t>03473</t>
  </si>
  <si>
    <t>03474</t>
  </si>
  <si>
    <t>03475</t>
  </si>
  <si>
    <t>03481</t>
  </si>
  <si>
    <t>03484</t>
  </si>
  <si>
    <t>03488</t>
  </si>
  <si>
    <t>03502</t>
  </si>
  <si>
    <t>03503</t>
  </si>
  <si>
    <t>03646</t>
  </si>
  <si>
    <t>03649</t>
  </si>
  <si>
    <t>03652</t>
  </si>
  <si>
    <t>03655</t>
  </si>
  <si>
    <t>03658</t>
  </si>
  <si>
    <t>03661</t>
  </si>
  <si>
    <t>03664</t>
  </si>
  <si>
    <t>03667</t>
  </si>
  <si>
    <t>03670</t>
  </si>
  <si>
    <t>03673</t>
  </si>
  <si>
    <t>03676</t>
  </si>
  <si>
    <t>03679</t>
  </si>
  <si>
    <t>03682</t>
  </si>
  <si>
    <t>03685</t>
  </si>
  <si>
    <t>03688</t>
  </si>
  <si>
    <t>03694</t>
  </si>
  <si>
    <t>03697</t>
  </si>
  <si>
    <t>03700</t>
  </si>
  <si>
    <t>03703</t>
  </si>
  <si>
    <t>03706</t>
  </si>
  <si>
    <t>03709</t>
  </si>
  <si>
    <t>03712</t>
  </si>
  <si>
    <t>03718</t>
  </si>
  <si>
    <t>03721</t>
  </si>
  <si>
    <t>03724</t>
  </si>
  <si>
    <t>03727</t>
  </si>
  <si>
    <t>03730</t>
  </si>
  <si>
    <t>03733</t>
  </si>
  <si>
    <t>03736</t>
  </si>
  <si>
    <t>03739</t>
  </si>
  <si>
    <t>03742</t>
  </si>
  <si>
    <t>03745</t>
  </si>
  <si>
    <t>03748</t>
  </si>
  <si>
    <t>03751</t>
  </si>
  <si>
    <t>03754</t>
  </si>
  <si>
    <t>03757</t>
  </si>
  <si>
    <t>03760</t>
  </si>
  <si>
    <t>03763</t>
  </si>
  <si>
    <t>03766</t>
  </si>
  <si>
    <t>03769</t>
  </si>
  <si>
    <t>03772</t>
  </si>
  <si>
    <t>03775</t>
  </si>
  <si>
    <t>03778</t>
  </si>
  <si>
    <t>03781</t>
  </si>
  <si>
    <t>03784</t>
  </si>
  <si>
    <t>03787</t>
  </si>
  <si>
    <t>03790</t>
  </si>
  <si>
    <t>03793</t>
  </si>
  <si>
    <t>03796</t>
  </si>
  <si>
    <t>03799</t>
  </si>
  <si>
    <t>03802</t>
  </si>
  <si>
    <t>03805</t>
  </si>
  <si>
    <t>03808</t>
  </si>
  <si>
    <t>03811</t>
  </si>
  <si>
    <t>03814</t>
  </si>
  <si>
    <t>03817</t>
  </si>
  <si>
    <t>03820</t>
  </si>
  <si>
    <t>03823</t>
  </si>
  <si>
    <t>03826</t>
  </si>
  <si>
    <t>03829</t>
  </si>
  <si>
    <t>03832</t>
  </si>
  <si>
    <t>03835</t>
  </si>
  <si>
    <t>03838</t>
  </si>
  <si>
    <t>03841</t>
  </si>
  <si>
    <t>03844</t>
  </si>
  <si>
    <t>03847</t>
  </si>
  <si>
    <t>03850</t>
  </si>
  <si>
    <t>03853</t>
  </si>
  <si>
    <t>03856</t>
  </si>
  <si>
    <t>03859</t>
  </si>
  <si>
    <t>03862</t>
  </si>
  <si>
    <t>03865</t>
  </si>
  <si>
    <t>03868</t>
  </si>
  <si>
    <t>03869</t>
  </si>
  <si>
    <t>03871</t>
  </si>
  <si>
    <t>03874</t>
  </si>
  <si>
    <t>03877</t>
  </si>
  <si>
    <t>03880</t>
  </si>
  <si>
    <t>03883</t>
  </si>
  <si>
    <t>03886</t>
  </si>
  <si>
    <t>03889</t>
  </si>
  <si>
    <t>03890</t>
  </si>
  <si>
    <t>03892</t>
  </si>
  <si>
    <t>03895</t>
  </si>
  <si>
    <t>03898</t>
  </si>
  <si>
    <t>03901</t>
  </si>
  <si>
    <t>03904</t>
  </si>
  <si>
    <t>03907</t>
  </si>
  <si>
    <t>03910</t>
  </si>
  <si>
    <t>03913</t>
  </si>
  <si>
    <t>03916</t>
  </si>
  <si>
    <t>03919</t>
  </si>
  <si>
    <t>03922</t>
  </si>
  <si>
    <t>03925</t>
  </si>
  <si>
    <t>03928</t>
  </si>
  <si>
    <t>03931</t>
  </si>
  <si>
    <t>03934</t>
  </si>
  <si>
    <t>03937</t>
  </si>
  <si>
    <t>03940</t>
  </si>
  <si>
    <t>03943</t>
  </si>
  <si>
    <t>03946</t>
  </si>
  <si>
    <t>03949</t>
  </si>
  <si>
    <t>03952</t>
  </si>
  <si>
    <t>03955</t>
  </si>
  <si>
    <t>03958</t>
  </si>
  <si>
    <t>03961</t>
  </si>
  <si>
    <t>03964</t>
  </si>
  <si>
    <t>03967</t>
  </si>
  <si>
    <t>03970</t>
  </si>
  <si>
    <t>03973</t>
  </si>
  <si>
    <t>03976</t>
  </si>
  <si>
    <t>03979</t>
  </si>
  <si>
    <t>03982</t>
  </si>
  <si>
    <t>03985</t>
  </si>
  <si>
    <t>03988</t>
  </si>
  <si>
    <t>03991</t>
  </si>
  <si>
    <t>03997</t>
  </si>
  <si>
    <t>04000</t>
  </si>
  <si>
    <t>04003</t>
  </si>
  <si>
    <t>04012</t>
  </si>
  <si>
    <t>04015</t>
  </si>
  <si>
    <t>04024</t>
  </si>
  <si>
    <t>04027</t>
  </si>
  <si>
    <t>04030</t>
  </si>
  <si>
    <t>04033</t>
  </si>
  <si>
    <t>04045</t>
  </si>
  <si>
    <t>04060</t>
  </si>
  <si>
    <t>04063</t>
  </si>
  <si>
    <t>04066</t>
  </si>
  <si>
    <t>04069</t>
  </si>
  <si>
    <t>04072</t>
  </si>
  <si>
    <t>04075</t>
  </si>
  <si>
    <t>04078</t>
  </si>
  <si>
    <t>04081</t>
  </si>
  <si>
    <t>04084</t>
  </si>
  <si>
    <t>04087</t>
  </si>
  <si>
    <t>04090</t>
  </si>
  <si>
    <t>04093</t>
  </si>
  <si>
    <t>04096</t>
  </si>
  <si>
    <t>04099</t>
  </si>
  <si>
    <t>04102</t>
  </si>
  <si>
    <t>04105</t>
  </si>
  <si>
    <t>04108</t>
  </si>
  <si>
    <t>04111</t>
  </si>
  <si>
    <t>04114</t>
  </si>
  <si>
    <t>04117</t>
  </si>
  <si>
    <t>04120</t>
  </si>
  <si>
    <t>04123</t>
  </si>
  <si>
    <t>04126</t>
  </si>
  <si>
    <t>04129</t>
  </si>
  <si>
    <t>04132</t>
  </si>
  <si>
    <t>04135</t>
  </si>
  <si>
    <t>04136</t>
  </si>
  <si>
    <t>04138</t>
  </si>
  <si>
    <t>04141</t>
  </si>
  <si>
    <t>04144</t>
  </si>
  <si>
    <t>04147</t>
  </si>
  <si>
    <t>04150</t>
  </si>
  <si>
    <t>04153</t>
  </si>
  <si>
    <t>04156</t>
  </si>
  <si>
    <t>04159</t>
  </si>
  <si>
    <t>04162</t>
  </si>
  <si>
    <t>04165</t>
  </si>
  <si>
    <t>04168</t>
  </si>
  <si>
    <t>04171</t>
  </si>
  <si>
    <t>04174</t>
  </si>
  <si>
    <t>04177</t>
  </si>
  <si>
    <t>04180</t>
  </si>
  <si>
    <t>04183</t>
  </si>
  <si>
    <t>04186</t>
  </si>
  <si>
    <t>04189</t>
  </si>
  <si>
    <t>04192</t>
  </si>
  <si>
    <t>04195</t>
  </si>
  <si>
    <t>04198</t>
  </si>
  <si>
    <t>04201</t>
  </si>
  <si>
    <t>04204</t>
  </si>
  <si>
    <t>04207</t>
  </si>
  <si>
    <t>04210</t>
  </si>
  <si>
    <t>04213</t>
  </si>
  <si>
    <t>04216</t>
  </si>
  <si>
    <t>04219</t>
  </si>
  <si>
    <t>04222</t>
  </si>
  <si>
    <t>04225</t>
  </si>
  <si>
    <t>04228</t>
  </si>
  <si>
    <t>04231</t>
  </si>
  <si>
    <t>04234</t>
  </si>
  <si>
    <t>04237</t>
  </si>
  <si>
    <t>04240</t>
  </si>
  <si>
    <t>04243</t>
  </si>
  <si>
    <t>04246</t>
  </si>
  <si>
    <t>03994</t>
  </si>
  <si>
    <t>04006</t>
  </si>
  <si>
    <t>04009</t>
  </si>
  <si>
    <t>04018</t>
  </si>
  <si>
    <t>04021</t>
  </si>
  <si>
    <t>04036</t>
  </si>
  <si>
    <t>04039</t>
  </si>
  <si>
    <t>04042</t>
  </si>
  <si>
    <t>04048</t>
  </si>
  <si>
    <t>04051</t>
  </si>
  <si>
    <t>04054</t>
  </si>
  <si>
    <t>04056</t>
  </si>
  <si>
    <t>04057</t>
  </si>
  <si>
    <t>04058</t>
  </si>
  <si>
    <t>04249</t>
  </si>
  <si>
    <t>04252</t>
  </si>
  <si>
    <t>04255</t>
  </si>
  <si>
    <t>04258</t>
  </si>
  <si>
    <t>04261</t>
  </si>
  <si>
    <t>04264</t>
  </si>
  <si>
    <t>04267</t>
  </si>
  <si>
    <t>04270</t>
  </si>
  <si>
    <t>04273</t>
  </si>
  <si>
    <t>04276</t>
  </si>
  <si>
    <t>04279</t>
  </si>
  <si>
    <t>04540</t>
  </si>
  <si>
    <t>04543</t>
  </si>
  <si>
    <t>04546</t>
  </si>
  <si>
    <t>04558</t>
  </si>
  <si>
    <t>04282</t>
  </si>
  <si>
    <t>04285</t>
  </si>
  <si>
    <t>04288</t>
  </si>
  <si>
    <t>04291</t>
  </si>
  <si>
    <t>04294</t>
  </si>
  <si>
    <t>04297</t>
  </si>
  <si>
    <t>04300</t>
  </si>
  <si>
    <t>04624</t>
  </si>
  <si>
    <t>04660</t>
  </si>
  <si>
    <t>04663</t>
  </si>
  <si>
    <t>04675</t>
  </si>
  <si>
    <t>04678</t>
  </si>
  <si>
    <t>04681</t>
  </si>
  <si>
    <t>04684</t>
  </si>
  <si>
    <t>04303</t>
  </si>
  <si>
    <t>04306</t>
  </si>
  <si>
    <t>04309</t>
  </si>
  <si>
    <t>04312</t>
  </si>
  <si>
    <t>04315</t>
  </si>
  <si>
    <t>04318</t>
  </si>
  <si>
    <t>04321</t>
  </si>
  <si>
    <t>04324</t>
  </si>
  <si>
    <t>04327</t>
  </si>
  <si>
    <t>04330</t>
  </si>
  <si>
    <t>04333</t>
  </si>
  <si>
    <t>04336</t>
  </si>
  <si>
    <t>04339</t>
  </si>
  <si>
    <t>04342</t>
  </si>
  <si>
    <t>04345</t>
  </si>
  <si>
    <t>04348</t>
  </si>
  <si>
    <t>04351</t>
  </si>
  <si>
    <t>04354</t>
  </si>
  <si>
    <t>04357</t>
  </si>
  <si>
    <t>04360</t>
  </si>
  <si>
    <t>04363</t>
  </si>
  <si>
    <t>04366</t>
  </si>
  <si>
    <t>04369</t>
  </si>
  <si>
    <t>04372</t>
  </si>
  <si>
    <t>04375</t>
  </si>
  <si>
    <t>04378</t>
  </si>
  <si>
    <t>04381</t>
  </si>
  <si>
    <t>04384</t>
  </si>
  <si>
    <t>04387</t>
  </si>
  <si>
    <t>04390</t>
  </si>
  <si>
    <t>04393</t>
  </si>
  <si>
    <t>04396</t>
  </si>
  <si>
    <t>04399</t>
  </si>
  <si>
    <t>04402</t>
  </si>
  <si>
    <t>04405</t>
  </si>
  <si>
    <t>04408</t>
  </si>
  <si>
    <t>04411</t>
  </si>
  <si>
    <t>04414</t>
  </si>
  <si>
    <t>04417</t>
  </si>
  <si>
    <t>04420</t>
  </si>
  <si>
    <t>04423</t>
  </si>
  <si>
    <t>04426</t>
  </si>
  <si>
    <t>04429</t>
  </si>
  <si>
    <t>04435</t>
  </si>
  <si>
    <t>04438</t>
  </si>
  <si>
    <t>04441</t>
  </si>
  <si>
    <t>04447</t>
  </si>
  <si>
    <t>04450</t>
  </si>
  <si>
    <t>04453</t>
  </si>
  <si>
    <t>04456</t>
  </si>
  <si>
    <t>04459</t>
  </si>
  <si>
    <t>04462</t>
  </si>
  <si>
    <t>04465</t>
  </si>
  <si>
    <t>04468</t>
  </si>
  <si>
    <t>04471</t>
  </si>
  <si>
    <t>04474</t>
  </si>
  <si>
    <t>04477</t>
  </si>
  <si>
    <t>04480</t>
  </si>
  <si>
    <t>04483</t>
  </si>
  <si>
    <t>04486</t>
  </si>
  <si>
    <t>04489</t>
  </si>
  <si>
    <t>04492</t>
  </si>
  <si>
    <t>04495</t>
  </si>
  <si>
    <t>04498</t>
  </si>
  <si>
    <t>04501</t>
  </si>
  <si>
    <t>04504</t>
  </si>
  <si>
    <t>04507</t>
  </si>
  <si>
    <t>04510</t>
  </si>
  <si>
    <t>04513</t>
  </si>
  <si>
    <t>04516</t>
  </si>
  <si>
    <t>04519</t>
  </si>
  <si>
    <t>04522</t>
  </si>
  <si>
    <t>04525</t>
  </si>
  <si>
    <t>04528</t>
  </si>
  <si>
    <t>04531</t>
  </si>
  <si>
    <t>04537</t>
  </si>
  <si>
    <t>04561</t>
  </si>
  <si>
    <t>04564</t>
  </si>
  <si>
    <t>04567</t>
  </si>
  <si>
    <t>04570</t>
  </si>
  <si>
    <t>04573</t>
  </si>
  <si>
    <t>04576</t>
  </si>
  <si>
    <t>04579</t>
  </si>
  <si>
    <t>04582</t>
  </si>
  <si>
    <t>04585</t>
  </si>
  <si>
    <t>04588</t>
  </si>
  <si>
    <t>04591</t>
  </si>
  <si>
    <t>04594</t>
  </si>
  <si>
    <t>04597</t>
  </si>
  <si>
    <t>04600</t>
  </si>
  <si>
    <t>04603</t>
  </si>
  <si>
    <t>04606</t>
  </si>
  <si>
    <t>04609</t>
  </si>
  <si>
    <t>04612</t>
  </si>
  <si>
    <t>04615</t>
  </si>
  <si>
    <t>04618</t>
  </si>
  <si>
    <t>04621</t>
  </si>
  <si>
    <t>04627</t>
  </si>
  <si>
    <t>04630</t>
  </si>
  <si>
    <t>04633</t>
  </si>
  <si>
    <t>04636</t>
  </si>
  <si>
    <t>04639</t>
  </si>
  <si>
    <t>04642</t>
  </si>
  <si>
    <t>04645</t>
  </si>
  <si>
    <t>04648</t>
  </si>
  <si>
    <t>04651</t>
  </si>
  <si>
    <t>04654</t>
  </si>
  <si>
    <t>04657</t>
  </si>
  <si>
    <t>04666</t>
  </si>
  <si>
    <t>04669</t>
  </si>
  <si>
    <t>04672</t>
  </si>
  <si>
    <t>04687</t>
  </si>
  <si>
    <t>04690</t>
  </si>
  <si>
    <t>04693</t>
  </si>
  <si>
    <t>04696</t>
  </si>
  <si>
    <t>04699</t>
  </si>
  <si>
    <t>04702</t>
  </si>
  <si>
    <t>04705</t>
  </si>
  <si>
    <t>04708</t>
  </si>
  <si>
    <t>04711</t>
  </si>
  <si>
    <t>04714</t>
  </si>
  <si>
    <t>04717</t>
  </si>
  <si>
    <t>04720</t>
  </si>
  <si>
    <t>04726</t>
  </si>
  <si>
    <t>04729</t>
  </si>
  <si>
    <t>04732</t>
  </si>
  <si>
    <t>04735</t>
  </si>
  <si>
    <t>04738</t>
  </si>
  <si>
    <t>04741</t>
  </si>
  <si>
    <t>04744</t>
  </si>
  <si>
    <t>04747</t>
  </si>
  <si>
    <t>04750</t>
  </si>
  <si>
    <t>04753</t>
  </si>
  <si>
    <t>04756</t>
  </si>
  <si>
    <t>04759</t>
  </si>
  <si>
    <t>04762</t>
  </si>
  <si>
    <t>04765</t>
  </si>
  <si>
    <t>04768</t>
  </si>
  <si>
    <t>04771</t>
  </si>
  <si>
    <t>04774</t>
  </si>
  <si>
    <t>04777</t>
  </si>
  <si>
    <t>04780</t>
  </si>
  <si>
    <t>04783</t>
  </si>
  <si>
    <t>04786</t>
  </si>
  <si>
    <t>04789</t>
  </si>
  <si>
    <t>04792</t>
  </si>
  <si>
    <t>04795</t>
  </si>
  <si>
    <t>04798</t>
  </si>
  <si>
    <t>04801</t>
  </si>
  <si>
    <t>04804</t>
  </si>
  <si>
    <t>04807</t>
  </si>
  <si>
    <t>04813</t>
  </si>
  <si>
    <t>04816</t>
  </si>
  <si>
    <t>04819</t>
  </si>
  <si>
    <t>04825</t>
  </si>
  <si>
    <t>04828</t>
  </si>
  <si>
    <t>04894</t>
  </si>
  <si>
    <t>04897</t>
  </si>
  <si>
    <t>04903</t>
  </si>
  <si>
    <t>04906</t>
  </si>
  <si>
    <t>04912</t>
  </si>
  <si>
    <t>04918</t>
  </si>
  <si>
    <t>04921</t>
  </si>
  <si>
    <t>04831</t>
  </si>
  <si>
    <t>04834</t>
  </si>
  <si>
    <t>04840</t>
  </si>
  <si>
    <t>04846</t>
  </si>
  <si>
    <t>04849</t>
  </si>
  <si>
    <t>04852</t>
  </si>
  <si>
    <t>04855</t>
  </si>
  <si>
    <t>04858</t>
  </si>
  <si>
    <t>04861</t>
  </si>
  <si>
    <t>04867</t>
  </si>
  <si>
    <t>04870</t>
  </si>
  <si>
    <t>04873</t>
  </si>
  <si>
    <t>04876</t>
  </si>
  <si>
    <t>04879</t>
  </si>
  <si>
    <t>04885</t>
  </si>
  <si>
    <t>04888</t>
  </si>
  <si>
    <t>04891</t>
  </si>
  <si>
    <t>04924</t>
  </si>
  <si>
    <t>04942</t>
  </si>
  <si>
    <t>04945</t>
  </si>
  <si>
    <t>04951</t>
  </si>
  <si>
    <t>04954</t>
  </si>
  <si>
    <t>04957</t>
  </si>
  <si>
    <t>04960</t>
  </si>
  <si>
    <t>04969</t>
  </si>
  <si>
    <t>05008</t>
  </si>
  <si>
    <t>05041</t>
  </si>
  <si>
    <t>05047</t>
  </si>
  <si>
    <t>04978</t>
  </si>
  <si>
    <t>04984</t>
  </si>
  <si>
    <t>04987</t>
  </si>
  <si>
    <t>04990</t>
  </si>
  <si>
    <t>04999</t>
  </si>
  <si>
    <t>05005</t>
  </si>
  <si>
    <t>05014</t>
  </si>
  <si>
    <t>05017</t>
  </si>
  <si>
    <t>05026</t>
  </si>
  <si>
    <t>05035</t>
  </si>
  <si>
    <t>05038</t>
  </si>
  <si>
    <t>05065</t>
  </si>
  <si>
    <t>05068</t>
  </si>
  <si>
    <t>05077</t>
  </si>
  <si>
    <t>05080</t>
  </si>
  <si>
    <t>05083</t>
  </si>
  <si>
    <t>05086</t>
  </si>
  <si>
    <t>05089</t>
  </si>
  <si>
    <t>05092</t>
  </si>
  <si>
    <t>05095</t>
  </si>
  <si>
    <t>05098</t>
  </si>
  <si>
    <t>05101</t>
  </si>
  <si>
    <t>05104</t>
  </si>
  <si>
    <t>05110</t>
  </si>
  <si>
    <t>05116</t>
  </si>
  <si>
    <t>05119</t>
  </si>
  <si>
    <t>05125</t>
  </si>
  <si>
    <t>05128</t>
  </si>
  <si>
    <t>05134</t>
  </si>
  <si>
    <t>05137</t>
  </si>
  <si>
    <t>05140</t>
  </si>
  <si>
    <t>05143</t>
  </si>
  <si>
    <t>05152</t>
  </si>
  <si>
    <t>05158</t>
  </si>
  <si>
    <t>05164</t>
  </si>
  <si>
    <t>05167</t>
  </si>
  <si>
    <t>05170</t>
  </si>
  <si>
    <t>05173</t>
  </si>
  <si>
    <t>05176</t>
  </si>
  <si>
    <t>05182</t>
  </si>
  <si>
    <t>05191</t>
  </si>
  <si>
    <t>05194</t>
  </si>
  <si>
    <t>05197</t>
  </si>
  <si>
    <t>04882</t>
  </si>
  <si>
    <t>05200</t>
  </si>
  <si>
    <t>05206</t>
  </si>
  <si>
    <t>05209</t>
  </si>
  <si>
    <t>05212</t>
  </si>
  <si>
    <t>05221</t>
  </si>
  <si>
    <t>05224</t>
  </si>
  <si>
    <t>05227</t>
  </si>
  <si>
    <t>05233</t>
  </si>
  <si>
    <t>05242</t>
  </si>
  <si>
    <t>05245</t>
  </si>
  <si>
    <t>05248</t>
  </si>
  <si>
    <t>05251</t>
  </si>
  <si>
    <t>05254</t>
  </si>
  <si>
    <t>05257</t>
  </si>
  <si>
    <t>05263</t>
  </si>
  <si>
    <t>05266</t>
  </si>
  <si>
    <t>05269</t>
  </si>
  <si>
    <t>05272</t>
  </si>
  <si>
    <t>05275</t>
  </si>
  <si>
    <t>05278</t>
  </si>
  <si>
    <t>05281</t>
  </si>
  <si>
    <t>05284</t>
  </si>
  <si>
    <t>05287</t>
  </si>
  <si>
    <t>05290</t>
  </si>
  <si>
    <t>05293</t>
  </si>
  <si>
    <t>05299</t>
  </si>
  <si>
    <t>05302</t>
  </si>
  <si>
    <t>05305</t>
  </si>
  <si>
    <t>05308</t>
  </si>
  <si>
    <t>05320</t>
  </si>
  <si>
    <t>05323</t>
  </si>
  <si>
    <t>05329</t>
  </si>
  <si>
    <t>05332</t>
  </si>
  <si>
    <t>05335</t>
  </si>
  <si>
    <t>05338</t>
  </si>
  <si>
    <t>05341</t>
  </si>
  <si>
    <t>05344</t>
  </si>
  <si>
    <t>05347</t>
  </si>
  <si>
    <t>05350</t>
  </si>
  <si>
    <t>05353</t>
  </si>
  <si>
    <t>05356</t>
  </si>
  <si>
    <t>05362</t>
  </si>
  <si>
    <t>05365</t>
  </si>
  <si>
    <t>05368</t>
  </si>
  <si>
    <t>05371</t>
  </si>
  <si>
    <t>05374</t>
  </si>
  <si>
    <t>05380</t>
  </si>
  <si>
    <t>05383</t>
  </si>
  <si>
    <t>05386</t>
  </si>
  <si>
    <t>05389</t>
  </si>
  <si>
    <t>04981</t>
  </si>
  <si>
    <t>05392</t>
  </si>
  <si>
    <t>05395</t>
  </si>
  <si>
    <t>05398</t>
  </si>
  <si>
    <t>05404</t>
  </si>
  <si>
    <t>05413</t>
  </si>
  <si>
    <t>05419</t>
  </si>
  <si>
    <t>05422</t>
  </si>
  <si>
    <t>05425</t>
  </si>
  <si>
    <t>05428</t>
  </si>
  <si>
    <t>05431</t>
  </si>
  <si>
    <t>05434</t>
  </si>
  <si>
    <t>05437</t>
  </si>
  <si>
    <t>05440</t>
  </si>
  <si>
    <t>05443</t>
  </si>
  <si>
    <t>05446</t>
  </si>
  <si>
    <t>05449</t>
  </si>
  <si>
    <t>05452</t>
  </si>
  <si>
    <t>05455</t>
  </si>
  <si>
    <t>05458</t>
  </si>
  <si>
    <t>05461</t>
  </si>
  <si>
    <t>05464</t>
  </si>
  <si>
    <t>05467</t>
  </si>
  <si>
    <t>05470</t>
  </si>
  <si>
    <t>05473</t>
  </si>
  <si>
    <t>05476</t>
  </si>
  <si>
    <t>05479</t>
  </si>
  <si>
    <t>05482</t>
  </si>
  <si>
    <t>05485</t>
  </si>
  <si>
    <t>05488</t>
  </si>
  <si>
    <t>05491</t>
  </si>
  <si>
    <t>05494</t>
  </si>
  <si>
    <t>05497</t>
  </si>
  <si>
    <t>05500</t>
  </si>
  <si>
    <t>05503</t>
  </si>
  <si>
    <t>05653</t>
  </si>
  <si>
    <t>05659</t>
  </si>
  <si>
    <t>05695</t>
  </si>
  <si>
    <t>05701</t>
  </si>
  <si>
    <t>05710</t>
  </si>
  <si>
    <t>05713</t>
  </si>
  <si>
    <t>05914</t>
  </si>
  <si>
    <t>05506</t>
  </si>
  <si>
    <t>05509</t>
  </si>
  <si>
    <t>05512</t>
  </si>
  <si>
    <t>05515</t>
  </si>
  <si>
    <t>05518</t>
  </si>
  <si>
    <t>05521</t>
  </si>
  <si>
    <t>05527</t>
  </si>
  <si>
    <t>05528</t>
  </si>
  <si>
    <t>05530</t>
  </si>
  <si>
    <t>05533</t>
  </si>
  <si>
    <t>05536</t>
  </si>
  <si>
    <t>05539</t>
  </si>
  <si>
    <t>05542</t>
  </si>
  <si>
    <t>05545</t>
  </si>
  <si>
    <t>05548</t>
  </si>
  <si>
    <t>05551</t>
  </si>
  <si>
    <t>05554</t>
  </si>
  <si>
    <t>05560</t>
  </si>
  <si>
    <t>05563</t>
  </si>
  <si>
    <t>05566</t>
  </si>
  <si>
    <t>05569</t>
  </si>
  <si>
    <t>05572</t>
  </si>
  <si>
    <t>05575</t>
  </si>
  <si>
    <t>05578</t>
  </si>
  <si>
    <t>05581</t>
  </si>
  <si>
    <t>05584</t>
  </si>
  <si>
    <t>05587</t>
  </si>
  <si>
    <t>05590</t>
  </si>
  <si>
    <t>05593</t>
  </si>
  <si>
    <t>05596</t>
  </si>
  <si>
    <t>05599</t>
  </si>
  <si>
    <t>05602</t>
  </si>
  <si>
    <t>05605</t>
  </si>
  <si>
    <t>05608</t>
  </si>
  <si>
    <t>05611</t>
  </si>
  <si>
    <t>05614</t>
  </si>
  <si>
    <t>05617</t>
  </si>
  <si>
    <t>05620</t>
  </si>
  <si>
    <t>05623</t>
  </si>
  <si>
    <t>05626</t>
  </si>
  <si>
    <t>05629</t>
  </si>
  <si>
    <t>05632</t>
  </si>
  <si>
    <t>05635</t>
  </si>
  <si>
    <t>05638</t>
  </si>
  <si>
    <t>05641</t>
  </si>
  <si>
    <t>05644</t>
  </si>
  <si>
    <t>05647</t>
  </si>
  <si>
    <t>05650</t>
  </si>
  <si>
    <t>05656</t>
  </si>
  <si>
    <t>05662</t>
  </si>
  <si>
    <t>05665</t>
  </si>
  <si>
    <t>05668</t>
  </si>
  <si>
    <t>05671</t>
  </si>
  <si>
    <t>05674</t>
  </si>
  <si>
    <t>05677</t>
  </si>
  <si>
    <t>05680</t>
  </si>
  <si>
    <t>05683</t>
  </si>
  <si>
    <t>05686</t>
  </si>
  <si>
    <t>05689</t>
  </si>
  <si>
    <t>05692</t>
  </si>
  <si>
    <t>05698</t>
  </si>
  <si>
    <t>05704</t>
  </si>
  <si>
    <t>05707</t>
  </si>
  <si>
    <t>05716</t>
  </si>
  <si>
    <t>05719</t>
  </si>
  <si>
    <t>05722</t>
  </si>
  <si>
    <t>05725</t>
  </si>
  <si>
    <t>05728</t>
  </si>
  <si>
    <t>05731</t>
  </si>
  <si>
    <t>05734</t>
  </si>
  <si>
    <t>05737</t>
  </si>
  <si>
    <t>05740</t>
  </si>
  <si>
    <t>05743</t>
  </si>
  <si>
    <t>05746</t>
  </si>
  <si>
    <t>05749</t>
  </si>
  <si>
    <t>05752</t>
  </si>
  <si>
    <t>05755</t>
  </si>
  <si>
    <t>05758</t>
  </si>
  <si>
    <t>05761</t>
  </si>
  <si>
    <t>05764</t>
  </si>
  <si>
    <t>05767</t>
  </si>
  <si>
    <t>05770</t>
  </si>
  <si>
    <t>05773</t>
  </si>
  <si>
    <t>05776</t>
  </si>
  <si>
    <t>05779</t>
  </si>
  <si>
    <t>05782</t>
  </si>
  <si>
    <t>05785</t>
  </si>
  <si>
    <t>05788</t>
  </si>
  <si>
    <t>05791</t>
  </si>
  <si>
    <t>05794</t>
  </si>
  <si>
    <t>05797</t>
  </si>
  <si>
    <t>05800</t>
  </si>
  <si>
    <t>05803</t>
  </si>
  <si>
    <t>05809</t>
  </si>
  <si>
    <t>05812</t>
  </si>
  <si>
    <t>05815</t>
  </si>
  <si>
    <t>05818</t>
  </si>
  <si>
    <t>05821</t>
  </si>
  <si>
    <t>05824</t>
  </si>
  <si>
    <t>05827</t>
  </si>
  <si>
    <t>05830</t>
  </si>
  <si>
    <t>05833</t>
  </si>
  <si>
    <t>05836</t>
  </si>
  <si>
    <t>05839</t>
  </si>
  <si>
    <t>05842</t>
  </si>
  <si>
    <t>05845</t>
  </si>
  <si>
    <t>05848</t>
  </si>
  <si>
    <t>05851</t>
  </si>
  <si>
    <t>05854</t>
  </si>
  <si>
    <t>05857</t>
  </si>
  <si>
    <t>05860</t>
  </si>
  <si>
    <t>05863</t>
  </si>
  <si>
    <t>05866</t>
  </si>
  <si>
    <t>05869</t>
  </si>
  <si>
    <t>05872</t>
  </si>
  <si>
    <t>05875</t>
  </si>
  <si>
    <t>05878</t>
  </si>
  <si>
    <t>05881</t>
  </si>
  <si>
    <t>05884</t>
  </si>
  <si>
    <t>05887</t>
  </si>
  <si>
    <t>05890</t>
  </si>
  <si>
    <t>05893</t>
  </si>
  <si>
    <t>05896</t>
  </si>
  <si>
    <t>05899</t>
  </si>
  <si>
    <t>05902</t>
  </si>
  <si>
    <t>05905</t>
  </si>
  <si>
    <t>05908</t>
  </si>
  <si>
    <t>05911</t>
  </si>
  <si>
    <t>05917</t>
  </si>
  <si>
    <t>05920</t>
  </si>
  <si>
    <t>05923</t>
  </si>
  <si>
    <t>05926</t>
  </si>
  <si>
    <t>05929</t>
  </si>
  <si>
    <t>05932</t>
  </si>
  <si>
    <t>05935</t>
  </si>
  <si>
    <t>05938</t>
  </si>
  <si>
    <t>05941</t>
  </si>
  <si>
    <t>05944</t>
  </si>
  <si>
    <t>05947</t>
  </si>
  <si>
    <t>05950</t>
  </si>
  <si>
    <t>05953</t>
  </si>
  <si>
    <t>05956</t>
  </si>
  <si>
    <t>05959</t>
  </si>
  <si>
    <t>05962</t>
  </si>
  <si>
    <t>05965</t>
  </si>
  <si>
    <t>05968</t>
  </si>
  <si>
    <t>05971</t>
  </si>
  <si>
    <t>05974</t>
  </si>
  <si>
    <t>05977</t>
  </si>
  <si>
    <t>05980</t>
  </si>
  <si>
    <t>05983</t>
  </si>
  <si>
    <t>05986</t>
  </si>
  <si>
    <t>05989</t>
  </si>
  <si>
    <t>05992</t>
  </si>
  <si>
    <t>05995</t>
  </si>
  <si>
    <t>05998</t>
  </si>
  <si>
    <t>06001</t>
  </si>
  <si>
    <t>06004</t>
  </si>
  <si>
    <t>06007</t>
  </si>
  <si>
    <t>06010</t>
  </si>
  <si>
    <t>06013</t>
  </si>
  <si>
    <t>06016</t>
  </si>
  <si>
    <t>06019</t>
  </si>
  <si>
    <t>06022</t>
  </si>
  <si>
    <t>06025</t>
  </si>
  <si>
    <t>06028</t>
  </si>
  <si>
    <t>06031</t>
  </si>
  <si>
    <t>06034</t>
  </si>
  <si>
    <t>06037</t>
  </si>
  <si>
    <t>06040</t>
  </si>
  <si>
    <t>06043</t>
  </si>
  <si>
    <t>06046</t>
  </si>
  <si>
    <t>06049</t>
  </si>
  <si>
    <t>06055</t>
  </si>
  <si>
    <t>06058</t>
  </si>
  <si>
    <t>06061</t>
  </si>
  <si>
    <t>06067</t>
  </si>
  <si>
    <t>06070</t>
  </si>
  <si>
    <t>06073</t>
  </si>
  <si>
    <t>06076</t>
  </si>
  <si>
    <t>06079</t>
  </si>
  <si>
    <t>06082</t>
  </si>
  <si>
    <t>06085</t>
  </si>
  <si>
    <t>06088</t>
  </si>
  <si>
    <t>06091</t>
  </si>
  <si>
    <t>06094</t>
  </si>
  <si>
    <t>06097</t>
  </si>
  <si>
    <t>06100</t>
  </si>
  <si>
    <t>06103</t>
  </si>
  <si>
    <t>06106</t>
  </si>
  <si>
    <t>06109</t>
  </si>
  <si>
    <t>06112</t>
  </si>
  <si>
    <t>06115</t>
  </si>
  <si>
    <t>06118</t>
  </si>
  <si>
    <t>06121</t>
  </si>
  <si>
    <t>06124</t>
  </si>
  <si>
    <t>06127</t>
  </si>
  <si>
    <t>06133</t>
  </si>
  <si>
    <t>06136</t>
  </si>
  <si>
    <t>06139</t>
  </si>
  <si>
    <t>06142</t>
  </si>
  <si>
    <t>06148</t>
  </si>
  <si>
    <t>06151</t>
  </si>
  <si>
    <t>06154</t>
  </si>
  <si>
    <t>06157</t>
  </si>
  <si>
    <t>06160</t>
  </si>
  <si>
    <t>06163</t>
  </si>
  <si>
    <t>06166</t>
  </si>
  <si>
    <t>06172</t>
  </si>
  <si>
    <t>06175</t>
  </si>
  <si>
    <t>06178</t>
  </si>
  <si>
    <t>06181</t>
  </si>
  <si>
    <t>06184</t>
  </si>
  <si>
    <t>06187</t>
  </si>
  <si>
    <t>06190</t>
  </si>
  <si>
    <t>06193</t>
  </si>
  <si>
    <t>06196</t>
  </si>
  <si>
    <t>06199</t>
  </si>
  <si>
    <t>06202</t>
  </si>
  <si>
    <t>06205</t>
  </si>
  <si>
    <t>06208</t>
  </si>
  <si>
    <t>06211</t>
  </si>
  <si>
    <t>06214</t>
  </si>
  <si>
    <t>06217</t>
  </si>
  <si>
    <t>06220</t>
  </si>
  <si>
    <t>06223</t>
  </si>
  <si>
    <t>06226</t>
  </si>
  <si>
    <t>06232</t>
  </si>
  <si>
    <t>06235</t>
  </si>
  <si>
    <t>06238</t>
  </si>
  <si>
    <t>06241</t>
  </si>
  <si>
    <t>06244</t>
  </si>
  <si>
    <t>06247</t>
  </si>
  <si>
    <t>06250</t>
  </si>
  <si>
    <t>06253</t>
  </si>
  <si>
    <t>06256</t>
  </si>
  <si>
    <t>06268</t>
  </si>
  <si>
    <t>06274</t>
  </si>
  <si>
    <t>06277</t>
  </si>
  <si>
    <t>06280</t>
  </si>
  <si>
    <t>06283</t>
  </si>
  <si>
    <t>06286</t>
  </si>
  <si>
    <t>06292</t>
  </si>
  <si>
    <t>06295</t>
  </si>
  <si>
    <t>06298</t>
  </si>
  <si>
    <t>06301</t>
  </si>
  <si>
    <t>06307</t>
  </si>
  <si>
    <t>06313</t>
  </si>
  <si>
    <t>06316</t>
  </si>
  <si>
    <t>06319</t>
  </si>
  <si>
    <t>06322</t>
  </si>
  <si>
    <t>06325</t>
  </si>
  <si>
    <t>06328</t>
  </si>
  <si>
    <t>06331</t>
  </si>
  <si>
    <t>06337</t>
  </si>
  <si>
    <t>06340</t>
  </si>
  <si>
    <t>06343</t>
  </si>
  <si>
    <t>06349</t>
  </si>
  <si>
    <t>06352</t>
  </si>
  <si>
    <t>06355</t>
  </si>
  <si>
    <t>06358</t>
  </si>
  <si>
    <t>06361</t>
  </si>
  <si>
    <t>06364</t>
  </si>
  <si>
    <t>06367</t>
  </si>
  <si>
    <t>06370</t>
  </si>
  <si>
    <t>06373</t>
  </si>
  <si>
    <t>06376</t>
  </si>
  <si>
    <t>06379</t>
  </si>
  <si>
    <t>06382</t>
  </si>
  <si>
    <t>06385</t>
  </si>
  <si>
    <t>06388</t>
  </si>
  <si>
    <t>06391</t>
  </si>
  <si>
    <t>06394</t>
  </si>
  <si>
    <t>06397</t>
  </si>
  <si>
    <t>06400</t>
  </si>
  <si>
    <t>06403</t>
  </si>
  <si>
    <t>06406</t>
  </si>
  <si>
    <t>06412</t>
  </si>
  <si>
    <t>06415</t>
  </si>
  <si>
    <t>06418</t>
  </si>
  <si>
    <t>06421</t>
  </si>
  <si>
    <t>06424</t>
  </si>
  <si>
    <t>06427</t>
  </si>
  <si>
    <t>06430</t>
  </si>
  <si>
    <t>06433</t>
  </si>
  <si>
    <t>06436</t>
  </si>
  <si>
    <t>06442</t>
  </si>
  <si>
    <t>06445</t>
  </si>
  <si>
    <t>06448</t>
  </si>
  <si>
    <t>06451</t>
  </si>
  <si>
    <t>06454</t>
  </si>
  <si>
    <t>06457</t>
  </si>
  <si>
    <t>06460</t>
  </si>
  <si>
    <t>06463</t>
  </si>
  <si>
    <t>06466</t>
  </si>
  <si>
    <t>06469</t>
  </si>
  <si>
    <t>06472</t>
  </si>
  <si>
    <t>06475</t>
  </si>
  <si>
    <t>06478</t>
  </si>
  <si>
    <t>06481</t>
  </si>
  <si>
    <t>06484</t>
  </si>
  <si>
    <t>06487</t>
  </si>
  <si>
    <t>06490</t>
  </si>
  <si>
    <t>06493</t>
  </si>
  <si>
    <t>06496</t>
  </si>
  <si>
    <t>06499</t>
  </si>
  <si>
    <t>06502</t>
  </si>
  <si>
    <t>06505</t>
  </si>
  <si>
    <t>06508</t>
  </si>
  <si>
    <t>06514</t>
  </si>
  <si>
    <t>06517</t>
  </si>
  <si>
    <t>06520</t>
  </si>
  <si>
    <t>06523</t>
  </si>
  <si>
    <t>06526</t>
  </si>
  <si>
    <t>06529</t>
  </si>
  <si>
    <t>06532</t>
  </si>
  <si>
    <t>06541</t>
  </si>
  <si>
    <t>06544</t>
  </si>
  <si>
    <t>06547</t>
  </si>
  <si>
    <t>06550</t>
  </si>
  <si>
    <t>06553</t>
  </si>
  <si>
    <t>06559</t>
  </si>
  <si>
    <t>06562</t>
  </si>
  <si>
    <t>06565</t>
  </si>
  <si>
    <t>06574</t>
  </si>
  <si>
    <t>06577</t>
  </si>
  <si>
    <t>06589</t>
  </si>
  <si>
    <t>06592</t>
  </si>
  <si>
    <t>06595</t>
  </si>
  <si>
    <t>06598</t>
  </si>
  <si>
    <t>06601</t>
  </si>
  <si>
    <t>06604</t>
  </si>
  <si>
    <t>06607</t>
  </si>
  <si>
    <t>06610</t>
  </si>
  <si>
    <t>06613</t>
  </si>
  <si>
    <t>06616</t>
  </si>
  <si>
    <t>06619</t>
  </si>
  <si>
    <t>06622</t>
  </si>
  <si>
    <t>06625</t>
  </si>
  <si>
    <t>06628</t>
  </si>
  <si>
    <t>06631</t>
  </si>
  <si>
    <t>06634</t>
  </si>
  <si>
    <t>06637</t>
  </si>
  <si>
    <t>06640</t>
  </si>
  <si>
    <t>06643</t>
  </si>
  <si>
    <t>06646</t>
  </si>
  <si>
    <t>06649</t>
  </si>
  <si>
    <t>06652</t>
  </si>
  <si>
    <t>06655</t>
  </si>
  <si>
    <t>06658</t>
  </si>
  <si>
    <t>06661</t>
  </si>
  <si>
    <t>06664</t>
  </si>
  <si>
    <t>06667</t>
  </si>
  <si>
    <t>06670</t>
  </si>
  <si>
    <t>06673</t>
  </si>
  <si>
    <t>06676</t>
  </si>
  <si>
    <t>06679</t>
  </si>
  <si>
    <t>06682</t>
  </si>
  <si>
    <t>06685</t>
  </si>
  <si>
    <t>06688</t>
  </si>
  <si>
    <t>06691</t>
  </si>
  <si>
    <t>06694</t>
  </si>
  <si>
    <t>06697</t>
  </si>
  <si>
    <t>06700</t>
  </si>
  <si>
    <t>06703</t>
  </si>
  <si>
    <t>06706</t>
  </si>
  <si>
    <t>07030</t>
  </si>
  <si>
    <t>07033</t>
  </si>
  <si>
    <t>07036</t>
  </si>
  <si>
    <t>07039</t>
  </si>
  <si>
    <t>07042</t>
  </si>
  <si>
    <t>07045</t>
  </si>
  <si>
    <t>07048</t>
  </si>
  <si>
    <t>07051</t>
  </si>
  <si>
    <t>07054</t>
  </si>
  <si>
    <t>07057</t>
  </si>
  <si>
    <t>07060</t>
  </si>
  <si>
    <t>07063</t>
  </si>
  <si>
    <t>07066</t>
  </si>
  <si>
    <t>06709</t>
  </si>
  <si>
    <t>06712</t>
  </si>
  <si>
    <t>06715</t>
  </si>
  <si>
    <t>06718</t>
  </si>
  <si>
    <t>06721</t>
  </si>
  <si>
    <t>06724</t>
  </si>
  <si>
    <t>06727</t>
  </si>
  <si>
    <t>06730</t>
  </si>
  <si>
    <t>06733</t>
  </si>
  <si>
    <t>06736</t>
  </si>
  <si>
    <t>06739</t>
  </si>
  <si>
    <t>06742</t>
  </si>
  <si>
    <t>06745</t>
  </si>
  <si>
    <t>06748</t>
  </si>
  <si>
    <t>06751</t>
  </si>
  <si>
    <t>06754</t>
  </si>
  <si>
    <t>06757</t>
  </si>
  <si>
    <t>06760</t>
  </si>
  <si>
    <t>06763</t>
  </si>
  <si>
    <t>06766</t>
  </si>
  <si>
    <t>06769</t>
  </si>
  <si>
    <t>06772</t>
  </si>
  <si>
    <t>06775</t>
  </si>
  <si>
    <t>06778</t>
  </si>
  <si>
    <t>06781</t>
  </si>
  <si>
    <t>06784</t>
  </si>
  <si>
    <t>06787</t>
  </si>
  <si>
    <t>06790</t>
  </si>
  <si>
    <t>06793</t>
  </si>
  <si>
    <t>06796</t>
  </si>
  <si>
    <t>06799</t>
  </si>
  <si>
    <t>06802</t>
  </si>
  <si>
    <t>06805</t>
  </si>
  <si>
    <t>06808</t>
  </si>
  <si>
    <t>06811</t>
  </si>
  <si>
    <t>06814</t>
  </si>
  <si>
    <t>06817</t>
  </si>
  <si>
    <t>06820</t>
  </si>
  <si>
    <t>06823</t>
  </si>
  <si>
    <t>06826</t>
  </si>
  <si>
    <t>06829</t>
  </si>
  <si>
    <t>06832</t>
  </si>
  <si>
    <t>06835</t>
  </si>
  <si>
    <t>06838</t>
  </si>
  <si>
    <t>06841</t>
  </si>
  <si>
    <t>06844</t>
  </si>
  <si>
    <t>06847</t>
  </si>
  <si>
    <t>06853</t>
  </si>
  <si>
    <t>06856</t>
  </si>
  <si>
    <t>06859</t>
  </si>
  <si>
    <t>06862</t>
  </si>
  <si>
    <t>06865</t>
  </si>
  <si>
    <t>06868</t>
  </si>
  <si>
    <t>06871</t>
  </si>
  <si>
    <t>06874</t>
  </si>
  <si>
    <t>06877</t>
  </si>
  <si>
    <t>06880</t>
  </si>
  <si>
    <t>06883</t>
  </si>
  <si>
    <t>06886</t>
  </si>
  <si>
    <t>06889</t>
  </si>
  <si>
    <t>06892</t>
  </si>
  <si>
    <t>06895</t>
  </si>
  <si>
    <t>06898</t>
  </si>
  <si>
    <t>06901</t>
  </si>
  <si>
    <t>06904</t>
  </si>
  <si>
    <t>06910</t>
  </si>
  <si>
    <t>06913</t>
  </si>
  <si>
    <t>06916</t>
  </si>
  <si>
    <t>06917</t>
  </si>
  <si>
    <t>06919</t>
  </si>
  <si>
    <t>06922</t>
  </si>
  <si>
    <t>06925</t>
  </si>
  <si>
    <t>06928</t>
  </si>
  <si>
    <t>06931</t>
  </si>
  <si>
    <t>06937</t>
  </si>
  <si>
    <t>06940</t>
  </si>
  <si>
    <t>06943</t>
  </si>
  <si>
    <t>06946</t>
  </si>
  <si>
    <t>06949</t>
  </si>
  <si>
    <t>06952</t>
  </si>
  <si>
    <t>06967</t>
  </si>
  <si>
    <t>06970</t>
  </si>
  <si>
    <t>06973</t>
  </si>
  <si>
    <t>06976</t>
  </si>
  <si>
    <t>06979</t>
  </si>
  <si>
    <t>06982</t>
  </si>
  <si>
    <t>06985</t>
  </si>
  <si>
    <t>06988</t>
  </si>
  <si>
    <t>06991</t>
  </si>
  <si>
    <t>06994</t>
  </si>
  <si>
    <t>06997</t>
  </si>
  <si>
    <t>07000</t>
  </si>
  <si>
    <t>07003</t>
  </si>
  <si>
    <t>07006</t>
  </si>
  <si>
    <t>07009</t>
  </si>
  <si>
    <t>07012</t>
  </si>
  <si>
    <t>07015</t>
  </si>
  <si>
    <t>07018</t>
  </si>
  <si>
    <t>07021</t>
  </si>
  <si>
    <t>07024</t>
  </si>
  <si>
    <t>07027</t>
  </si>
  <si>
    <t>07069</t>
  </si>
  <si>
    <t>07072</t>
  </si>
  <si>
    <t>07075</t>
  </si>
  <si>
    <t>07078</t>
  </si>
  <si>
    <t>07081</t>
  </si>
  <si>
    <t>07084</t>
  </si>
  <si>
    <t>07087</t>
  </si>
  <si>
    <t>07090</t>
  </si>
  <si>
    <t>07093</t>
  </si>
  <si>
    <t>07096</t>
  </si>
  <si>
    <t>07099</t>
  </si>
  <si>
    <t>07102</t>
  </si>
  <si>
    <t>07105</t>
  </si>
  <si>
    <t>07108</t>
  </si>
  <si>
    <t>07111</t>
  </si>
  <si>
    <t>07114</t>
  </si>
  <si>
    <t>07117</t>
  </si>
  <si>
    <t>07120</t>
  </si>
  <si>
    <t>07123</t>
  </si>
  <si>
    <t>07126</t>
  </si>
  <si>
    <t>07129</t>
  </si>
  <si>
    <t>07132</t>
  </si>
  <si>
    <t>07135</t>
  </si>
  <si>
    <t>07138</t>
  </si>
  <si>
    <t>07144</t>
  </si>
  <si>
    <t>07147</t>
  </si>
  <si>
    <t>07150</t>
  </si>
  <si>
    <t>07153</t>
  </si>
  <si>
    <t>07156</t>
  </si>
  <si>
    <t>07159</t>
  </si>
  <si>
    <t>07162</t>
  </si>
  <si>
    <t>07165</t>
  </si>
  <si>
    <t>07168</t>
  </si>
  <si>
    <t>07171</t>
  </si>
  <si>
    <t>07174</t>
  </si>
  <si>
    <t>07177</t>
  </si>
  <si>
    <t>07180</t>
  </si>
  <si>
    <t>07183</t>
  </si>
  <si>
    <t>07186</t>
  </si>
  <si>
    <t>07189</t>
  </si>
  <si>
    <t>07192</t>
  </si>
  <si>
    <t>07195</t>
  </si>
  <si>
    <t>07198</t>
  </si>
  <si>
    <t>07201</t>
  </si>
  <si>
    <t>07204</t>
  </si>
  <si>
    <t>07207</t>
  </si>
  <si>
    <t>07210</t>
  </si>
  <si>
    <t>07213</t>
  </si>
  <si>
    <t>07216</t>
  </si>
  <si>
    <t>07219</t>
  </si>
  <si>
    <t>07222</t>
  </si>
  <si>
    <t>07225</t>
  </si>
  <si>
    <t>07228</t>
  </si>
  <si>
    <t>07231</t>
  </si>
  <si>
    <t>07441</t>
  </si>
  <si>
    <t>07687</t>
  </si>
  <si>
    <t>07696</t>
  </si>
  <si>
    <t>07699</t>
  </si>
  <si>
    <t>07705</t>
  </si>
  <si>
    <t>07243</t>
  </si>
  <si>
    <t>07246</t>
  </si>
  <si>
    <t>07249</t>
  </si>
  <si>
    <t>07252</t>
  </si>
  <si>
    <t>07255</t>
  </si>
  <si>
    <t>07258</t>
  </si>
  <si>
    <t>07260</t>
  </si>
  <si>
    <t>07261</t>
  </si>
  <si>
    <t>07264</t>
  </si>
  <si>
    <t>07267</t>
  </si>
  <si>
    <t>07270</t>
  </si>
  <si>
    <t>07273</t>
  </si>
  <si>
    <t>07276</t>
  </si>
  <si>
    <t>07279</t>
  </si>
  <si>
    <t>07282</t>
  </si>
  <si>
    <t>07285</t>
  </si>
  <si>
    <t>07288</t>
  </si>
  <si>
    <t>07291</t>
  </si>
  <si>
    <t>07294</t>
  </si>
  <si>
    <t>07303</t>
  </si>
  <si>
    <t>07306</t>
  </si>
  <si>
    <t>07309</t>
  </si>
  <si>
    <t>07312</t>
  </si>
  <si>
    <t>07315</t>
  </si>
  <si>
    <t>07318</t>
  </si>
  <si>
    <t>07321</t>
  </si>
  <si>
    <t>07324</t>
  </si>
  <si>
    <t>07327</t>
  </si>
  <si>
    <t>07330</t>
  </si>
  <si>
    <t>07333</t>
  </si>
  <si>
    <t>07336</t>
  </si>
  <si>
    <t>07339</t>
  </si>
  <si>
    <t>07342</t>
  </si>
  <si>
    <t>07345</t>
  </si>
  <si>
    <t>07348</t>
  </si>
  <si>
    <t>07351</t>
  </si>
  <si>
    <t>07354</t>
  </si>
  <si>
    <t>07357</t>
  </si>
  <si>
    <t>07360</t>
  </si>
  <si>
    <t>07363</t>
  </si>
  <si>
    <t>07366</t>
  </si>
  <si>
    <t>07375</t>
  </si>
  <si>
    <t>07378</t>
  </si>
  <si>
    <t>07381</t>
  </si>
  <si>
    <t>07384</t>
  </si>
  <si>
    <t>07387</t>
  </si>
  <si>
    <t>07390</t>
  </si>
  <si>
    <t>07393</t>
  </si>
  <si>
    <t>07396</t>
  </si>
  <si>
    <t>07399</t>
  </si>
  <si>
    <t>07402</t>
  </si>
  <si>
    <t>07405</t>
  </si>
  <si>
    <t>07408</t>
  </si>
  <si>
    <t>07411</t>
  </si>
  <si>
    <t>07414</t>
  </si>
  <si>
    <t>07417</t>
  </si>
  <si>
    <t>07420</t>
  </si>
  <si>
    <t>07426</t>
  </si>
  <si>
    <t>07429</t>
  </si>
  <si>
    <t>07432</t>
  </si>
  <si>
    <t>07435</t>
  </si>
  <si>
    <t>07438</t>
  </si>
  <si>
    <t>07444</t>
  </si>
  <si>
    <t>07450</t>
  </si>
  <si>
    <t>07453</t>
  </si>
  <si>
    <t>07456</t>
  </si>
  <si>
    <t>07459</t>
  </si>
  <si>
    <t>07462</t>
  </si>
  <si>
    <t>07465</t>
  </si>
  <si>
    <t>07468</t>
  </si>
  <si>
    <t>07471</t>
  </si>
  <si>
    <t>07477</t>
  </si>
  <si>
    <t>07480</t>
  </si>
  <si>
    <t>07483</t>
  </si>
  <si>
    <t>07486</t>
  </si>
  <si>
    <t>07489</t>
  </si>
  <si>
    <t>07492</t>
  </si>
  <si>
    <t>07495</t>
  </si>
  <si>
    <t>07498</t>
  </si>
  <si>
    <t>07501</t>
  </si>
  <si>
    <t>07504</t>
  </si>
  <si>
    <t>07507</t>
  </si>
  <si>
    <t>07510</t>
  </si>
  <si>
    <t>07513</t>
  </si>
  <si>
    <t>07516</t>
  </si>
  <si>
    <t>07519</t>
  </si>
  <si>
    <t>07522</t>
  </si>
  <si>
    <t>07525</t>
  </si>
  <si>
    <t>07528</t>
  </si>
  <si>
    <t>07531</t>
  </si>
  <si>
    <t>07534</t>
  </si>
  <si>
    <t>07537</t>
  </si>
  <si>
    <t>07540</t>
  </si>
  <si>
    <t>07543</t>
  </si>
  <si>
    <t>07546</t>
  </si>
  <si>
    <t>07549</t>
  </si>
  <si>
    <t>07552</t>
  </si>
  <si>
    <t>07555</t>
  </si>
  <si>
    <t>07558</t>
  </si>
  <si>
    <t>07561</t>
  </si>
  <si>
    <t>07564</t>
  </si>
  <si>
    <t>07567</t>
  </si>
  <si>
    <t>07570</t>
  </si>
  <si>
    <t>07573</t>
  </si>
  <si>
    <t>07576</t>
  </si>
  <si>
    <t>07579</t>
  </si>
  <si>
    <t>07582</t>
  </si>
  <si>
    <t>07588</t>
  </si>
  <si>
    <t>07591</t>
  </si>
  <si>
    <t>07594</t>
  </si>
  <si>
    <t>07597</t>
  </si>
  <si>
    <t>07600</t>
  </si>
  <si>
    <t>07603</t>
  </si>
  <si>
    <t>07606</t>
  </si>
  <si>
    <t>07609</t>
  </si>
  <si>
    <t>07612</t>
  </si>
  <si>
    <t>07615</t>
  </si>
  <si>
    <t>07616</t>
  </si>
  <si>
    <t>07621</t>
  </si>
  <si>
    <t>07624</t>
  </si>
  <si>
    <t>07627</t>
  </si>
  <si>
    <t>07630</t>
  </si>
  <si>
    <t>07636</t>
  </si>
  <si>
    <t>07642</t>
  </si>
  <si>
    <t>07645</t>
  </si>
  <si>
    <t>07648</t>
  </si>
  <si>
    <t>07651</t>
  </si>
  <si>
    <t>07654</t>
  </si>
  <si>
    <t>07660</t>
  </si>
  <si>
    <t>07663</t>
  </si>
  <si>
    <t>07666</t>
  </si>
  <si>
    <t>07672</t>
  </si>
  <si>
    <t>07678</t>
  </si>
  <si>
    <t>07681</t>
  </si>
  <si>
    <t>07682</t>
  </si>
  <si>
    <t>07684</t>
  </si>
  <si>
    <t>07690</t>
  </si>
  <si>
    <t>07702</t>
  </si>
  <si>
    <t>07708</t>
  </si>
  <si>
    <t>07711</t>
  </si>
  <si>
    <t>07714</t>
  </si>
  <si>
    <t>07717</t>
  </si>
  <si>
    <t>07720</t>
  </si>
  <si>
    <t>07723</t>
  </si>
  <si>
    <t>07726</t>
  </si>
  <si>
    <t>07729</t>
  </si>
  <si>
    <t>07735</t>
  </si>
  <si>
    <t>07738</t>
  </si>
  <si>
    <t>07741</t>
  </si>
  <si>
    <t>07747</t>
  </si>
  <si>
    <t>07750</t>
  </si>
  <si>
    <t>07759</t>
  </si>
  <si>
    <t>07762</t>
  </si>
  <si>
    <t>07765</t>
  </si>
  <si>
    <t>07768</t>
  </si>
  <si>
    <t>07771</t>
  </si>
  <si>
    <t>07774</t>
  </si>
  <si>
    <t>07777</t>
  </si>
  <si>
    <t>07780</t>
  </si>
  <si>
    <t>07783</t>
  </si>
  <si>
    <t>07786</t>
  </si>
  <si>
    <t>07789</t>
  </si>
  <si>
    <t>07792</t>
  </si>
  <si>
    <t>07795</t>
  </si>
  <si>
    <t>07798</t>
  </si>
  <si>
    <t>07801</t>
  </si>
  <si>
    <t>07804</t>
  </si>
  <si>
    <t>07807</t>
  </si>
  <si>
    <t>07813</t>
  </si>
  <si>
    <t>07816</t>
  </si>
  <si>
    <t>07819</t>
  </si>
  <si>
    <t>07822</t>
  </si>
  <si>
    <t>07825</t>
  </si>
  <si>
    <t>07828</t>
  </si>
  <si>
    <t>07831</t>
  </si>
  <si>
    <t>07834</t>
  </si>
  <si>
    <t>07837</t>
  </si>
  <si>
    <t>07840</t>
  </si>
  <si>
    <t>07843</t>
  </si>
  <si>
    <t>07846</t>
  </si>
  <si>
    <t>07849</t>
  </si>
  <si>
    <t>07852</t>
  </si>
  <si>
    <t>07855</t>
  </si>
  <si>
    <t>07858</t>
  </si>
  <si>
    <t>07861</t>
  </si>
  <si>
    <t>07864</t>
  </si>
  <si>
    <t>07867</t>
  </si>
  <si>
    <t>07870</t>
  </si>
  <si>
    <t>07873</t>
  </si>
  <si>
    <t>07876</t>
  </si>
  <si>
    <t>07879</t>
  </si>
  <si>
    <t>07882</t>
  </si>
  <si>
    <t>07885</t>
  </si>
  <si>
    <t>07888</t>
  </si>
  <si>
    <t>07891</t>
  </si>
  <si>
    <t>07894</t>
  </si>
  <si>
    <t>07897</t>
  </si>
  <si>
    <t>07900</t>
  </si>
  <si>
    <t>07903</t>
  </si>
  <si>
    <t>07906</t>
  </si>
  <si>
    <t>07909</t>
  </si>
  <si>
    <t>07912</t>
  </si>
  <si>
    <t>07915</t>
  </si>
  <si>
    <t>07918</t>
  </si>
  <si>
    <t>07921</t>
  </si>
  <si>
    <t>07924</t>
  </si>
  <si>
    <t>07927</t>
  </si>
  <si>
    <t>07930</t>
  </si>
  <si>
    <t>07933</t>
  </si>
  <si>
    <t>07936</t>
  </si>
  <si>
    <t>08281</t>
  </si>
  <si>
    <t>08287</t>
  </si>
  <si>
    <t>08503</t>
  </si>
  <si>
    <t>08506</t>
  </si>
  <si>
    <t>08515</t>
  </si>
  <si>
    <t>07942</t>
  </si>
  <si>
    <t>07945</t>
  </si>
  <si>
    <t>07948</t>
  </si>
  <si>
    <t>07951</t>
  </si>
  <si>
    <t>07954</t>
  </si>
  <si>
    <t>07957</t>
  </si>
  <si>
    <t>07960</t>
  </si>
  <si>
    <t>07963</t>
  </si>
  <si>
    <t>07966</t>
  </si>
  <si>
    <t>07969</t>
  </si>
  <si>
    <t>07975</t>
  </si>
  <si>
    <t>07981</t>
  </si>
  <si>
    <t>07984</t>
  </si>
  <si>
    <t>07987</t>
  </si>
  <si>
    <t>07993</t>
  </si>
  <si>
    <t>07996</t>
  </si>
  <si>
    <t>07999</t>
  </si>
  <si>
    <t>08005</t>
  </si>
  <si>
    <t>08008</t>
  </si>
  <si>
    <t>08014</t>
  </si>
  <si>
    <t>08017</t>
  </si>
  <si>
    <t>08023</t>
  </si>
  <si>
    <t>08026</t>
  </si>
  <si>
    <t>08029</t>
  </si>
  <si>
    <t>08032</t>
  </si>
  <si>
    <t>08035</t>
  </si>
  <si>
    <t>08038</t>
  </si>
  <si>
    <t>08041</t>
  </si>
  <si>
    <t>08044</t>
  </si>
  <si>
    <t>08047</t>
  </si>
  <si>
    <t>08050</t>
  </si>
  <si>
    <t>08053</t>
  </si>
  <si>
    <t>08056</t>
  </si>
  <si>
    <t>08062</t>
  </si>
  <si>
    <t>08065</t>
  </si>
  <si>
    <t>08071</t>
  </si>
  <si>
    <t>08080</t>
  </si>
  <si>
    <t>08089</t>
  </si>
  <si>
    <t>08092</t>
  </si>
  <si>
    <t>08095</t>
  </si>
  <si>
    <t>08104</t>
  </si>
  <si>
    <t>08110</t>
  </si>
  <si>
    <t>08113</t>
  </si>
  <si>
    <t>08119</t>
  </si>
  <si>
    <t>08122</t>
  </si>
  <si>
    <t>08125</t>
  </si>
  <si>
    <t>08128</t>
  </si>
  <si>
    <t>08131</t>
  </si>
  <si>
    <t>08134</t>
  </si>
  <si>
    <t>08140</t>
  </si>
  <si>
    <t>08143</t>
  </si>
  <si>
    <t>08152</t>
  </si>
  <si>
    <t>08156</t>
  </si>
  <si>
    <t>08158</t>
  </si>
  <si>
    <t>08161</t>
  </si>
  <si>
    <t>08164</t>
  </si>
  <si>
    <t>08170</t>
  </si>
  <si>
    <t>08173</t>
  </si>
  <si>
    <t>08179</t>
  </si>
  <si>
    <t>08194</t>
  </si>
  <si>
    <t>08197</t>
  </si>
  <si>
    <t>08200</t>
  </si>
  <si>
    <t>08203</t>
  </si>
  <si>
    <t>08206</t>
  </si>
  <si>
    <t>08209</t>
  </si>
  <si>
    <t>08215</t>
  </si>
  <si>
    <t>08218</t>
  </si>
  <si>
    <t>08221</t>
  </si>
  <si>
    <t>08224</t>
  </si>
  <si>
    <t>08227</t>
  </si>
  <si>
    <t>08230</t>
  </si>
  <si>
    <t>08233</t>
  </si>
  <si>
    <t>08234</t>
  </si>
  <si>
    <t>08236</t>
  </si>
  <si>
    <t>08239</t>
  </si>
  <si>
    <t>08242</t>
  </si>
  <si>
    <t>08245</t>
  </si>
  <si>
    <t>08248</t>
  </si>
  <si>
    <t>08251</t>
  </si>
  <si>
    <t>08254</t>
  </si>
  <si>
    <t>08257</t>
  </si>
  <si>
    <t>08260</t>
  </si>
  <si>
    <t>08263</t>
  </si>
  <si>
    <t>08266</t>
  </si>
  <si>
    <t>08272</t>
  </si>
  <si>
    <t>08275</t>
  </si>
  <si>
    <t>08278</t>
  </si>
  <si>
    <t>08290</t>
  </si>
  <si>
    <t>08293</t>
  </si>
  <si>
    <t>08296</t>
  </si>
  <si>
    <t>08299</t>
  </si>
  <si>
    <t>08302</t>
  </si>
  <si>
    <t>08305</t>
  </si>
  <si>
    <t>08308</t>
  </si>
  <si>
    <t>08311</t>
  </si>
  <si>
    <t>08314</t>
  </si>
  <si>
    <t>08317</t>
  </si>
  <si>
    <t>08320</t>
  </si>
  <si>
    <t>08323</t>
  </si>
  <si>
    <t>08326</t>
  </si>
  <si>
    <t>08329</t>
  </si>
  <si>
    <t>08332</t>
  </si>
  <si>
    <t>08335</t>
  </si>
  <si>
    <t>08338</t>
  </si>
  <si>
    <t>08341</t>
  </si>
  <si>
    <t>08344</t>
  </si>
  <si>
    <t>08347</t>
  </si>
  <si>
    <t>08350</t>
  </si>
  <si>
    <t>08353</t>
  </si>
  <si>
    <t>08356</t>
  </si>
  <si>
    <t>08362</t>
  </si>
  <si>
    <t>08374</t>
  </si>
  <si>
    <t>08377</t>
  </si>
  <si>
    <t>08380</t>
  </si>
  <si>
    <t>08383</t>
  </si>
  <si>
    <t>08389</t>
  </si>
  <si>
    <t>08392</t>
  </si>
  <si>
    <t>08395</t>
  </si>
  <si>
    <t>08398</t>
  </si>
  <si>
    <t>08401</t>
  </si>
  <si>
    <t>08404</t>
  </si>
  <si>
    <t>08407</t>
  </si>
  <si>
    <t>08413</t>
  </si>
  <si>
    <t>08416</t>
  </si>
  <si>
    <t>08419</t>
  </si>
  <si>
    <t>08422</t>
  </si>
  <si>
    <t>08428</t>
  </si>
  <si>
    <t>08431</t>
  </si>
  <si>
    <t>08434</t>
  </si>
  <si>
    <t>08440</t>
  </si>
  <si>
    <t>08443</t>
  </si>
  <si>
    <t>08446</t>
  </si>
  <si>
    <t>08461</t>
  </si>
  <si>
    <t>08467</t>
  </si>
  <si>
    <t>08470</t>
  </si>
  <si>
    <t>08473</t>
  </si>
  <si>
    <t>08476</t>
  </si>
  <si>
    <t>08479</t>
  </si>
  <si>
    <t>08482</t>
  </si>
  <si>
    <t>08491</t>
  </si>
  <si>
    <t>08494</t>
  </si>
  <si>
    <t>08497</t>
  </si>
  <si>
    <t>08498</t>
  </si>
  <si>
    <t>08500</t>
  </si>
  <si>
    <t>08509</t>
  </si>
  <si>
    <t>08512</t>
  </si>
  <si>
    <t>08518</t>
  </si>
  <si>
    <t>08521</t>
  </si>
  <si>
    <t>08527</t>
  </si>
  <si>
    <t>08533</t>
  </si>
  <si>
    <t>08536</t>
  </si>
  <si>
    <t>08539</t>
  </si>
  <si>
    <t>08542</t>
  </si>
  <si>
    <t>08563</t>
  </si>
  <si>
    <t>08572</t>
  </si>
  <si>
    <t>08575</t>
  </si>
  <si>
    <t>08581</t>
  </si>
  <si>
    <t>08584</t>
  </si>
  <si>
    <t>08587</t>
  </si>
  <si>
    <t>08602</t>
  </si>
  <si>
    <t>08605</t>
  </si>
  <si>
    <t>08611</t>
  </si>
  <si>
    <t>08614</t>
  </si>
  <si>
    <t>08623</t>
  </si>
  <si>
    <t>08629</t>
  </si>
  <si>
    <t>08632</t>
  </si>
  <si>
    <t>08635</t>
  </si>
  <si>
    <t>08638</t>
  </si>
  <si>
    <t>08641</t>
  </si>
  <si>
    <t>08644</t>
  </si>
  <si>
    <t>08647</t>
  </si>
  <si>
    <t>08650</t>
  </si>
  <si>
    <t>08653</t>
  </si>
  <si>
    <t>08656</t>
  </si>
  <si>
    <t>08659</t>
  </si>
  <si>
    <t>08662</t>
  </si>
  <si>
    <t>08665</t>
  </si>
  <si>
    <t>08668</t>
  </si>
  <si>
    <t>08671</t>
  </si>
  <si>
    <t>08674</t>
  </si>
  <si>
    <t>08677</t>
  </si>
  <si>
    <t>08680</t>
  </si>
  <si>
    <t>08683</t>
  </si>
  <si>
    <t>08686</t>
  </si>
  <si>
    <t>08689</t>
  </si>
  <si>
    <t>08701</t>
  </si>
  <si>
    <t>08545</t>
  </si>
  <si>
    <t>08548</t>
  </si>
  <si>
    <t>08551</t>
  </si>
  <si>
    <t>08554</t>
  </si>
  <si>
    <t>08557</t>
  </si>
  <si>
    <t>08560</t>
  </si>
  <si>
    <t>08566</t>
  </si>
  <si>
    <t>08569</t>
  </si>
  <si>
    <t>08578</t>
  </si>
  <si>
    <t>08590</t>
  </si>
  <si>
    <t>08593</t>
  </si>
  <si>
    <t>08596</t>
  </si>
  <si>
    <t>08599</t>
  </si>
  <si>
    <t>08608</t>
  </si>
  <si>
    <t>08617</t>
  </si>
  <si>
    <t>08620</t>
  </si>
  <si>
    <t>08626</t>
  </si>
  <si>
    <t>08707</t>
  </si>
  <si>
    <t>08710</t>
  </si>
  <si>
    <t>08713</t>
  </si>
  <si>
    <t>08716</t>
  </si>
  <si>
    <t>08719</t>
  </si>
  <si>
    <t>08722</t>
  </si>
  <si>
    <t>08725</t>
  </si>
  <si>
    <t>08728</t>
  </si>
  <si>
    <t>08731</t>
  </si>
  <si>
    <t>08734</t>
  </si>
  <si>
    <t>08737</t>
  </si>
  <si>
    <t>08740</t>
  </si>
  <si>
    <t>08743</t>
  </si>
  <si>
    <t>08746</t>
  </si>
  <si>
    <t>08747</t>
  </si>
  <si>
    <t>08749</t>
  </si>
  <si>
    <t>08752</t>
  </si>
  <si>
    <t>08755</t>
  </si>
  <si>
    <t>08758</t>
  </si>
  <si>
    <t>08761</t>
  </si>
  <si>
    <t>08764</t>
  </si>
  <si>
    <t>08767</t>
  </si>
  <si>
    <t>08770</t>
  </si>
  <si>
    <t>08785</t>
  </si>
  <si>
    <t>08788</t>
  </si>
  <si>
    <t>08789</t>
  </si>
  <si>
    <t>08791</t>
  </si>
  <si>
    <t>08794</t>
  </si>
  <si>
    <t>08797</t>
  </si>
  <si>
    <t>08812</t>
  </si>
  <si>
    <t>08815</t>
  </si>
  <si>
    <t>08833</t>
  </si>
  <si>
    <t>08836</t>
  </si>
  <si>
    <t>08839</t>
  </si>
  <si>
    <t>08842</t>
  </si>
  <si>
    <t>08845</t>
  </si>
  <si>
    <t>08857</t>
  </si>
  <si>
    <t>08863</t>
  </si>
  <si>
    <t>08866</t>
  </si>
  <si>
    <t>08869</t>
  </si>
  <si>
    <t>08872</t>
  </si>
  <si>
    <t>08875</t>
  </si>
  <si>
    <t>08878</t>
  </si>
  <si>
    <t>08881</t>
  </si>
  <si>
    <t>08884</t>
  </si>
  <si>
    <t>08887</t>
  </si>
  <si>
    <t>08890</t>
  </si>
  <si>
    <t>08893</t>
  </si>
  <si>
    <t>08896</t>
  </si>
  <si>
    <t>08899</t>
  </si>
  <si>
    <t>08902</t>
  </si>
  <si>
    <t>08905</t>
  </si>
  <si>
    <t>08908</t>
  </si>
  <si>
    <t>08911</t>
  </si>
  <si>
    <t>08914</t>
  </si>
  <si>
    <t>08917</t>
  </si>
  <si>
    <t>08920</t>
  </si>
  <si>
    <t>08923</t>
  </si>
  <si>
    <t>08926</t>
  </si>
  <si>
    <t>08929</t>
  </si>
  <si>
    <t>08932</t>
  </si>
  <si>
    <t>08935</t>
  </si>
  <si>
    <t>08936</t>
  </si>
  <si>
    <t>08938</t>
  </si>
  <si>
    <t>08944</t>
  </si>
  <si>
    <t>08947</t>
  </si>
  <si>
    <t>08950</t>
  </si>
  <si>
    <t>08953</t>
  </si>
  <si>
    <t>08956</t>
  </si>
  <si>
    <t>08959</t>
  </si>
  <si>
    <t>08962</t>
  </si>
  <si>
    <t>08965</t>
  </si>
  <si>
    <t>08968</t>
  </si>
  <si>
    <t>08971</t>
  </si>
  <si>
    <t>09025</t>
  </si>
  <si>
    <t>09028</t>
  </si>
  <si>
    <t>09031</t>
  </si>
  <si>
    <t>09034</t>
  </si>
  <si>
    <t>09037</t>
  </si>
  <si>
    <t>09040</t>
  </si>
  <si>
    <t>09043</t>
  </si>
  <si>
    <t>09046</t>
  </si>
  <si>
    <t>09049</t>
  </si>
  <si>
    <t>09052</t>
  </si>
  <si>
    <t>09055</t>
  </si>
  <si>
    <t>09058</t>
  </si>
  <si>
    <t>09061</t>
  </si>
  <si>
    <t>09064</t>
  </si>
  <si>
    <t>09067</t>
  </si>
  <si>
    <t>09070</t>
  </si>
  <si>
    <t>09073</t>
  </si>
  <si>
    <t>09076</t>
  </si>
  <si>
    <t>09079</t>
  </si>
  <si>
    <t>09082</t>
  </si>
  <si>
    <t>09085</t>
  </si>
  <si>
    <t>09088</t>
  </si>
  <si>
    <t>09091</t>
  </si>
  <si>
    <t>09094</t>
  </si>
  <si>
    <t>09097</t>
  </si>
  <si>
    <t>09100</t>
  </si>
  <si>
    <t>09103</t>
  </si>
  <si>
    <t>09106</t>
  </si>
  <si>
    <t>09109</t>
  </si>
  <si>
    <t>09112</t>
  </si>
  <si>
    <t>09115</t>
  </si>
  <si>
    <t>09118</t>
  </si>
  <si>
    <t>09124</t>
  </si>
  <si>
    <t>09127</t>
  </si>
  <si>
    <t>09130</t>
  </si>
  <si>
    <t>09133</t>
  </si>
  <si>
    <t>09136</t>
  </si>
  <si>
    <t>09139</t>
  </si>
  <si>
    <t>09142</t>
  </si>
  <si>
    <t>09145</t>
  </si>
  <si>
    <t>09148</t>
  </si>
  <si>
    <t>09151</t>
  </si>
  <si>
    <t>09154</t>
  </si>
  <si>
    <t>09157</t>
  </si>
  <si>
    <t>09160</t>
  </si>
  <si>
    <t>08773</t>
  </si>
  <si>
    <t>08776</t>
  </si>
  <si>
    <t>08779</t>
  </si>
  <si>
    <t>08782</t>
  </si>
  <si>
    <t>08800</t>
  </si>
  <si>
    <t>08803</t>
  </si>
  <si>
    <t>08806</t>
  </si>
  <si>
    <t>08809</t>
  </si>
  <si>
    <t>08818</t>
  </si>
  <si>
    <t>08821</t>
  </si>
  <si>
    <t>08824</t>
  </si>
  <si>
    <t>08827</t>
  </si>
  <si>
    <t>08830</t>
  </si>
  <si>
    <t>08848</t>
  </si>
  <si>
    <t>08851</t>
  </si>
  <si>
    <t>08854</t>
  </si>
  <si>
    <t>08860</t>
  </si>
  <si>
    <t>09163</t>
  </si>
  <si>
    <t>09166</t>
  </si>
  <si>
    <t>09169</t>
  </si>
  <si>
    <t>09172</t>
  </si>
  <si>
    <t>09175</t>
  </si>
  <si>
    <t>09178</t>
  </si>
  <si>
    <t>09181</t>
  </si>
  <si>
    <t>09184</t>
  </si>
  <si>
    <t>09187</t>
  </si>
  <si>
    <t>09190</t>
  </si>
  <si>
    <t>09214</t>
  </si>
  <si>
    <t>09226</t>
  </si>
  <si>
    <t>09235</t>
  </si>
  <si>
    <t>09244</t>
  </si>
  <si>
    <t>09256</t>
  </si>
  <si>
    <t>09271</t>
  </si>
  <si>
    <t>09286</t>
  </si>
  <si>
    <t>09325</t>
  </si>
  <si>
    <t>09331</t>
  </si>
  <si>
    <t>09193</t>
  </si>
  <si>
    <t>09196</t>
  </si>
  <si>
    <t>09199</t>
  </si>
  <si>
    <t>09202</t>
  </si>
  <si>
    <t>09205</t>
  </si>
  <si>
    <t>09208</t>
  </si>
  <si>
    <t>09211</t>
  </si>
  <si>
    <t>09217</t>
  </si>
  <si>
    <t>09220</t>
  </si>
  <si>
    <t>09223</t>
  </si>
  <si>
    <t>09229</t>
  </si>
  <si>
    <t>09232</t>
  </si>
  <si>
    <t>09238</t>
  </si>
  <si>
    <t>09241</t>
  </si>
  <si>
    <t>09247</t>
  </si>
  <si>
    <t>09250</t>
  </si>
  <si>
    <t>09253</t>
  </si>
  <si>
    <t>09259</t>
  </si>
  <si>
    <t>09262</t>
  </si>
  <si>
    <t>09265</t>
  </si>
  <si>
    <t>09268</t>
  </si>
  <si>
    <t>09274</t>
  </si>
  <si>
    <t>09277</t>
  </si>
  <si>
    <t>09280</t>
  </si>
  <si>
    <t>09283</t>
  </si>
  <si>
    <t>09289</t>
  </si>
  <si>
    <t>09292</t>
  </si>
  <si>
    <t>09295</t>
  </si>
  <si>
    <t>09298</t>
  </si>
  <si>
    <t>09301</t>
  </si>
  <si>
    <t>09304</t>
  </si>
  <si>
    <t>09307</t>
  </si>
  <si>
    <t>09310</t>
  </si>
  <si>
    <t>09313</t>
  </si>
  <si>
    <t>09316</t>
  </si>
  <si>
    <t>09319</t>
  </si>
  <si>
    <t>09322</t>
  </si>
  <si>
    <t>09328</t>
  </si>
  <si>
    <t>09334</t>
  </si>
  <si>
    <t>09337</t>
  </si>
  <si>
    <t>09340</t>
  </si>
  <si>
    <t>09343</t>
  </si>
  <si>
    <t>09346</t>
  </si>
  <si>
    <t>09349</t>
  </si>
  <si>
    <t>09352</t>
  </si>
  <si>
    <t>09355</t>
  </si>
  <si>
    <t>09358</t>
  </si>
  <si>
    <t>09361</t>
  </si>
  <si>
    <t>09364</t>
  </si>
  <si>
    <t>09367</t>
  </si>
  <si>
    <t>09370</t>
  </si>
  <si>
    <t>09373</t>
  </si>
  <si>
    <t>09376</t>
  </si>
  <si>
    <t>09379</t>
  </si>
  <si>
    <t>09382</t>
  </si>
  <si>
    <t>09383</t>
  </si>
  <si>
    <t>09385</t>
  </si>
  <si>
    <t>09388</t>
  </si>
  <si>
    <t>09391</t>
  </si>
  <si>
    <t>09394</t>
  </si>
  <si>
    <t>09397</t>
  </si>
  <si>
    <t>09400</t>
  </si>
  <si>
    <t>09403</t>
  </si>
  <si>
    <t>09406</t>
  </si>
  <si>
    <t>09409</t>
  </si>
  <si>
    <t>09412</t>
  </si>
  <si>
    <t>09415</t>
  </si>
  <si>
    <t>09418</t>
  </si>
  <si>
    <t>09421</t>
  </si>
  <si>
    <t>09424</t>
  </si>
  <si>
    <t>09427</t>
  </si>
  <si>
    <t>09430</t>
  </si>
  <si>
    <t>09433</t>
  </si>
  <si>
    <t>09436</t>
  </si>
  <si>
    <t>09439</t>
  </si>
  <si>
    <t>09442</t>
  </si>
  <si>
    <t>09445</t>
  </si>
  <si>
    <t>09448</t>
  </si>
  <si>
    <t>09451</t>
  </si>
  <si>
    <t>09454</t>
  </si>
  <si>
    <t>09457</t>
  </si>
  <si>
    <t>09460</t>
  </si>
  <si>
    <t>09463</t>
  </si>
  <si>
    <t>09466</t>
  </si>
  <si>
    <t>09469</t>
  </si>
  <si>
    <t>09472</t>
  </si>
  <si>
    <t>09475</t>
  </si>
  <si>
    <t>09478</t>
  </si>
  <si>
    <t>09481</t>
  </si>
  <si>
    <t>09484</t>
  </si>
  <si>
    <t>09487</t>
  </si>
  <si>
    <t>09490</t>
  </si>
  <si>
    <t>09493</t>
  </si>
  <si>
    <t>09496</t>
  </si>
  <si>
    <t>09499</t>
  </si>
  <si>
    <t>09502</t>
  </si>
  <si>
    <t>09505</t>
  </si>
  <si>
    <t>09508</t>
  </si>
  <si>
    <t>09511</t>
  </si>
  <si>
    <t>09514</t>
  </si>
  <si>
    <t>09517</t>
  </si>
  <si>
    <t>09520</t>
  </si>
  <si>
    <t>09523</t>
  </si>
  <si>
    <t>09526</t>
  </si>
  <si>
    <t>09529</t>
  </si>
  <si>
    <t>09532</t>
  </si>
  <si>
    <t>09535</t>
  </si>
  <si>
    <t>10507</t>
  </si>
  <si>
    <t>10510</t>
  </si>
  <si>
    <t>10513</t>
  </si>
  <si>
    <t>10514</t>
  </si>
  <si>
    <t>10516</t>
  </si>
  <si>
    <t>10519</t>
  </si>
  <si>
    <t>10522</t>
  </si>
  <si>
    <t>10525</t>
  </si>
  <si>
    <t>10528</t>
  </si>
  <si>
    <t>10531</t>
  </si>
  <si>
    <t>10532</t>
  </si>
  <si>
    <t>10534</t>
  </si>
  <si>
    <t>10537</t>
  </si>
  <si>
    <t>10540</t>
  </si>
  <si>
    <t>10543</t>
  </si>
  <si>
    <t>10660</t>
  </si>
  <si>
    <t>10663</t>
  </si>
  <si>
    <t>10672</t>
  </si>
  <si>
    <t>10822</t>
  </si>
  <si>
    <t>10837</t>
  </si>
  <si>
    <t>11002</t>
  </si>
  <si>
    <t>11005</t>
  </si>
  <si>
    <t>11011</t>
  </si>
  <si>
    <t>11017</t>
  </si>
  <si>
    <t>11077</t>
  </si>
  <si>
    <t>10546</t>
  </si>
  <si>
    <t>10549</t>
  </si>
  <si>
    <t>10552</t>
  </si>
  <si>
    <t>10555</t>
  </si>
  <si>
    <t>10558</t>
  </si>
  <si>
    <t>10561</t>
  </si>
  <si>
    <t>10564</t>
  </si>
  <si>
    <t>10567</t>
  </si>
  <si>
    <t>10570</t>
  </si>
  <si>
    <t>10573</t>
  </si>
  <si>
    <t>10576</t>
  </si>
  <si>
    <t>10579</t>
  </si>
  <si>
    <t>10582</t>
  </si>
  <si>
    <t>10585</t>
  </si>
  <si>
    <t>10588</t>
  </si>
  <si>
    <t>10591</t>
  </si>
  <si>
    <t>10594</t>
  </si>
  <si>
    <t>10600</t>
  </si>
  <si>
    <t>10603</t>
  </si>
  <si>
    <t>10606</t>
  </si>
  <si>
    <t>10609</t>
  </si>
  <si>
    <t>10612</t>
  </si>
  <si>
    <t>10615</t>
  </si>
  <si>
    <t>10618</t>
  </si>
  <si>
    <t>10621</t>
  </si>
  <si>
    <t>10624</t>
  </si>
  <si>
    <t>10627</t>
  </si>
  <si>
    <t>10630</t>
  </si>
  <si>
    <t>10633</t>
  </si>
  <si>
    <t>10636</t>
  </si>
  <si>
    <t>10639</t>
  </si>
  <si>
    <t>10642</t>
  </si>
  <si>
    <t>10645</t>
  </si>
  <si>
    <t>10648</t>
  </si>
  <si>
    <t>10651</t>
  </si>
  <si>
    <t>10654</t>
  </si>
  <si>
    <t>10657</t>
  </si>
  <si>
    <t>10666</t>
  </si>
  <si>
    <t>10675</t>
  </si>
  <si>
    <t>10678</t>
  </si>
  <si>
    <t>10681</t>
  </si>
  <si>
    <t>10684</t>
  </si>
  <si>
    <t>10687</t>
  </si>
  <si>
    <t>10693</t>
  </si>
  <si>
    <t>10696</t>
  </si>
  <si>
    <t>10699</t>
  </si>
  <si>
    <t>10702</t>
  </si>
  <si>
    <t>10705</t>
  </si>
  <si>
    <t>10708</t>
  </si>
  <si>
    <t>10714</t>
  </si>
  <si>
    <t>10717</t>
  </si>
  <si>
    <t>10720</t>
  </si>
  <si>
    <t>10723</t>
  </si>
  <si>
    <t>10726</t>
  </si>
  <si>
    <t>10729</t>
  </si>
  <si>
    <t>10732</t>
  </si>
  <si>
    <t>10735</t>
  </si>
  <si>
    <t>10738</t>
  </si>
  <si>
    <t>10741</t>
  </si>
  <si>
    <t>10744</t>
  </si>
  <si>
    <t>10747</t>
  </si>
  <si>
    <t>10750</t>
  </si>
  <si>
    <t>10753</t>
  </si>
  <si>
    <t>10756</t>
  </si>
  <si>
    <t>10759</t>
  </si>
  <si>
    <t>10762</t>
  </si>
  <si>
    <t>10768</t>
  </si>
  <si>
    <t>10771</t>
  </si>
  <si>
    <t>10774</t>
  </si>
  <si>
    <t>10777</t>
  </si>
  <si>
    <t>10780</t>
  </si>
  <si>
    <t>10783</t>
  </si>
  <si>
    <t>10786</t>
  </si>
  <si>
    <t>10792</t>
  </si>
  <si>
    <t>10798</t>
  </si>
  <si>
    <t>10801</t>
  </si>
  <si>
    <t>10804</t>
  </si>
  <si>
    <t>10807</t>
  </si>
  <si>
    <t>10810</t>
  </si>
  <si>
    <t>10813</t>
  </si>
  <si>
    <t>10816</t>
  </si>
  <si>
    <t>10819</t>
  </si>
  <si>
    <t>10825</t>
  </si>
  <si>
    <t>10828</t>
  </si>
  <si>
    <t>10831</t>
  </si>
  <si>
    <t>10834</t>
  </si>
  <si>
    <t>10840</t>
  </si>
  <si>
    <t>10843</t>
  </si>
  <si>
    <t>10846</t>
  </si>
  <si>
    <t>10849</t>
  </si>
  <si>
    <t>10852</t>
  </si>
  <si>
    <t>10855</t>
  </si>
  <si>
    <t>10861</t>
  </si>
  <si>
    <t>10864</t>
  </si>
  <si>
    <t>10867</t>
  </si>
  <si>
    <t>10876</t>
  </si>
  <si>
    <t>10879</t>
  </si>
  <si>
    <t>10882</t>
  </si>
  <si>
    <t>10885</t>
  </si>
  <si>
    <t>10888</t>
  </si>
  <si>
    <t>10891</t>
  </si>
  <si>
    <t>10894</t>
  </si>
  <si>
    <t>10897</t>
  </si>
  <si>
    <t>10900</t>
  </si>
  <si>
    <t>10903</t>
  </si>
  <si>
    <t>10906</t>
  </si>
  <si>
    <t>10909</t>
  </si>
  <si>
    <t>10912</t>
  </si>
  <si>
    <t>10918</t>
  </si>
  <si>
    <t>10924</t>
  </si>
  <si>
    <t>10927</t>
  </si>
  <si>
    <t>10930</t>
  </si>
  <si>
    <t>10933</t>
  </si>
  <si>
    <t>10936</t>
  </si>
  <si>
    <t>10939</t>
  </si>
  <si>
    <t>10942</t>
  </si>
  <si>
    <t>10945</t>
  </si>
  <si>
    <t>10951</t>
  </si>
  <si>
    <t>10954</t>
  </si>
  <si>
    <t>10960</t>
  </si>
  <si>
    <t>10963</t>
  </si>
  <si>
    <t>10966</t>
  </si>
  <si>
    <t>10969</t>
  </si>
  <si>
    <t>10972</t>
  </si>
  <si>
    <t>10975</t>
  </si>
  <si>
    <t>10978</t>
  </si>
  <si>
    <t>10981</t>
  </si>
  <si>
    <t>10984</t>
  </si>
  <si>
    <t>10987</t>
  </si>
  <si>
    <t>10990</t>
  </si>
  <si>
    <t>10993</t>
  </si>
  <si>
    <t>10996</t>
  </si>
  <si>
    <t>10999</t>
  </si>
  <si>
    <t>11008</t>
  </si>
  <si>
    <t>11020</t>
  </si>
  <si>
    <t>11029</t>
  </si>
  <si>
    <t>11032</t>
  </si>
  <si>
    <t>11035</t>
  </si>
  <si>
    <t>11038</t>
  </si>
  <si>
    <t>11041</t>
  </si>
  <si>
    <t>11044</t>
  </si>
  <si>
    <t>11047</t>
  </si>
  <si>
    <t>11050</t>
  </si>
  <si>
    <t>11053</t>
  </si>
  <si>
    <t>11056</t>
  </si>
  <si>
    <t>11059</t>
  </si>
  <si>
    <t>11062</t>
  </si>
  <si>
    <t>11065</t>
  </si>
  <si>
    <t>11068</t>
  </si>
  <si>
    <t>11071</t>
  </si>
  <si>
    <t>11074</t>
  </si>
  <si>
    <t>11083</t>
  </si>
  <si>
    <t>11086</t>
  </si>
  <si>
    <t>11089</t>
  </si>
  <si>
    <t>11092</t>
  </si>
  <si>
    <t>11095</t>
  </si>
  <si>
    <t>11098</t>
  </si>
  <si>
    <t>11101</t>
  </si>
  <si>
    <t>11110</t>
  </si>
  <si>
    <t>11113</t>
  </si>
  <si>
    <t>11116</t>
  </si>
  <si>
    <t>11119</t>
  </si>
  <si>
    <t>11122</t>
  </si>
  <si>
    <t>11125</t>
  </si>
  <si>
    <t>11128</t>
  </si>
  <si>
    <t>11131</t>
  </si>
  <si>
    <t>11134</t>
  </si>
  <si>
    <t>11137</t>
  </si>
  <si>
    <t>11140</t>
  </si>
  <si>
    <t>11143</t>
  </si>
  <si>
    <t>11146</t>
  </si>
  <si>
    <t>11149</t>
  </si>
  <si>
    <t>11152</t>
  </si>
  <si>
    <t>11155</t>
  </si>
  <si>
    <t>11161</t>
  </si>
  <si>
    <t>11164</t>
  </si>
  <si>
    <t>11167</t>
  </si>
  <si>
    <t>11173</t>
  </si>
  <si>
    <t>11176</t>
  </si>
  <si>
    <t>11179</t>
  </si>
  <si>
    <t>11185</t>
  </si>
  <si>
    <t>11188</t>
  </si>
  <si>
    <t>11197</t>
  </si>
  <si>
    <t>11200</t>
  </si>
  <si>
    <t>11203</t>
  </si>
  <si>
    <t>11206</t>
  </si>
  <si>
    <t>11209</t>
  </si>
  <si>
    <t>11215</t>
  </si>
  <si>
    <t>11218</t>
  </si>
  <si>
    <t>11224</t>
  </si>
  <si>
    <t>11227</t>
  </si>
  <si>
    <t>11230</t>
  </si>
  <si>
    <t>11233</t>
  </si>
  <si>
    <t>11239</t>
  </si>
  <si>
    <t>11242</t>
  </si>
  <si>
    <t>11245</t>
  </si>
  <si>
    <t>11248</t>
  </si>
  <si>
    <t>11251</t>
  </si>
  <si>
    <t>11254</t>
  </si>
  <si>
    <t>11257</t>
  </si>
  <si>
    <t>11260</t>
  </si>
  <si>
    <t>11263</t>
  </si>
  <si>
    <t>11266</t>
  </si>
  <si>
    <t>11269</t>
  </si>
  <si>
    <t>11275</t>
  </si>
  <si>
    <t>11278</t>
  </si>
  <si>
    <t>11281</t>
  </si>
  <si>
    <t>11284</t>
  </si>
  <si>
    <t>11287</t>
  </si>
  <si>
    <t>11293</t>
  </si>
  <si>
    <t>11296</t>
  </si>
  <si>
    <t>11299</t>
  </si>
  <si>
    <t>11302</t>
  </si>
  <si>
    <t>11305</t>
  </si>
  <si>
    <t>11308</t>
  </si>
  <si>
    <t>11311</t>
  </si>
  <si>
    <t>11314</t>
  </si>
  <si>
    <t>11320</t>
  </si>
  <si>
    <t>11323</t>
  </si>
  <si>
    <t>11329</t>
  </si>
  <si>
    <t>11332</t>
  </si>
  <si>
    <t>11335</t>
  </si>
  <si>
    <t>11338</t>
  </si>
  <si>
    <t>11341</t>
  </si>
  <si>
    <t>11344</t>
  </si>
  <si>
    <t>11347</t>
  </si>
  <si>
    <t>11350</t>
  </si>
  <si>
    <t>11356</t>
  </si>
  <si>
    <t>11359</t>
  </si>
  <si>
    <t>11362</t>
  </si>
  <si>
    <t>11365</t>
  </si>
  <si>
    <t>11368</t>
  </si>
  <si>
    <t>11371</t>
  </si>
  <si>
    <t>11374</t>
  </si>
  <si>
    <t>11377</t>
  </si>
  <si>
    <t>11380</t>
  </si>
  <si>
    <t>11383</t>
  </si>
  <si>
    <t>11386</t>
  </si>
  <si>
    <t>11389</t>
  </si>
  <si>
    <t>11392</t>
  </si>
  <si>
    <t>11395</t>
  </si>
  <si>
    <t>11398</t>
  </si>
  <si>
    <t>11401</t>
  </si>
  <si>
    <t>11404</t>
  </si>
  <si>
    <t>11405</t>
  </si>
  <si>
    <t>11407</t>
  </si>
  <si>
    <t>11410</t>
  </si>
  <si>
    <t>11411</t>
  </si>
  <si>
    <t>11413</t>
  </si>
  <si>
    <t>11414</t>
  </si>
  <si>
    <t>11416</t>
  </si>
  <si>
    <t>11419</t>
  </si>
  <si>
    <t>11422</t>
  </si>
  <si>
    <t>11425</t>
  </si>
  <si>
    <t>11428</t>
  </si>
  <si>
    <t>11429</t>
  </si>
  <si>
    <t>11431</t>
  </si>
  <si>
    <t>11434</t>
  </si>
  <si>
    <t>11437</t>
  </si>
  <si>
    <t>11440</t>
  </si>
  <si>
    <t>11443</t>
  </si>
  <si>
    <t>11446</t>
  </si>
  <si>
    <t>11449</t>
  </si>
  <si>
    <t>11452</t>
  </si>
  <si>
    <t>11455</t>
  </si>
  <si>
    <t>11458</t>
  </si>
  <si>
    <t>11461</t>
  </si>
  <si>
    <t>11465</t>
  </si>
  <si>
    <t>11467</t>
  </si>
  <si>
    <t>11737</t>
  </si>
  <si>
    <t>11683</t>
  </si>
  <si>
    <t>11686</t>
  </si>
  <si>
    <t>11689</t>
  </si>
  <si>
    <t>11692</t>
  </si>
  <si>
    <t>11707</t>
  </si>
  <si>
    <t>11740</t>
  </si>
  <si>
    <t>11470</t>
  </si>
  <si>
    <t>11473</t>
  </si>
  <si>
    <t>11476</t>
  </si>
  <si>
    <t>11479</t>
  </si>
  <si>
    <t>11482</t>
  </si>
  <si>
    <t>11485</t>
  </si>
  <si>
    <t>11488</t>
  </si>
  <si>
    <t>11491</t>
  </si>
  <si>
    <t>11494</t>
  </si>
  <si>
    <t>11497</t>
  </si>
  <si>
    <t>11500</t>
  </si>
  <si>
    <t>11503</t>
  </si>
  <si>
    <t>11506</t>
  </si>
  <si>
    <t>11509</t>
  </si>
  <si>
    <t>11512</t>
  </si>
  <si>
    <t>11515</t>
  </si>
  <si>
    <t>11518</t>
  </si>
  <si>
    <t>11521</t>
  </si>
  <si>
    <t>11524</t>
  </si>
  <si>
    <t>11527</t>
  </si>
  <si>
    <t>11530</t>
  </si>
  <si>
    <t>11533</t>
  </si>
  <si>
    <t>11536</t>
  </si>
  <si>
    <t>11539</t>
  </si>
  <si>
    <t>11542</t>
  </si>
  <si>
    <t>11545</t>
  </si>
  <si>
    <t>11548</t>
  </si>
  <si>
    <t>11551</t>
  </si>
  <si>
    <t>11554</t>
  </si>
  <si>
    <t>11557</t>
  </si>
  <si>
    <t>11560</t>
  </si>
  <si>
    <t>11563</t>
  </si>
  <si>
    <t>11566</t>
  </si>
  <si>
    <t>11569</t>
  </si>
  <si>
    <t>11572</t>
  </si>
  <si>
    <t>11575</t>
  </si>
  <si>
    <t>11578</t>
  </si>
  <si>
    <t>11581</t>
  </si>
  <si>
    <t>11584</t>
  </si>
  <si>
    <t>11587</t>
  </si>
  <si>
    <t>11590</t>
  </si>
  <si>
    <t>11593</t>
  </si>
  <si>
    <t>11596</t>
  </si>
  <si>
    <t>11599</t>
  </si>
  <si>
    <t>11602</t>
  </si>
  <si>
    <t>11605</t>
  </si>
  <si>
    <t>11608</t>
  </si>
  <si>
    <t>11611</t>
  </si>
  <si>
    <t>11614</t>
  </si>
  <si>
    <t>11617</t>
  </si>
  <si>
    <t>11620</t>
  </si>
  <si>
    <t>11623</t>
  </si>
  <si>
    <t>11626</t>
  </si>
  <si>
    <t>11629</t>
  </si>
  <si>
    <t>11632</t>
  </si>
  <si>
    <t>11635</t>
  </si>
  <si>
    <t>11638</t>
  </si>
  <si>
    <t>11641</t>
  </si>
  <si>
    <t>11644</t>
  </si>
  <si>
    <t>11647</t>
  </si>
  <si>
    <t>11650</t>
  </si>
  <si>
    <t>11653</t>
  </si>
  <si>
    <t>11656</t>
  </si>
  <si>
    <t>11659</t>
  </si>
  <si>
    <t>11662</t>
  </si>
  <si>
    <t>11665</t>
  </si>
  <si>
    <t>11668</t>
  </si>
  <si>
    <t>11671</t>
  </si>
  <si>
    <t>11674</t>
  </si>
  <si>
    <t>11677</t>
  </si>
  <si>
    <t>11680</t>
  </si>
  <si>
    <t>11695</t>
  </si>
  <si>
    <t>11698</t>
  </si>
  <si>
    <t>11701</t>
  </si>
  <si>
    <t>11704</t>
  </si>
  <si>
    <t>11710</t>
  </si>
  <si>
    <t>11713</t>
  </si>
  <si>
    <t>11716</t>
  </si>
  <si>
    <t>11719</t>
  </si>
  <si>
    <t>11722</t>
  </si>
  <si>
    <t>11725</t>
  </si>
  <si>
    <t>11728</t>
  </si>
  <si>
    <t>11731</t>
  </si>
  <si>
    <t>11734</t>
  </si>
  <si>
    <t>11743</t>
  </si>
  <si>
    <t>11746</t>
  </si>
  <si>
    <t>11749</t>
  </si>
  <si>
    <t>11752</t>
  </si>
  <si>
    <t>11755</t>
  </si>
  <si>
    <t>11758</t>
  </si>
  <si>
    <t>11761</t>
  </si>
  <si>
    <t>11764</t>
  </si>
  <si>
    <t>11770</t>
  </si>
  <si>
    <t>11773</t>
  </si>
  <si>
    <t>11776</t>
  </si>
  <si>
    <t>11779</t>
  </si>
  <si>
    <t>11782</t>
  </si>
  <si>
    <t>11785</t>
  </si>
  <si>
    <t>11788</t>
  </si>
  <si>
    <t>11791</t>
  </si>
  <si>
    <t>11794</t>
  </si>
  <si>
    <t>11797</t>
  </si>
  <si>
    <t>11800</t>
  </si>
  <si>
    <t>11803</t>
  </si>
  <si>
    <t>11806</t>
  </si>
  <si>
    <t>11809</t>
  </si>
  <si>
    <t>11812</t>
  </si>
  <si>
    <t>11815</t>
  </si>
  <si>
    <t>11821</t>
  </si>
  <si>
    <t>11824</t>
  </si>
  <si>
    <t>11827</t>
  </si>
  <si>
    <t>11830</t>
  </si>
  <si>
    <t>11833</t>
  </si>
  <si>
    <t>11836</t>
  </si>
  <si>
    <t>11839</t>
  </si>
  <si>
    <t>11842</t>
  </si>
  <si>
    <t>11845</t>
  </si>
  <si>
    <t>11848</t>
  </si>
  <si>
    <t>11851</t>
  </si>
  <si>
    <t>11854</t>
  </si>
  <si>
    <t>11857</t>
  </si>
  <si>
    <t>11860</t>
  </si>
  <si>
    <t>11863</t>
  </si>
  <si>
    <t>11866</t>
  </si>
  <si>
    <t>11869</t>
  </si>
  <si>
    <t>11872</t>
  </si>
  <si>
    <t>11875</t>
  </si>
  <si>
    <t>11878</t>
  </si>
  <si>
    <t>11881</t>
  </si>
  <si>
    <t>11884</t>
  </si>
  <si>
    <t>11887</t>
  </si>
  <si>
    <t>11890</t>
  </si>
  <si>
    <t>11893</t>
  </si>
  <si>
    <t>11896</t>
  </si>
  <si>
    <t>11899</t>
  </si>
  <si>
    <t>11902</t>
  </si>
  <si>
    <t>11905</t>
  </si>
  <si>
    <t>11908</t>
  </si>
  <si>
    <t>11911</t>
  </si>
  <si>
    <t>11914</t>
  </si>
  <si>
    <t>11917</t>
  </si>
  <si>
    <t>11920</t>
  </si>
  <si>
    <t>11923</t>
  </si>
  <si>
    <t>11926</t>
  </si>
  <si>
    <t>11929</t>
  </si>
  <si>
    <t>11932</t>
  </si>
  <si>
    <t>11935</t>
  </si>
  <si>
    <t>11938</t>
  </si>
  <si>
    <t>11941</t>
  </si>
  <si>
    <t>11944</t>
  </si>
  <si>
    <t>11947</t>
  </si>
  <si>
    <t>11950</t>
  </si>
  <si>
    <t>11953</t>
  </si>
  <si>
    <t>11956</t>
  </si>
  <si>
    <t>11959</t>
  </si>
  <si>
    <t>11962</t>
  </si>
  <si>
    <t>11965</t>
  </si>
  <si>
    <t>11968</t>
  </si>
  <si>
    <t>11971</t>
  </si>
  <si>
    <t>11974</t>
  </si>
  <si>
    <t>11977</t>
  </si>
  <si>
    <t>11980</t>
  </si>
  <si>
    <t>11983</t>
  </si>
  <si>
    <t>12331</t>
  </si>
  <si>
    <t>12334</t>
  </si>
  <si>
    <t>12382</t>
  </si>
  <si>
    <t>12385</t>
  </si>
  <si>
    <t>12388</t>
  </si>
  <si>
    <t>11986</t>
  </si>
  <si>
    <t>11989</t>
  </si>
  <si>
    <t>11992</t>
  </si>
  <si>
    <t>11995</t>
  </si>
  <si>
    <t>11998</t>
  </si>
  <si>
    <t>12001</t>
  </si>
  <si>
    <t>12004</t>
  </si>
  <si>
    <t>12007</t>
  </si>
  <si>
    <t>12010</t>
  </si>
  <si>
    <t>12013</t>
  </si>
  <si>
    <t>12016</t>
  </si>
  <si>
    <t>12019</t>
  </si>
  <si>
    <t>12022</t>
  </si>
  <si>
    <t>12025</t>
  </si>
  <si>
    <t>12028</t>
  </si>
  <si>
    <t>12031</t>
  </si>
  <si>
    <t>12034</t>
  </si>
  <si>
    <t>12037</t>
  </si>
  <si>
    <t>12040</t>
  </si>
  <si>
    <t>12043</t>
  </si>
  <si>
    <t>12046</t>
  </si>
  <si>
    <t>12049</t>
  </si>
  <si>
    <t>12052</t>
  </si>
  <si>
    <t>12055</t>
  </si>
  <si>
    <t>12058</t>
  </si>
  <si>
    <t>12061</t>
  </si>
  <si>
    <t>12064</t>
  </si>
  <si>
    <t>12067</t>
  </si>
  <si>
    <t>12070</t>
  </si>
  <si>
    <t>12073</t>
  </si>
  <si>
    <t>12076</t>
  </si>
  <si>
    <t>12079</t>
  </si>
  <si>
    <t>12082</t>
  </si>
  <si>
    <t>12085</t>
  </si>
  <si>
    <t>12088</t>
  </si>
  <si>
    <t>12091</t>
  </si>
  <si>
    <t>12094</t>
  </si>
  <si>
    <t>12097</t>
  </si>
  <si>
    <t>12100</t>
  </si>
  <si>
    <t>12103</t>
  </si>
  <si>
    <t>12106</t>
  </si>
  <si>
    <t>12109</t>
  </si>
  <si>
    <t>12112</t>
  </si>
  <si>
    <t>12115</t>
  </si>
  <si>
    <t>12118</t>
  </si>
  <si>
    <t>12121</t>
  </si>
  <si>
    <t>12124</t>
  </si>
  <si>
    <t>12127</t>
  </si>
  <si>
    <t>12130</t>
  </si>
  <si>
    <t>12133</t>
  </si>
  <si>
    <t>12136</t>
  </si>
  <si>
    <t>12139</t>
  </si>
  <si>
    <t>12142</t>
  </si>
  <si>
    <t>12145</t>
  </si>
  <si>
    <t>12148</t>
  </si>
  <si>
    <t>12151</t>
  </si>
  <si>
    <t>12154</t>
  </si>
  <si>
    <t>12157</t>
  </si>
  <si>
    <t>12160</t>
  </si>
  <si>
    <t>12163</t>
  </si>
  <si>
    <t>12166</t>
  </si>
  <si>
    <t>12169</t>
  </si>
  <si>
    <t>12172</t>
  </si>
  <si>
    <t>12175</t>
  </si>
  <si>
    <t>12178</t>
  </si>
  <si>
    <t>12181</t>
  </si>
  <si>
    <t>12184</t>
  </si>
  <si>
    <t>12187</t>
  </si>
  <si>
    <t>12190</t>
  </si>
  <si>
    <t>12193</t>
  </si>
  <si>
    <t>12196</t>
  </si>
  <si>
    <t>12199</t>
  </si>
  <si>
    <t>12202</t>
  </si>
  <si>
    <t>12205</t>
  </si>
  <si>
    <t>12208</t>
  </si>
  <si>
    <t>12211</t>
  </si>
  <si>
    <t>12214</t>
  </si>
  <si>
    <t>12217</t>
  </si>
  <si>
    <t>12220</t>
  </si>
  <si>
    <t>12223</t>
  </si>
  <si>
    <t>12226</t>
  </si>
  <si>
    <t>12229</t>
  </si>
  <si>
    <t>12232</t>
  </si>
  <si>
    <t>12235</t>
  </si>
  <si>
    <t>12238</t>
  </si>
  <si>
    <t>12241</t>
  </si>
  <si>
    <t>12244</t>
  </si>
  <si>
    <t>12247</t>
  </si>
  <si>
    <t>12250</t>
  </si>
  <si>
    <t>12253</t>
  </si>
  <si>
    <t>12256</t>
  </si>
  <si>
    <t>12259</t>
  </si>
  <si>
    <t>12262</t>
  </si>
  <si>
    <t>12265</t>
  </si>
  <si>
    <t>12268</t>
  </si>
  <si>
    <t>12271</t>
  </si>
  <si>
    <t>12274</t>
  </si>
  <si>
    <t>12277</t>
  </si>
  <si>
    <t>12280</t>
  </si>
  <si>
    <t>12283</t>
  </si>
  <si>
    <t>12286</t>
  </si>
  <si>
    <t>12289</t>
  </si>
  <si>
    <t>12292</t>
  </si>
  <si>
    <t>12295</t>
  </si>
  <si>
    <t>12298</t>
  </si>
  <si>
    <t>12301</t>
  </si>
  <si>
    <t>12304</t>
  </si>
  <si>
    <t>12307</t>
  </si>
  <si>
    <t>12310</t>
  </si>
  <si>
    <t>12313</t>
  </si>
  <si>
    <t>12316</t>
  </si>
  <si>
    <t>12319</t>
  </si>
  <si>
    <t>12322</t>
  </si>
  <si>
    <t>12325</t>
  </si>
  <si>
    <t>12328</t>
  </si>
  <si>
    <t>12337</t>
  </si>
  <si>
    <t>12340</t>
  </si>
  <si>
    <t>12343</t>
  </si>
  <si>
    <t>12346</t>
  </si>
  <si>
    <t>12349</t>
  </si>
  <si>
    <t>12352</t>
  </si>
  <si>
    <t>12355</t>
  </si>
  <si>
    <t>12358</t>
  </si>
  <si>
    <t>12361</t>
  </si>
  <si>
    <t>12364</t>
  </si>
  <si>
    <t>12367</t>
  </si>
  <si>
    <t>12370</t>
  </si>
  <si>
    <t>12373</t>
  </si>
  <si>
    <t>12376</t>
  </si>
  <si>
    <t>12379</t>
  </si>
  <si>
    <t>12391</t>
  </si>
  <si>
    <t>12394</t>
  </si>
  <si>
    <t>12397</t>
  </si>
  <si>
    <t>12400</t>
  </si>
  <si>
    <t>12403</t>
  </si>
  <si>
    <t>12406</t>
  </si>
  <si>
    <t>12409</t>
  </si>
  <si>
    <t>12412</t>
  </si>
  <si>
    <t>12415</t>
  </si>
  <si>
    <t>12418</t>
  </si>
  <si>
    <t>12421</t>
  </si>
  <si>
    <t>12424</t>
  </si>
  <si>
    <t>12427</t>
  </si>
  <si>
    <t>12430</t>
  </si>
  <si>
    <t>12433</t>
  </si>
  <si>
    <t>12436</t>
  </si>
  <si>
    <t>12439</t>
  </si>
  <si>
    <t>12442</t>
  </si>
  <si>
    <t>12445</t>
  </si>
  <si>
    <t>12448</t>
  </si>
  <si>
    <t>12451</t>
  </si>
  <si>
    <t>12452</t>
  </si>
  <si>
    <t>12454</t>
  </si>
  <si>
    <t>12457</t>
  </si>
  <si>
    <t>12460</t>
  </si>
  <si>
    <t>12463</t>
  </si>
  <si>
    <t>12466</t>
  </si>
  <si>
    <t>12469</t>
  </si>
  <si>
    <t>12817</t>
  </si>
  <si>
    <t>12820</t>
  </si>
  <si>
    <t>13084</t>
  </si>
  <si>
    <t>13108</t>
  </si>
  <si>
    <t>13225</t>
  </si>
  <si>
    <t>12472</t>
  </si>
  <si>
    <t>12475</t>
  </si>
  <si>
    <t>12478</t>
  </si>
  <si>
    <t>12481</t>
  </si>
  <si>
    <t>12484</t>
  </si>
  <si>
    <t>12487</t>
  </si>
  <si>
    <t>12490</t>
  </si>
  <si>
    <t>12493</t>
  </si>
  <si>
    <t>12496</t>
  </si>
  <si>
    <t>12499</t>
  </si>
  <si>
    <t>12502</t>
  </si>
  <si>
    <t>12505</t>
  </si>
  <si>
    <t>12508</t>
  </si>
  <si>
    <t>12511</t>
  </si>
  <si>
    <t>12514</t>
  </si>
  <si>
    <t>12517</t>
  </si>
  <si>
    <t>12520</t>
  </si>
  <si>
    <t>12523</t>
  </si>
  <si>
    <t>12526</t>
  </si>
  <si>
    <t>12529</t>
  </si>
  <si>
    <t>12532</t>
  </si>
  <si>
    <t>12535</t>
  </si>
  <si>
    <t>12538</t>
  </si>
  <si>
    <t>12541</t>
  </si>
  <si>
    <t>12547</t>
  </si>
  <si>
    <t>12550</t>
  </si>
  <si>
    <t>12553</t>
  </si>
  <si>
    <t>12556</t>
  </si>
  <si>
    <t>12559</t>
  </si>
  <si>
    <t>12562</t>
  </si>
  <si>
    <t>12565</t>
  </si>
  <si>
    <t>12568</t>
  </si>
  <si>
    <t>12571</t>
  </si>
  <si>
    <t>12574</t>
  </si>
  <si>
    <t>12577</t>
  </si>
  <si>
    <t>12580</t>
  </si>
  <si>
    <t>12583</t>
  </si>
  <si>
    <t>12586</t>
  </si>
  <si>
    <t>12589</t>
  </si>
  <si>
    <t>12592</t>
  </si>
  <si>
    <t>12595</t>
  </si>
  <si>
    <t>12598</t>
  </si>
  <si>
    <t>12601</t>
  </si>
  <si>
    <t>12604</t>
  </si>
  <si>
    <t>12607</t>
  </si>
  <si>
    <t>12610</t>
  </si>
  <si>
    <t>12613</t>
  </si>
  <si>
    <t>12616</t>
  </si>
  <si>
    <t>12619</t>
  </si>
  <si>
    <t>12622</t>
  </si>
  <si>
    <t>12625</t>
  </si>
  <si>
    <t>12628</t>
  </si>
  <si>
    <t>12631</t>
  </si>
  <si>
    <t>12634</t>
  </si>
  <si>
    <t>12637</t>
  </si>
  <si>
    <t>12640</t>
  </si>
  <si>
    <t>12643</t>
  </si>
  <si>
    <t>12646</t>
  </si>
  <si>
    <t>12649</t>
  </si>
  <si>
    <t>12652</t>
  </si>
  <si>
    <t>12655</t>
  </si>
  <si>
    <t>12656</t>
  </si>
  <si>
    <t>12658</t>
  </si>
  <si>
    <t>12661</t>
  </si>
  <si>
    <t>12664</t>
  </si>
  <si>
    <t>12667</t>
  </si>
  <si>
    <t>12670</t>
  </si>
  <si>
    <t>12673</t>
  </si>
  <si>
    <t>12676</t>
  </si>
  <si>
    <t>12679</t>
  </si>
  <si>
    <t>12682</t>
  </si>
  <si>
    <t>12685</t>
  </si>
  <si>
    <t>12688</t>
  </si>
  <si>
    <t>12691</t>
  </si>
  <si>
    <t>12694</t>
  </si>
  <si>
    <t>12697</t>
  </si>
  <si>
    <t>12700</t>
  </si>
  <si>
    <t>12703</t>
  </si>
  <si>
    <t>12706</t>
  </si>
  <si>
    <t>12709</t>
  </si>
  <si>
    <t>12712</t>
  </si>
  <si>
    <t>12715</t>
  </si>
  <si>
    <t>12718</t>
  </si>
  <si>
    <t>12721</t>
  </si>
  <si>
    <t>12724</t>
  </si>
  <si>
    <t>12727</t>
  </si>
  <si>
    <t>12730</t>
  </si>
  <si>
    <t>12733</t>
  </si>
  <si>
    <t>12736</t>
  </si>
  <si>
    <t>12739</t>
  </si>
  <si>
    <t>12745</t>
  </si>
  <si>
    <t>12748</t>
  </si>
  <si>
    <t>12751</t>
  </si>
  <si>
    <t>12754</t>
  </si>
  <si>
    <t>12757</t>
  </si>
  <si>
    <t>12760</t>
  </si>
  <si>
    <t>12763</t>
  </si>
  <si>
    <t>12769</t>
  </si>
  <si>
    <t>12772</t>
  </si>
  <si>
    <t>12775</t>
  </si>
  <si>
    <t>12778</t>
  </si>
  <si>
    <t>12784</t>
  </si>
  <si>
    <t>12790</t>
  </si>
  <si>
    <t>12793</t>
  </si>
  <si>
    <t>12796</t>
  </si>
  <si>
    <t>12799</t>
  </si>
  <si>
    <t>12802</t>
  </si>
  <si>
    <t>12808</t>
  </si>
  <si>
    <t>12811</t>
  </si>
  <si>
    <t>12823</t>
  </si>
  <si>
    <t>12826</t>
  </si>
  <si>
    <t>12832</t>
  </si>
  <si>
    <t>12841</t>
  </si>
  <si>
    <t>12844</t>
  </si>
  <si>
    <t>12847</t>
  </si>
  <si>
    <t>12850</t>
  </si>
  <si>
    <t>12853</t>
  </si>
  <si>
    <t>12856</t>
  </si>
  <si>
    <t>12859</t>
  </si>
  <si>
    <t>12862</t>
  </si>
  <si>
    <t>12865</t>
  </si>
  <si>
    <t>12868</t>
  </si>
  <si>
    <t>12871</t>
  </si>
  <si>
    <t>12874</t>
  </si>
  <si>
    <t>12877</t>
  </si>
  <si>
    <t>12880</t>
  </si>
  <si>
    <t>12889</t>
  </si>
  <si>
    <t>12892</t>
  </si>
  <si>
    <t>12898</t>
  </si>
  <si>
    <t>12901</t>
  </si>
  <si>
    <t>12904</t>
  </si>
  <si>
    <t>12907</t>
  </si>
  <si>
    <t>12910</t>
  </si>
  <si>
    <t>12916</t>
  </si>
  <si>
    <t>12919</t>
  </si>
  <si>
    <t>12922</t>
  </si>
  <si>
    <t>12925</t>
  </si>
  <si>
    <t>12934</t>
  </si>
  <si>
    <t>12937</t>
  </si>
  <si>
    <t>12940</t>
  </si>
  <si>
    <t>12943</t>
  </si>
  <si>
    <t>12949</t>
  </si>
  <si>
    <t>12958</t>
  </si>
  <si>
    <t>12961</t>
  </si>
  <si>
    <t>12964</t>
  </si>
  <si>
    <t>12967</t>
  </si>
  <si>
    <t>12970</t>
  </si>
  <si>
    <t>12976</t>
  </si>
  <si>
    <t>12979</t>
  </si>
  <si>
    <t>12982</t>
  </si>
  <si>
    <t>12985</t>
  </si>
  <si>
    <t>12988</t>
  </si>
  <si>
    <t>12991</t>
  </si>
  <si>
    <t>12994</t>
  </si>
  <si>
    <t>12997</t>
  </si>
  <si>
    <t>13000</t>
  </si>
  <si>
    <t>13003</t>
  </si>
  <si>
    <t>13009</t>
  </si>
  <si>
    <t>13012</t>
  </si>
  <si>
    <t>13018</t>
  </si>
  <si>
    <t>13021</t>
  </si>
  <si>
    <t>13024</t>
  </si>
  <si>
    <t>13027</t>
  </si>
  <si>
    <t>13030</t>
  </si>
  <si>
    <t>13033</t>
  </si>
  <si>
    <t>13036</t>
  </si>
  <si>
    <t>13039</t>
  </si>
  <si>
    <t>13042</t>
  </si>
  <si>
    <t>13045</t>
  </si>
  <si>
    <t>13048</t>
  </si>
  <si>
    <t>13051</t>
  </si>
  <si>
    <t>13054</t>
  </si>
  <si>
    <t>13057</t>
  </si>
  <si>
    <t>13060</t>
  </si>
  <si>
    <t>13063</t>
  </si>
  <si>
    <t>13066</t>
  </si>
  <si>
    <t>13069</t>
  </si>
  <si>
    <t>13072</t>
  </si>
  <si>
    <t>13075</t>
  </si>
  <si>
    <t>13078</t>
  </si>
  <si>
    <t>13081</t>
  </si>
  <si>
    <t>13087</t>
  </si>
  <si>
    <t>13090</t>
  </si>
  <si>
    <t>13093</t>
  </si>
  <si>
    <t>13096</t>
  </si>
  <si>
    <t>13102</t>
  </si>
  <si>
    <t>13111</t>
  </si>
  <si>
    <t>13114</t>
  </si>
  <si>
    <t>13117</t>
  </si>
  <si>
    <t>13120</t>
  </si>
  <si>
    <t>13123</t>
  </si>
  <si>
    <t>13126</t>
  </si>
  <si>
    <t>13129</t>
  </si>
  <si>
    <t>13132</t>
  </si>
  <si>
    <t>13135</t>
  </si>
  <si>
    <t>13138</t>
  </si>
  <si>
    <t>13141</t>
  </si>
  <si>
    <t>13144</t>
  </si>
  <si>
    <t>13150</t>
  </si>
  <si>
    <t>13153</t>
  </si>
  <si>
    <t>13156</t>
  </si>
  <si>
    <t>13159</t>
  </si>
  <si>
    <t>13162</t>
  </si>
  <si>
    <t>13165</t>
  </si>
  <si>
    <t>13171</t>
  </si>
  <si>
    <t>13174</t>
  </si>
  <si>
    <t>13177</t>
  </si>
  <si>
    <t>13180</t>
  </si>
  <si>
    <t>13183</t>
  </si>
  <si>
    <t>13186</t>
  </si>
  <si>
    <t>13189</t>
  </si>
  <si>
    <t>13192</t>
  </si>
  <si>
    <t>13195</t>
  </si>
  <si>
    <t>13198</t>
  </si>
  <si>
    <t>13201</t>
  </si>
  <si>
    <t>13204</t>
  </si>
  <si>
    <t>13207</t>
  </si>
  <si>
    <t>13210</t>
  </si>
  <si>
    <t>13213</t>
  </si>
  <si>
    <t>13216</t>
  </si>
  <si>
    <t>13219</t>
  </si>
  <si>
    <t>13222</t>
  </si>
  <si>
    <t>13228</t>
  </si>
  <si>
    <t>13231</t>
  </si>
  <si>
    <t>13234</t>
  </si>
  <si>
    <t>13237</t>
  </si>
  <si>
    <t>13240</t>
  </si>
  <si>
    <t>13243</t>
  </si>
  <si>
    <t>13246</t>
  </si>
  <si>
    <t>13249</t>
  </si>
  <si>
    <t>13252</t>
  </si>
  <si>
    <t>13255</t>
  </si>
  <si>
    <t>13258</t>
  </si>
  <si>
    <t>13261</t>
  </si>
  <si>
    <t>13264</t>
  </si>
  <si>
    <t>13267</t>
  </si>
  <si>
    <t>13270</t>
  </si>
  <si>
    <t>13273</t>
  </si>
  <si>
    <t>13276</t>
  </si>
  <si>
    <t>13279</t>
  </si>
  <si>
    <t>13282</t>
  </si>
  <si>
    <t>13285</t>
  </si>
  <si>
    <t>13288</t>
  </si>
  <si>
    <t>13291</t>
  </si>
  <si>
    <t>13294</t>
  </si>
  <si>
    <t>13297</t>
  </si>
  <si>
    <t>13300</t>
  </si>
  <si>
    <t>13303</t>
  </si>
  <si>
    <t>13306</t>
  </si>
  <si>
    <t>13309</t>
  </si>
  <si>
    <t>13312</t>
  </si>
  <si>
    <t>13315</t>
  </si>
  <si>
    <t>13318</t>
  </si>
  <si>
    <t>13366</t>
  </si>
  <si>
    <t>13372</t>
  </si>
  <si>
    <t>13381</t>
  </si>
  <si>
    <t>13426</t>
  </si>
  <si>
    <t>13444</t>
  </si>
  <si>
    <t>13447</t>
  </si>
  <si>
    <t>13459</t>
  </si>
  <si>
    <t>13507</t>
  </si>
  <si>
    <t>13513</t>
  </si>
  <si>
    <t>13321</t>
  </si>
  <si>
    <t>13324</t>
  </si>
  <si>
    <t>13327</t>
  </si>
  <si>
    <t>13330</t>
  </si>
  <si>
    <t>13333</t>
  </si>
  <si>
    <t>13336</t>
  </si>
  <si>
    <t>13339</t>
  </si>
  <si>
    <t>13342</t>
  </si>
  <si>
    <t>13345</t>
  </si>
  <si>
    <t>13348</t>
  </si>
  <si>
    <t>13351</t>
  </si>
  <si>
    <t>13354</t>
  </si>
  <si>
    <t>13357</t>
  </si>
  <si>
    <t>13360</t>
  </si>
  <si>
    <t>13363</t>
  </si>
  <si>
    <t>13369</t>
  </si>
  <si>
    <t>13384</t>
  </si>
  <si>
    <t>13387</t>
  </si>
  <si>
    <t>13390</t>
  </si>
  <si>
    <t>13393</t>
  </si>
  <si>
    <t>13396</t>
  </si>
  <si>
    <t>13399</t>
  </si>
  <si>
    <t>13402</t>
  </si>
  <si>
    <t>13405</t>
  </si>
  <si>
    <t>13408</t>
  </si>
  <si>
    <t>13411</t>
  </si>
  <si>
    <t>13414</t>
  </si>
  <si>
    <t>13417</t>
  </si>
  <si>
    <t>13420</t>
  </si>
  <si>
    <t>13423</t>
  </si>
  <si>
    <t>13429</t>
  </si>
  <si>
    <t>13432</t>
  </si>
  <si>
    <t>13435</t>
  </si>
  <si>
    <t>13438</t>
  </si>
  <si>
    <t>13441</t>
  </si>
  <si>
    <t>13450</t>
  </si>
  <si>
    <t>13453</t>
  </si>
  <si>
    <t>13456</t>
  </si>
  <si>
    <t>13465</t>
  </si>
  <si>
    <t>13468</t>
  </si>
  <si>
    <t>13471</t>
  </si>
  <si>
    <t>13474</t>
  </si>
  <si>
    <t>13477</t>
  </si>
  <si>
    <t>13480</t>
  </si>
  <si>
    <t>13483</t>
  </si>
  <si>
    <t>13486</t>
  </si>
  <si>
    <t>13489</t>
  </si>
  <si>
    <t>13492</t>
  </si>
  <si>
    <t>13495</t>
  </si>
  <si>
    <t>13498</t>
  </si>
  <si>
    <t>13501</t>
  </si>
  <si>
    <t>13504</t>
  </si>
  <si>
    <t>13510</t>
  </si>
  <si>
    <t>13516</t>
  </si>
  <si>
    <t>13519</t>
  </si>
  <si>
    <t>13522</t>
  </si>
  <si>
    <t>13525</t>
  </si>
  <si>
    <t>13528</t>
  </si>
  <si>
    <t>13531</t>
  </si>
  <si>
    <t>13534</t>
  </si>
  <si>
    <t>13540</t>
  </si>
  <si>
    <t>13543</t>
  </si>
  <si>
    <t>13546</t>
  </si>
  <si>
    <t>13552</t>
  </si>
  <si>
    <t>13555</t>
  </si>
  <si>
    <t>13558</t>
  </si>
  <si>
    <t>13561</t>
  </si>
  <si>
    <t>13567</t>
  </si>
  <si>
    <t>13570</t>
  </si>
  <si>
    <t>13573</t>
  </si>
  <si>
    <t>13576</t>
  </si>
  <si>
    <t>13579</t>
  </si>
  <si>
    <t>13582</t>
  </si>
  <si>
    <t>13585</t>
  </si>
  <si>
    <t>13588</t>
  </si>
  <si>
    <t>13591</t>
  </si>
  <si>
    <t>13594</t>
  </si>
  <si>
    <t>13597</t>
  </si>
  <si>
    <t>13600</t>
  </si>
  <si>
    <t>13606</t>
  </si>
  <si>
    <t>13609</t>
  </si>
  <si>
    <t>13612</t>
  </si>
  <si>
    <t>13615</t>
  </si>
  <si>
    <t>13618</t>
  </si>
  <si>
    <t>13621</t>
  </si>
  <si>
    <t>13624</t>
  </si>
  <si>
    <t>13627</t>
  </si>
  <si>
    <t>13630</t>
  </si>
  <si>
    <t>13633</t>
  </si>
  <si>
    <t>13636</t>
  </si>
  <si>
    <t>13639</t>
  </si>
  <si>
    <t>13642</t>
  </si>
  <si>
    <t>13645</t>
  </si>
  <si>
    <t>13648</t>
  </si>
  <si>
    <t>13651</t>
  </si>
  <si>
    <t>13654</t>
  </si>
  <si>
    <t>13657</t>
  </si>
  <si>
    <t>13660</t>
  </si>
  <si>
    <t>13663</t>
  </si>
  <si>
    <t>13666</t>
  </si>
  <si>
    <t>13669</t>
  </si>
  <si>
    <t>13672</t>
  </si>
  <si>
    <t>13675</t>
  </si>
  <si>
    <t>13678</t>
  </si>
  <si>
    <t>13681</t>
  </si>
  <si>
    <t>13684</t>
  </si>
  <si>
    <t>13687</t>
  </si>
  <si>
    <t>13690</t>
  </si>
  <si>
    <t>13693</t>
  </si>
  <si>
    <t>13696</t>
  </si>
  <si>
    <t>13699</t>
  </si>
  <si>
    <t>13702</t>
  </si>
  <si>
    <t>13705</t>
  </si>
  <si>
    <t>13708</t>
  </si>
  <si>
    <t>13711</t>
  </si>
  <si>
    <t>13714</t>
  </si>
  <si>
    <t>13717</t>
  </si>
  <si>
    <t>13720</t>
  </si>
  <si>
    <t>13723</t>
  </si>
  <si>
    <t>13726</t>
  </si>
  <si>
    <t>13729</t>
  </si>
  <si>
    <t>13732</t>
  </si>
  <si>
    <t>13735</t>
  </si>
  <si>
    <t>13738</t>
  </si>
  <si>
    <t>13741</t>
  </si>
  <si>
    <t>13744</t>
  </si>
  <si>
    <t>13747</t>
  </si>
  <si>
    <t>13750</t>
  </si>
  <si>
    <t>13753</t>
  </si>
  <si>
    <t>13756</t>
  </si>
  <si>
    <t>13759</t>
  </si>
  <si>
    <t>13762</t>
  </si>
  <si>
    <t>13765</t>
  </si>
  <si>
    <t>13768</t>
  </si>
  <si>
    <t>13771</t>
  </si>
  <si>
    <t>13774</t>
  </si>
  <si>
    <t>13777</t>
  </si>
  <si>
    <t>13780</t>
  </si>
  <si>
    <t>13783</t>
  </si>
  <si>
    <t>13786</t>
  </si>
  <si>
    <t>13789</t>
  </si>
  <si>
    <t>13792</t>
  </si>
  <si>
    <t>13795</t>
  </si>
  <si>
    <t>13798</t>
  </si>
  <si>
    <t>13801</t>
  </si>
  <si>
    <t>13804</t>
  </si>
  <si>
    <t>13807</t>
  </si>
  <si>
    <t>13810</t>
  </si>
  <si>
    <t>13813</t>
  </si>
  <si>
    <t>13816</t>
  </si>
  <si>
    <t>13819</t>
  </si>
  <si>
    <t>13822</t>
  </si>
  <si>
    <t>13825</t>
  </si>
  <si>
    <t>13828</t>
  </si>
  <si>
    <t>13831</t>
  </si>
  <si>
    <t>13834</t>
  </si>
  <si>
    <t>13840</t>
  </si>
  <si>
    <t>13843</t>
  </si>
  <si>
    <t>13846</t>
  </si>
  <si>
    <t>13849</t>
  </si>
  <si>
    <t>13852</t>
  </si>
  <si>
    <t>13855</t>
  </si>
  <si>
    <t>13858</t>
  </si>
  <si>
    <t>13861</t>
  </si>
  <si>
    <t>13864</t>
  </si>
  <si>
    <t>13867</t>
  </si>
  <si>
    <t>13870</t>
  </si>
  <si>
    <t>13873</t>
  </si>
  <si>
    <t>13876</t>
  </si>
  <si>
    <t>13879</t>
  </si>
  <si>
    <t>13882</t>
  </si>
  <si>
    <t>13885</t>
  </si>
  <si>
    <t>13888</t>
  </si>
  <si>
    <t>13891</t>
  </si>
  <si>
    <t>13894</t>
  </si>
  <si>
    <t>13897</t>
  </si>
  <si>
    <t>13900</t>
  </si>
  <si>
    <t>13903</t>
  </si>
  <si>
    <t>13906</t>
  </si>
  <si>
    <t>13909</t>
  </si>
  <si>
    <t>13912</t>
  </si>
  <si>
    <t>13915</t>
  </si>
  <si>
    <t>13918</t>
  </si>
  <si>
    <t>13921</t>
  </si>
  <si>
    <t>13924</t>
  </si>
  <si>
    <t>13927</t>
  </si>
  <si>
    <t>13930</t>
  </si>
  <si>
    <t>13933</t>
  </si>
  <si>
    <t>13936</t>
  </si>
  <si>
    <t>13939</t>
  </si>
  <si>
    <t>13942</t>
  </si>
  <si>
    <t>13945</t>
  </si>
  <si>
    <t>13948</t>
  </si>
  <si>
    <t>13951</t>
  </si>
  <si>
    <t>13954</t>
  </si>
  <si>
    <t>13957</t>
  </si>
  <si>
    <t>13963</t>
  </si>
  <si>
    <t>13966</t>
  </si>
  <si>
    <t>13969</t>
  </si>
  <si>
    <t>13972</t>
  </si>
  <si>
    <t>13975</t>
  </si>
  <si>
    <t>13978</t>
  </si>
  <si>
    <t>13981</t>
  </si>
  <si>
    <t>13984</t>
  </si>
  <si>
    <t>13987</t>
  </si>
  <si>
    <t>13990</t>
  </si>
  <si>
    <t>13993</t>
  </si>
  <si>
    <t>13996</t>
  </si>
  <si>
    <t>13999</t>
  </si>
  <si>
    <t>14002</t>
  </si>
  <si>
    <t>14005</t>
  </si>
  <si>
    <t>14008</t>
  </si>
  <si>
    <t>14011</t>
  </si>
  <si>
    <t>14014</t>
  </si>
  <si>
    <t>14017</t>
  </si>
  <si>
    <t>14020</t>
  </si>
  <si>
    <t>14023</t>
  </si>
  <si>
    <t>14026</t>
  </si>
  <si>
    <t>14029</t>
  </si>
  <si>
    <t>14032</t>
  </si>
  <si>
    <t>14035</t>
  </si>
  <si>
    <t>14038</t>
  </si>
  <si>
    <t>14041</t>
  </si>
  <si>
    <t>14044</t>
  </si>
  <si>
    <t>14047</t>
  </si>
  <si>
    <t>14050</t>
  </si>
  <si>
    <t>14053</t>
  </si>
  <si>
    <t>14056</t>
  </si>
  <si>
    <t>14059</t>
  </si>
  <si>
    <t>14062</t>
  </si>
  <si>
    <t>14065</t>
  </si>
  <si>
    <t>14068</t>
  </si>
  <si>
    <t>14071</t>
  </si>
  <si>
    <t>14074</t>
  </si>
  <si>
    <t>14077</t>
  </si>
  <si>
    <t>14080</t>
  </si>
  <si>
    <t>14083</t>
  </si>
  <si>
    <t>14086</t>
  </si>
  <si>
    <t>14089</t>
  </si>
  <si>
    <t>14092</t>
  </si>
  <si>
    <t>14095</t>
  </si>
  <si>
    <t>14098</t>
  </si>
  <si>
    <t>14101</t>
  </si>
  <si>
    <t>14104</t>
  </si>
  <si>
    <t>14107</t>
  </si>
  <si>
    <t>14110</t>
  </si>
  <si>
    <t>14113</t>
  </si>
  <si>
    <t>14116</t>
  </si>
  <si>
    <t>14119</t>
  </si>
  <si>
    <t>14122</t>
  </si>
  <si>
    <t>14125</t>
  </si>
  <si>
    <t>14128</t>
  </si>
  <si>
    <t>14131</t>
  </si>
  <si>
    <t>14134</t>
  </si>
  <si>
    <t>14137</t>
  </si>
  <si>
    <t>14140</t>
  </si>
  <si>
    <t>14143</t>
  </si>
  <si>
    <t>14146</t>
  </si>
  <si>
    <t>14149</t>
  </si>
  <si>
    <t>14152</t>
  </si>
  <si>
    <t>14155</t>
  </si>
  <si>
    <t>14158</t>
  </si>
  <si>
    <t>14161</t>
  </si>
  <si>
    <t>14164</t>
  </si>
  <si>
    <t>14167</t>
  </si>
  <si>
    <t>14170</t>
  </si>
  <si>
    <t>14173</t>
  </si>
  <si>
    <t>14176</t>
  </si>
  <si>
    <t>14179</t>
  </si>
  <si>
    <t>14182</t>
  </si>
  <si>
    <t>14185</t>
  </si>
  <si>
    <t>14188</t>
  </si>
  <si>
    <t>14191</t>
  </si>
  <si>
    <t>14194</t>
  </si>
  <si>
    <t>14197</t>
  </si>
  <si>
    <t>14200</t>
  </si>
  <si>
    <t>14203</t>
  </si>
  <si>
    <t>14206</t>
  </si>
  <si>
    <t>14209</t>
  </si>
  <si>
    <t>14212</t>
  </si>
  <si>
    <t>14215</t>
  </si>
  <si>
    <t>14218</t>
  </si>
  <si>
    <t>14221</t>
  </si>
  <si>
    <t>14224</t>
  </si>
  <si>
    <t>14227</t>
  </si>
  <si>
    <t>14230</t>
  </si>
  <si>
    <t>14233</t>
  </si>
  <si>
    <t>14236</t>
  </si>
  <si>
    <t>14239</t>
  </si>
  <si>
    <t>14242</t>
  </si>
  <si>
    <t>14245</t>
  </si>
  <si>
    <t>14248</t>
  </si>
  <si>
    <t>14251</t>
  </si>
  <si>
    <t>14254</t>
  </si>
  <si>
    <t>14257</t>
  </si>
  <si>
    <t>14260</t>
  </si>
  <si>
    <t>14263</t>
  </si>
  <si>
    <t>14266</t>
  </si>
  <si>
    <t>14269</t>
  </si>
  <si>
    <t>14272</t>
  </si>
  <si>
    <t>14275</t>
  </si>
  <si>
    <t>14281</t>
  </si>
  <si>
    <t>14284</t>
  </si>
  <si>
    <t>14287</t>
  </si>
  <si>
    <t>14290</t>
  </si>
  <si>
    <t>14293</t>
  </si>
  <si>
    <t>14296</t>
  </si>
  <si>
    <t>14299</t>
  </si>
  <si>
    <t>14302</t>
  </si>
  <si>
    <t>14305</t>
  </si>
  <si>
    <t>14308</t>
  </si>
  <si>
    <t>14311</t>
  </si>
  <si>
    <t>14314</t>
  </si>
  <si>
    <t>14317</t>
  </si>
  <si>
    <t>14320</t>
  </si>
  <si>
    <t>14323</t>
  </si>
  <si>
    <t>14326</t>
  </si>
  <si>
    <t>14329</t>
  </si>
  <si>
    <t>14332</t>
  </si>
  <si>
    <t>14335</t>
  </si>
  <si>
    <t>14338</t>
  </si>
  <si>
    <t>14341</t>
  </si>
  <si>
    <t>14344</t>
  </si>
  <si>
    <t>14347</t>
  </si>
  <si>
    <t>14350</t>
  </si>
  <si>
    <t>14353</t>
  </si>
  <si>
    <t>14356</t>
  </si>
  <si>
    <t>14359</t>
  </si>
  <si>
    <t>14362</t>
  </si>
  <si>
    <t>14365</t>
  </si>
  <si>
    <t>14368</t>
  </si>
  <si>
    <t>14369</t>
  </si>
  <si>
    <t>14371</t>
  </si>
  <si>
    <t>14374</t>
  </si>
  <si>
    <t>14375</t>
  </si>
  <si>
    <t>14377</t>
  </si>
  <si>
    <t>14380</t>
  </si>
  <si>
    <t>14383</t>
  </si>
  <si>
    <t>14386</t>
  </si>
  <si>
    <t>14389</t>
  </si>
  <si>
    <t>14392</t>
  </si>
  <si>
    <t>14395</t>
  </si>
  <si>
    <t>14398</t>
  </si>
  <si>
    <t>14401</t>
  </si>
  <si>
    <t>14404</t>
  </si>
  <si>
    <t>14407</t>
  </si>
  <si>
    <t>14410</t>
  </si>
  <si>
    <t>14413</t>
  </si>
  <si>
    <t>14416</t>
  </si>
  <si>
    <t>14419</t>
  </si>
  <si>
    <t>14422</t>
  </si>
  <si>
    <t>14425</t>
  </si>
  <si>
    <t>14428</t>
  </si>
  <si>
    <t>14431</t>
  </si>
  <si>
    <t>14434</t>
  </si>
  <si>
    <t>14437</t>
  </si>
  <si>
    <t>14440</t>
  </si>
  <si>
    <t>14443</t>
  </si>
  <si>
    <t>14446</t>
  </si>
  <si>
    <t>14449</t>
  </si>
  <si>
    <t>14452</t>
  </si>
  <si>
    <t>14455</t>
  </si>
  <si>
    <t>14458</t>
  </si>
  <si>
    <t>14461</t>
  </si>
  <si>
    <t>14464</t>
  </si>
  <si>
    <t>14467</t>
  </si>
  <si>
    <t>14470</t>
  </si>
  <si>
    <t>14473</t>
  </si>
  <si>
    <t>14476</t>
  </si>
  <si>
    <t>14479</t>
  </si>
  <si>
    <t>14482</t>
  </si>
  <si>
    <t>14485</t>
  </si>
  <si>
    <t>14488</t>
  </si>
  <si>
    <t>14491</t>
  </si>
  <si>
    <t>14494</t>
  </si>
  <si>
    <t>14497</t>
  </si>
  <si>
    <t>14500</t>
  </si>
  <si>
    <t>14503</t>
  </si>
  <si>
    <t>14506</t>
  </si>
  <si>
    <t>14509</t>
  </si>
  <si>
    <t>14512</t>
  </si>
  <si>
    <t>14515</t>
  </si>
  <si>
    <t>14518</t>
  </si>
  <si>
    <t>14521</t>
  </si>
  <si>
    <t>14524</t>
  </si>
  <si>
    <t>14527</t>
  </si>
  <si>
    <t>14530</t>
  </si>
  <si>
    <t>14533</t>
  </si>
  <si>
    <t>14536</t>
  </si>
  <si>
    <t>14539</t>
  </si>
  <si>
    <t>14542</t>
  </si>
  <si>
    <t>14545</t>
  </si>
  <si>
    <t>14548</t>
  </si>
  <si>
    <t>14551</t>
  </si>
  <si>
    <t>14554</t>
  </si>
  <si>
    <t>14557</t>
  </si>
  <si>
    <t>14560</t>
  </si>
  <si>
    <t>14563</t>
  </si>
  <si>
    <t>14566</t>
  </si>
  <si>
    <t>14569</t>
  </si>
  <si>
    <t>14572</t>
  </si>
  <si>
    <t>14575</t>
  </si>
  <si>
    <t>14578</t>
  </si>
  <si>
    <t>14581</t>
  </si>
  <si>
    <t>14584</t>
  </si>
  <si>
    <t>14587</t>
  </si>
  <si>
    <t>14590</t>
  </si>
  <si>
    <t>14593</t>
  </si>
  <si>
    <t>14596</t>
  </si>
  <si>
    <t>14599</t>
  </si>
  <si>
    <t>14602</t>
  </si>
  <si>
    <t>14608</t>
  </si>
  <si>
    <t>14611</t>
  </si>
  <si>
    <t>14614</t>
  </si>
  <si>
    <t>14617</t>
  </si>
  <si>
    <t>14620</t>
  </si>
  <si>
    <t>14623</t>
  </si>
  <si>
    <t>14629</t>
  </si>
  <si>
    <t>14632</t>
  </si>
  <si>
    <t>14635</t>
  </si>
  <si>
    <t>14638</t>
  </si>
  <si>
    <t>14641</t>
  </si>
  <si>
    <t>14647</t>
  </si>
  <si>
    <t>14650</t>
  </si>
  <si>
    <t>14653</t>
  </si>
  <si>
    <t>14656</t>
  </si>
  <si>
    <t>14659</t>
  </si>
  <si>
    <t>14662</t>
  </si>
  <si>
    <t>14665</t>
  </si>
  <si>
    <t>14668</t>
  </si>
  <si>
    <t>14671</t>
  </si>
  <si>
    <t>14674</t>
  </si>
  <si>
    <t>14677</t>
  </si>
  <si>
    <t>14680</t>
  </si>
  <si>
    <t>14683</t>
  </si>
  <si>
    <t>14686</t>
  </si>
  <si>
    <t>14689</t>
  </si>
  <si>
    <t>14692</t>
  </si>
  <si>
    <t>14695</t>
  </si>
  <si>
    <t>14698</t>
  </si>
  <si>
    <t>14701</t>
  </si>
  <si>
    <t>14704</t>
  </si>
  <si>
    <t>14707</t>
  </si>
  <si>
    <t>14710</t>
  </si>
  <si>
    <t>14713</t>
  </si>
  <si>
    <t>14719</t>
  </si>
  <si>
    <t>14722</t>
  </si>
  <si>
    <t>14725</t>
  </si>
  <si>
    <t>14728</t>
  </si>
  <si>
    <t>14731</t>
  </si>
  <si>
    <t>14734</t>
  </si>
  <si>
    <t>14737</t>
  </si>
  <si>
    <t>14740</t>
  </si>
  <si>
    <t>14743</t>
  </si>
  <si>
    <t>14746</t>
  </si>
  <si>
    <t>14749</t>
  </si>
  <si>
    <t>14752</t>
  </si>
  <si>
    <t>14755</t>
  </si>
  <si>
    <t>14758</t>
  </si>
  <si>
    <t>14761</t>
  </si>
  <si>
    <t>14764</t>
  </si>
  <si>
    <t>14767</t>
  </si>
  <si>
    <t>14770</t>
  </si>
  <si>
    <t>14773</t>
  </si>
  <si>
    <t>14776</t>
  </si>
  <si>
    <t>14779</t>
  </si>
  <si>
    <t>14782</t>
  </si>
  <si>
    <t>14785</t>
  </si>
  <si>
    <t>14788</t>
  </si>
  <si>
    <t>14791</t>
  </si>
  <si>
    <t>14794</t>
  </si>
  <si>
    <t>14797</t>
  </si>
  <si>
    <t>14800</t>
  </si>
  <si>
    <t>14803</t>
  </si>
  <si>
    <t>14806</t>
  </si>
  <si>
    <t>15850</t>
  </si>
  <si>
    <t>15856</t>
  </si>
  <si>
    <t>15859</t>
  </si>
  <si>
    <t>15913</t>
  </si>
  <si>
    <t>15922</t>
  </si>
  <si>
    <t>15925</t>
  </si>
  <si>
    <t>15970</t>
  </si>
  <si>
    <t>16396</t>
  </si>
  <si>
    <t>16429</t>
  </si>
  <si>
    <t>16432</t>
  </si>
  <si>
    <t>16435</t>
  </si>
  <si>
    <t>16441</t>
  </si>
  <si>
    <t>16459</t>
  </si>
  <si>
    <t>16507</t>
  </si>
  <si>
    <t>16522</t>
  </si>
  <si>
    <t>16525</t>
  </si>
  <si>
    <t>14809</t>
  </si>
  <si>
    <t>14812</t>
  </si>
  <si>
    <t>14815</t>
  </si>
  <si>
    <t>14818</t>
  </si>
  <si>
    <t>14821</t>
  </si>
  <si>
    <t>14823</t>
  </si>
  <si>
    <t>14824</t>
  </si>
  <si>
    <t>14830</t>
  </si>
  <si>
    <t>14833</t>
  </si>
  <si>
    <t>14836</t>
  </si>
  <si>
    <t>14839</t>
  </si>
  <si>
    <t>14842</t>
  </si>
  <si>
    <t>16513</t>
  </si>
  <si>
    <t>16516</t>
  </si>
  <si>
    <t>16528</t>
  </si>
  <si>
    <t>16531</t>
  </si>
  <si>
    <t>16534</t>
  </si>
  <si>
    <t>16537</t>
  </si>
  <si>
    <t>14845</t>
  </si>
  <si>
    <t>14848</t>
  </si>
  <si>
    <t>14854</t>
  </si>
  <si>
    <t>14857</t>
  </si>
  <si>
    <t>14860</t>
  </si>
  <si>
    <t>14863</t>
  </si>
  <si>
    <t>14864</t>
  </si>
  <si>
    <t>14866</t>
  </si>
  <si>
    <t>14869</t>
  </si>
  <si>
    <t>14872</t>
  </si>
  <si>
    <t>14875</t>
  </si>
  <si>
    <t>14878</t>
  </si>
  <si>
    <t>14881</t>
  </si>
  <si>
    <t>14884</t>
  </si>
  <si>
    <t>14887</t>
  </si>
  <si>
    <t>14890</t>
  </si>
  <si>
    <t>14896</t>
  </si>
  <si>
    <t>14899</t>
  </si>
  <si>
    <t>14902</t>
  </si>
  <si>
    <t>14908</t>
  </si>
  <si>
    <t>14911</t>
  </si>
  <si>
    <t>14914</t>
  </si>
  <si>
    <t>14917</t>
  </si>
  <si>
    <t>14923</t>
  </si>
  <si>
    <t>14926</t>
  </si>
  <si>
    <t>14929</t>
  </si>
  <si>
    <t>14932</t>
  </si>
  <si>
    <t>14935</t>
  </si>
  <si>
    <t>14938</t>
  </si>
  <si>
    <t>14941</t>
  </si>
  <si>
    <t>14944</t>
  </si>
  <si>
    <t>14947</t>
  </si>
  <si>
    <t>14950</t>
  </si>
  <si>
    <t>14953</t>
  </si>
  <si>
    <t>14956</t>
  </si>
  <si>
    <t>14959</t>
  </si>
  <si>
    <t>14962</t>
  </si>
  <si>
    <t>14965</t>
  </si>
  <si>
    <t>14968</t>
  </si>
  <si>
    <t>14971</t>
  </si>
  <si>
    <t>14974</t>
  </si>
  <si>
    <t>14977</t>
  </si>
  <si>
    <t>14980</t>
  </si>
  <si>
    <t>14986</t>
  </si>
  <si>
    <t>14995</t>
  </si>
  <si>
    <t>14998</t>
  </si>
  <si>
    <t>14999</t>
  </si>
  <si>
    <t>15001</t>
  </si>
  <si>
    <t>15004</t>
  </si>
  <si>
    <t>15007</t>
  </si>
  <si>
    <t>15010</t>
  </si>
  <si>
    <t>15013</t>
  </si>
  <si>
    <t>15016</t>
  </si>
  <si>
    <t>15019</t>
  </si>
  <si>
    <t>15022</t>
  </si>
  <si>
    <t>15025</t>
  </si>
  <si>
    <t>15031</t>
  </si>
  <si>
    <t>15034</t>
  </si>
  <si>
    <t>15037</t>
  </si>
  <si>
    <t>15040</t>
  </si>
  <si>
    <t>15043</t>
  </si>
  <si>
    <t>15046</t>
  </si>
  <si>
    <t>15049</t>
  </si>
  <si>
    <t>15052</t>
  </si>
  <si>
    <t>15055</t>
  </si>
  <si>
    <t>15058</t>
  </si>
  <si>
    <t>15061</t>
  </si>
  <si>
    <t>15064</t>
  </si>
  <si>
    <t>15067</t>
  </si>
  <si>
    <t>15070</t>
  </si>
  <si>
    <t>15073</t>
  </si>
  <si>
    <t>15076</t>
  </si>
  <si>
    <t>15079</t>
  </si>
  <si>
    <t>15085</t>
  </si>
  <si>
    <t>15088</t>
  </si>
  <si>
    <t>15091</t>
  </si>
  <si>
    <t>15094</t>
  </si>
  <si>
    <t>15097</t>
  </si>
  <si>
    <t>15100</t>
  </si>
  <si>
    <t>15103</t>
  </si>
  <si>
    <t>15106</t>
  </si>
  <si>
    <t>15109</t>
  </si>
  <si>
    <t>15112</t>
  </si>
  <si>
    <t>15115</t>
  </si>
  <si>
    <t>15118</t>
  </si>
  <si>
    <t>15121</t>
  </si>
  <si>
    <t>15124</t>
  </si>
  <si>
    <t>15127</t>
  </si>
  <si>
    <t>15133</t>
  </si>
  <si>
    <t>15136</t>
  </si>
  <si>
    <t>15139</t>
  </si>
  <si>
    <t>15142</t>
  </si>
  <si>
    <t>15145</t>
  </si>
  <si>
    <t>15148</t>
  </si>
  <si>
    <t>15151</t>
  </si>
  <si>
    <t>15154</t>
  </si>
  <si>
    <t>15160</t>
  </si>
  <si>
    <t>15163</t>
  </si>
  <si>
    <t>15169</t>
  </si>
  <si>
    <t>15172</t>
  </si>
  <si>
    <t>15175</t>
  </si>
  <si>
    <t>15178</t>
  </si>
  <si>
    <t>15181</t>
  </si>
  <si>
    <t>15184</t>
  </si>
  <si>
    <t>15187</t>
  </si>
  <si>
    <t>15190</t>
  </si>
  <si>
    <t>15196</t>
  </si>
  <si>
    <t>15199</t>
  </si>
  <si>
    <t>15202</t>
  </si>
  <si>
    <t>15205</t>
  </si>
  <si>
    <t>15208</t>
  </si>
  <si>
    <t>15211</t>
  </si>
  <si>
    <t>15214</t>
  </si>
  <si>
    <t>15217</t>
  </si>
  <si>
    <t>15220</t>
  </si>
  <si>
    <t>15223</t>
  </si>
  <si>
    <t>15226</t>
  </si>
  <si>
    <t>15229</t>
  </si>
  <si>
    <t>15232</t>
  </si>
  <si>
    <t>15235</t>
  </si>
  <si>
    <t>15238</t>
  </si>
  <si>
    <t>15241</t>
  </si>
  <si>
    <t>15247</t>
  </si>
  <si>
    <t>15250</t>
  </si>
  <si>
    <t>15253</t>
  </si>
  <si>
    <t>15256</t>
  </si>
  <si>
    <t>15259</t>
  </si>
  <si>
    <t>15265</t>
  </si>
  <si>
    <t>15268</t>
  </si>
  <si>
    <t>15271</t>
  </si>
  <si>
    <t>15274</t>
  </si>
  <si>
    <t>15277</t>
  </si>
  <si>
    <t>15280</t>
  </si>
  <si>
    <t>15283</t>
  </si>
  <si>
    <t>15286</t>
  </si>
  <si>
    <t>15292</t>
  </si>
  <si>
    <t>15298</t>
  </si>
  <si>
    <t>15304</t>
  </si>
  <si>
    <t>15307</t>
  </si>
  <si>
    <t>15313</t>
  </si>
  <si>
    <t>15316</t>
  </si>
  <si>
    <t>15319</t>
  </si>
  <si>
    <t>15322</t>
  </si>
  <si>
    <t>15325</t>
  </si>
  <si>
    <t>15328</t>
  </si>
  <si>
    <t>15331</t>
  </si>
  <si>
    <t>15334</t>
  </si>
  <si>
    <t>15340</t>
  </si>
  <si>
    <t>15343</t>
  </si>
  <si>
    <t>15349</t>
  </si>
  <si>
    <t>15352</t>
  </si>
  <si>
    <t>15355</t>
  </si>
  <si>
    <t>15358</t>
  </si>
  <si>
    <t>15361</t>
  </si>
  <si>
    <t>15364</t>
  </si>
  <si>
    <t>15367</t>
  </si>
  <si>
    <t>15376</t>
  </si>
  <si>
    <t>15379</t>
  </si>
  <si>
    <t>15382</t>
  </si>
  <si>
    <t>15385</t>
  </si>
  <si>
    <t>15388</t>
  </si>
  <si>
    <t>15391</t>
  </si>
  <si>
    <t>15397</t>
  </si>
  <si>
    <t>15403</t>
  </si>
  <si>
    <t>15406</t>
  </si>
  <si>
    <t>15409</t>
  </si>
  <si>
    <t>15412</t>
  </si>
  <si>
    <t>15415</t>
  </si>
  <si>
    <t>15418</t>
  </si>
  <si>
    <t>15421</t>
  </si>
  <si>
    <t>15427</t>
  </si>
  <si>
    <t>15430</t>
  </si>
  <si>
    <t>15433</t>
  </si>
  <si>
    <t>15436</t>
  </si>
  <si>
    <t>15439</t>
  </si>
  <si>
    <t>15442</t>
  </si>
  <si>
    <t>15445</t>
  </si>
  <si>
    <t>15448</t>
  </si>
  <si>
    <t>15451</t>
  </si>
  <si>
    <t>15454</t>
  </si>
  <si>
    <t>15457</t>
  </si>
  <si>
    <t>15460</t>
  </si>
  <si>
    <t>15463</t>
  </si>
  <si>
    <t>15466</t>
  </si>
  <si>
    <t>15469</t>
  </si>
  <si>
    <t>15472</t>
  </si>
  <si>
    <t>15475</t>
  </si>
  <si>
    <t>15478</t>
  </si>
  <si>
    <t>15493</t>
  </si>
  <si>
    <t>15499</t>
  </si>
  <si>
    <t>15502</t>
  </si>
  <si>
    <t>15505</t>
  </si>
  <si>
    <t>15508</t>
  </si>
  <si>
    <t>15511</t>
  </si>
  <si>
    <t>15514</t>
  </si>
  <si>
    <t>15517</t>
  </si>
  <si>
    <t>15520</t>
  </si>
  <si>
    <t>15523</t>
  </si>
  <si>
    <t>15526</t>
  </si>
  <si>
    <t>15532</t>
  </si>
  <si>
    <t>15535</t>
  </si>
  <si>
    <t>15538</t>
  </si>
  <si>
    <t>15541</t>
  </si>
  <si>
    <t>15544</t>
  </si>
  <si>
    <t>15547</t>
  </si>
  <si>
    <t>15550</t>
  </si>
  <si>
    <t>15553</t>
  </si>
  <si>
    <t>15556</t>
  </si>
  <si>
    <t>15559</t>
  </si>
  <si>
    <t>15565</t>
  </si>
  <si>
    <t>15568</t>
  </si>
  <si>
    <t>15571</t>
  </si>
  <si>
    <t>15574</t>
  </si>
  <si>
    <t>15577</t>
  </si>
  <si>
    <t>15583</t>
  </si>
  <si>
    <t>15586</t>
  </si>
  <si>
    <t>15592</t>
  </si>
  <si>
    <t>15598</t>
  </si>
  <si>
    <t>15607</t>
  </si>
  <si>
    <t>15610</t>
  </si>
  <si>
    <t>15619</t>
  </si>
  <si>
    <t>15622</t>
  </si>
  <si>
    <t>15628</t>
  </si>
  <si>
    <t>15631</t>
  </si>
  <si>
    <t>15634</t>
  </si>
  <si>
    <t>15637</t>
  </si>
  <si>
    <t>15640</t>
  </si>
  <si>
    <t>15643</t>
  </si>
  <si>
    <t>15646</t>
  </si>
  <si>
    <t>15649</t>
  </si>
  <si>
    <t>15652</t>
  </si>
  <si>
    <t>15655</t>
  </si>
  <si>
    <t>15658</t>
  </si>
  <si>
    <t>15661</t>
  </si>
  <si>
    <t>15664</t>
  </si>
  <si>
    <t>15667</t>
  </si>
  <si>
    <t>15670</t>
  </si>
  <si>
    <t>15673</t>
  </si>
  <si>
    <t>15676</t>
  </si>
  <si>
    <t>15679</t>
  </si>
  <si>
    <t>15682</t>
  </si>
  <si>
    <t>15685</t>
  </si>
  <si>
    <t>15688</t>
  </si>
  <si>
    <t>15691</t>
  </si>
  <si>
    <t>15700</t>
  </si>
  <si>
    <t>15703</t>
  </si>
  <si>
    <t>15706</t>
  </si>
  <si>
    <t>15709</t>
  </si>
  <si>
    <t>15712</t>
  </si>
  <si>
    <t>15715</t>
  </si>
  <si>
    <t>15718</t>
  </si>
  <si>
    <t>15721</t>
  </si>
  <si>
    <t>15724</t>
  </si>
  <si>
    <t>15727</t>
  </si>
  <si>
    <t>15730</t>
  </si>
  <si>
    <t>15733</t>
  </si>
  <si>
    <t>15736</t>
  </si>
  <si>
    <t>15739</t>
  </si>
  <si>
    <t>15742</t>
  </si>
  <si>
    <t>15745</t>
  </si>
  <si>
    <t>15748</t>
  </si>
  <si>
    <t>15751</t>
  </si>
  <si>
    <t>15754</t>
  </si>
  <si>
    <t>15757</t>
  </si>
  <si>
    <t>15760</t>
  </si>
  <si>
    <t>15763</t>
  </si>
  <si>
    <t>15766</t>
  </si>
  <si>
    <t>15769</t>
  </si>
  <si>
    <t>15772</t>
  </si>
  <si>
    <t>15775</t>
  </si>
  <si>
    <t>15778</t>
  </si>
  <si>
    <t>15781</t>
  </si>
  <si>
    <t>15784</t>
  </si>
  <si>
    <t>15787</t>
  </si>
  <si>
    <t>15790</t>
  </si>
  <si>
    <t>15793</t>
  </si>
  <si>
    <t>15796</t>
  </si>
  <si>
    <t>15799</t>
  </si>
  <si>
    <t>15802</t>
  </si>
  <si>
    <t>15805</t>
  </si>
  <si>
    <t>15808</t>
  </si>
  <si>
    <t>15811</t>
  </si>
  <si>
    <t>15814</t>
  </si>
  <si>
    <t>15817</t>
  </si>
  <si>
    <t>15820</t>
  </si>
  <si>
    <t>15823</t>
  </si>
  <si>
    <t>15829</t>
  </si>
  <si>
    <t>15832</t>
  </si>
  <si>
    <t>15835</t>
  </si>
  <si>
    <t>15838</t>
  </si>
  <si>
    <t>15841</t>
  </si>
  <si>
    <t>15847</t>
  </si>
  <si>
    <t>15853</t>
  </si>
  <si>
    <t>15865</t>
  </si>
  <si>
    <t>15871</t>
  </si>
  <si>
    <t>15877</t>
  </si>
  <si>
    <t>15880</t>
  </si>
  <si>
    <t>15883</t>
  </si>
  <si>
    <t>15886</t>
  </si>
  <si>
    <t>15889</t>
  </si>
  <si>
    <t>15892</t>
  </si>
  <si>
    <t>15895</t>
  </si>
  <si>
    <t>15901</t>
  </si>
  <si>
    <t>15907</t>
  </si>
  <si>
    <t>15910</t>
  </si>
  <si>
    <t>15916</t>
  </si>
  <si>
    <t>15919</t>
  </si>
  <si>
    <t>15928</t>
  </si>
  <si>
    <t>15937</t>
  </si>
  <si>
    <t>15940</t>
  </si>
  <si>
    <t>15946</t>
  </si>
  <si>
    <t>15949</t>
  </si>
  <si>
    <t>15952</t>
  </si>
  <si>
    <t>15955</t>
  </si>
  <si>
    <t>15958</t>
  </si>
  <si>
    <t>15961</t>
  </si>
  <si>
    <t>15964</t>
  </si>
  <si>
    <t>15967</t>
  </si>
  <si>
    <t>15973</t>
  </si>
  <si>
    <t>15976</t>
  </si>
  <si>
    <t>15979</t>
  </si>
  <si>
    <t>15982</t>
  </si>
  <si>
    <t>15985</t>
  </si>
  <si>
    <t>15988</t>
  </si>
  <si>
    <t>15991</t>
  </si>
  <si>
    <t>15994</t>
  </si>
  <si>
    <t>15997</t>
  </si>
  <si>
    <t>16000</t>
  </si>
  <si>
    <t>16003</t>
  </si>
  <si>
    <t>16006</t>
  </si>
  <si>
    <t>16012</t>
  </si>
  <si>
    <t>16015</t>
  </si>
  <si>
    <t>16018</t>
  </si>
  <si>
    <t>16021</t>
  </si>
  <si>
    <t>16027</t>
  </si>
  <si>
    <t>16030</t>
  </si>
  <si>
    <t>16033</t>
  </si>
  <si>
    <t>16036</t>
  </si>
  <si>
    <t>16039</t>
  </si>
  <si>
    <t>16042</t>
  </si>
  <si>
    <t>16045</t>
  </si>
  <si>
    <t>16048</t>
  </si>
  <si>
    <t>16057</t>
  </si>
  <si>
    <t>16063</t>
  </si>
  <si>
    <t>16066</t>
  </si>
  <si>
    <t>16069</t>
  </si>
  <si>
    <t>16072</t>
  </si>
  <si>
    <t>16075</t>
  </si>
  <si>
    <t>16078</t>
  </si>
  <si>
    <t>16081</t>
  </si>
  <si>
    <t>16084</t>
  </si>
  <si>
    <t>16087</t>
  </si>
  <si>
    <t>16090</t>
  </si>
  <si>
    <t>16093</t>
  </si>
  <si>
    <t>16096</t>
  </si>
  <si>
    <t>16099</t>
  </si>
  <si>
    <t>16102</t>
  </si>
  <si>
    <t>16105</t>
  </si>
  <si>
    <t>16108</t>
  </si>
  <si>
    <t>16114</t>
  </si>
  <si>
    <t>16117</t>
  </si>
  <si>
    <t>16120</t>
  </si>
  <si>
    <t>16123</t>
  </si>
  <si>
    <t>16132</t>
  </si>
  <si>
    <t>16135</t>
  </si>
  <si>
    <t>16138</t>
  </si>
  <si>
    <t>16141</t>
  </si>
  <si>
    <t>16144</t>
  </si>
  <si>
    <t>16147</t>
  </si>
  <si>
    <t>16150</t>
  </si>
  <si>
    <t>16153</t>
  </si>
  <si>
    <t>16156</t>
  </si>
  <si>
    <t>16159</t>
  </si>
  <si>
    <t>16162</t>
  </si>
  <si>
    <t>16165</t>
  </si>
  <si>
    <t>16168</t>
  </si>
  <si>
    <t>16171</t>
  </si>
  <si>
    <t>16174</t>
  </si>
  <si>
    <t>16177</t>
  </si>
  <si>
    <t>16180</t>
  </si>
  <si>
    <t>16183</t>
  </si>
  <si>
    <t>16186</t>
  </si>
  <si>
    <t>16195</t>
  </si>
  <si>
    <t>16198</t>
  </si>
  <si>
    <t>16201</t>
  </si>
  <si>
    <t>16204</t>
  </si>
  <si>
    <t>16207</t>
  </si>
  <si>
    <t>16210</t>
  </si>
  <si>
    <t>16213</t>
  </si>
  <si>
    <t>16216</t>
  </si>
  <si>
    <t>16219</t>
  </si>
  <si>
    <t>16222</t>
  </si>
  <si>
    <t>16225</t>
  </si>
  <si>
    <t>16228</t>
  </si>
  <si>
    <t>16231</t>
  </si>
  <si>
    <t>16234</t>
  </si>
  <si>
    <t>16240</t>
  </si>
  <si>
    <t>16243</t>
  </si>
  <si>
    <t>16246</t>
  </si>
  <si>
    <t>16249</t>
  </si>
  <si>
    <t>16252</t>
  </si>
  <si>
    <t>16258</t>
  </si>
  <si>
    <t>16261</t>
  </si>
  <si>
    <t>16264</t>
  </si>
  <si>
    <t>16267</t>
  </si>
  <si>
    <t>16273</t>
  </si>
  <si>
    <t>16276</t>
  </si>
  <si>
    <t>16279</t>
  </si>
  <si>
    <t>16282</t>
  </si>
  <si>
    <t>16285</t>
  </si>
  <si>
    <t>16288</t>
  </si>
  <si>
    <t>16291</t>
  </si>
  <si>
    <t>16294</t>
  </si>
  <si>
    <t>16297</t>
  </si>
  <si>
    <t>16303</t>
  </si>
  <si>
    <t>16309</t>
  </si>
  <si>
    <t>16315</t>
  </si>
  <si>
    <t>16318</t>
  </si>
  <si>
    <t>16321</t>
  </si>
  <si>
    <t>16324</t>
  </si>
  <si>
    <t>16327</t>
  </si>
  <si>
    <t>16330</t>
  </si>
  <si>
    <t>16333</t>
  </si>
  <si>
    <t>16336</t>
  </si>
  <si>
    <t>16339</t>
  </si>
  <si>
    <t>16342</t>
  </si>
  <si>
    <t>16345</t>
  </si>
  <si>
    <t>16348</t>
  </si>
  <si>
    <t>16351</t>
  </si>
  <si>
    <t>16354</t>
  </si>
  <si>
    <t>16357</t>
  </si>
  <si>
    <t>16360</t>
  </si>
  <si>
    <t>16363</t>
  </si>
  <si>
    <t>16366</t>
  </si>
  <si>
    <t>16369</t>
  </si>
  <si>
    <t>16375</t>
  </si>
  <si>
    <t>16378</t>
  </si>
  <si>
    <t>16381</t>
  </si>
  <si>
    <t>16384</t>
  </si>
  <si>
    <t>16390</t>
  </si>
  <si>
    <t>16393</t>
  </si>
  <si>
    <t>16399</t>
  </si>
  <si>
    <t>16402</t>
  </si>
  <si>
    <t>16405</t>
  </si>
  <si>
    <t>16408</t>
  </si>
  <si>
    <t>16414</t>
  </si>
  <si>
    <t>16417</t>
  </si>
  <si>
    <t>16420</t>
  </si>
  <si>
    <t>16423</t>
  </si>
  <si>
    <t>16426</t>
  </si>
  <si>
    <t>16438</t>
  </si>
  <si>
    <t>16447</t>
  </si>
  <si>
    <t>16453</t>
  </si>
  <si>
    <t>16456</t>
  </si>
  <si>
    <t>16462</t>
  </si>
  <si>
    <t>16465</t>
  </si>
  <si>
    <t>16468</t>
  </si>
  <si>
    <t>16471</t>
  </si>
  <si>
    <t>16474</t>
  </si>
  <si>
    <t>16477</t>
  </si>
  <si>
    <t>16480</t>
  </si>
  <si>
    <t>16483</t>
  </si>
  <si>
    <t>16489</t>
  </si>
  <si>
    <t>16492</t>
  </si>
  <si>
    <t>16495</t>
  </si>
  <si>
    <t>16498</t>
  </si>
  <si>
    <t>16501</t>
  </si>
  <si>
    <t>16510</t>
  </si>
  <si>
    <t>16519</t>
  </si>
  <si>
    <t>16540</t>
  </si>
  <si>
    <t>16543</t>
  </si>
  <si>
    <t>16546</t>
  </si>
  <si>
    <t>16549</t>
  </si>
  <si>
    <t>16552</t>
  </si>
  <si>
    <t>16555</t>
  </si>
  <si>
    <t>16558</t>
  </si>
  <si>
    <t>16561</t>
  </si>
  <si>
    <t>16564</t>
  </si>
  <si>
    <t>16567</t>
  </si>
  <si>
    <t>16570</t>
  </si>
  <si>
    <t>16576</t>
  </si>
  <si>
    <t>16579</t>
  </si>
  <si>
    <t>16582</t>
  </si>
  <si>
    <t>16585</t>
  </si>
  <si>
    <t>16591</t>
  </si>
  <si>
    <t>16594</t>
  </si>
  <si>
    <t>16597</t>
  </si>
  <si>
    <t>16600</t>
  </si>
  <si>
    <t>16603</t>
  </si>
  <si>
    <t>16606</t>
  </si>
  <si>
    <t>16609</t>
  </si>
  <si>
    <t>16612</t>
  </si>
  <si>
    <t>16618</t>
  </si>
  <si>
    <t>16621</t>
  </si>
  <si>
    <t>16624</t>
  </si>
  <si>
    <t>16627</t>
  </si>
  <si>
    <t>16630</t>
  </si>
  <si>
    <t>16633</t>
  </si>
  <si>
    <t>16636</t>
  </si>
  <si>
    <t>16639</t>
  </si>
  <si>
    <t>16642</t>
  </si>
  <si>
    <t>16645</t>
  </si>
  <si>
    <t>16648</t>
  </si>
  <si>
    <t>16651</t>
  </si>
  <si>
    <t>16654</t>
  </si>
  <si>
    <t>16657</t>
  </si>
  <si>
    <t>16660</t>
  </si>
  <si>
    <t>16663</t>
  </si>
  <si>
    <t>16666</t>
  </si>
  <si>
    <t>16669</t>
  </si>
  <si>
    <t>16670</t>
  </si>
  <si>
    <t>16672</t>
  </si>
  <si>
    <t>16673</t>
  </si>
  <si>
    <t>16675</t>
  </si>
  <si>
    <t>16678</t>
  </si>
  <si>
    <t>16681</t>
  </si>
  <si>
    <t>16684</t>
  </si>
  <si>
    <t>16687</t>
  </si>
  <si>
    <t>16690</t>
  </si>
  <si>
    <t>16693</t>
  </si>
  <si>
    <t>16696</t>
  </si>
  <si>
    <t>16699</t>
  </si>
  <si>
    <t>16702</t>
  </si>
  <si>
    <t>16705</t>
  </si>
  <si>
    <t>16708</t>
  </si>
  <si>
    <t>16711</t>
  </si>
  <si>
    <t>16714</t>
  </si>
  <si>
    <t>17908</t>
  </si>
  <si>
    <t>17914</t>
  </si>
  <si>
    <t>17920</t>
  </si>
  <si>
    <t>17923</t>
  </si>
  <si>
    <t>18013</t>
  </si>
  <si>
    <t>16717</t>
  </si>
  <si>
    <t>16720</t>
  </si>
  <si>
    <t>16723</t>
  </si>
  <si>
    <t>16726</t>
  </si>
  <si>
    <t>16729</t>
  </si>
  <si>
    <t>16732</t>
  </si>
  <si>
    <t>16735</t>
  </si>
  <si>
    <t>16939</t>
  </si>
  <si>
    <t>16993</t>
  </si>
  <si>
    <t>16994</t>
  </si>
  <si>
    <t>17003</t>
  </si>
  <si>
    <t>17005</t>
  </si>
  <si>
    <t>17008</t>
  </si>
  <si>
    <t>17011</t>
  </si>
  <si>
    <t>17014</t>
  </si>
  <si>
    <t>17017</t>
  </si>
  <si>
    <t>16738</t>
  </si>
  <si>
    <t>16741</t>
  </si>
  <si>
    <t>16744</t>
  </si>
  <si>
    <t>16747</t>
  </si>
  <si>
    <t>16750</t>
  </si>
  <si>
    <t>16753</t>
  </si>
  <si>
    <t>16756</t>
  </si>
  <si>
    <t>16759</t>
  </si>
  <si>
    <t>16763</t>
  </si>
  <si>
    <t>16765</t>
  </si>
  <si>
    <t>16768</t>
  </si>
  <si>
    <t>16771</t>
  </si>
  <si>
    <t>16774</t>
  </si>
  <si>
    <t>16777</t>
  </si>
  <si>
    <t>16780</t>
  </si>
  <si>
    <t>16783</t>
  </si>
  <si>
    <t>16786</t>
  </si>
  <si>
    <t>16789</t>
  </si>
  <si>
    <t>16792</t>
  </si>
  <si>
    <t>16795</t>
  </si>
  <si>
    <t>16798</t>
  </si>
  <si>
    <t>16801</t>
  </si>
  <si>
    <t>16804</t>
  </si>
  <si>
    <t>16807</t>
  </si>
  <si>
    <t>16810</t>
  </si>
  <si>
    <t>16813</t>
  </si>
  <si>
    <t>16816</t>
  </si>
  <si>
    <t>16819</t>
  </si>
  <si>
    <t>16822</t>
  </si>
  <si>
    <t>16825</t>
  </si>
  <si>
    <t>16828</t>
  </si>
  <si>
    <t>16831</t>
  </si>
  <si>
    <t>16834</t>
  </si>
  <si>
    <t>16837</t>
  </si>
  <si>
    <t>16840</t>
  </si>
  <si>
    <t>16843</t>
  </si>
  <si>
    <t>16846</t>
  </si>
  <si>
    <t>16849</t>
  </si>
  <si>
    <t>16852</t>
  </si>
  <si>
    <t>16855</t>
  </si>
  <si>
    <t>16858</t>
  </si>
  <si>
    <t>16861</t>
  </si>
  <si>
    <t>16864</t>
  </si>
  <si>
    <t>16867</t>
  </si>
  <si>
    <t>16870</t>
  </si>
  <si>
    <t>16873</t>
  </si>
  <si>
    <t>16876</t>
  </si>
  <si>
    <t>16879</t>
  </si>
  <si>
    <t>16882</t>
  </si>
  <si>
    <t>16885</t>
  </si>
  <si>
    <t>16900</t>
  </si>
  <si>
    <t>16903</t>
  </si>
  <si>
    <t>16904</t>
  </si>
  <si>
    <t>16906</t>
  </si>
  <si>
    <t>16909</t>
  </si>
  <si>
    <t>16912</t>
  </si>
  <si>
    <t>16915</t>
  </si>
  <si>
    <t>16921</t>
  </si>
  <si>
    <t>16924</t>
  </si>
  <si>
    <t>16927</t>
  </si>
  <si>
    <t>16930</t>
  </si>
  <si>
    <t>16933</t>
  </si>
  <si>
    <t>16936</t>
  </si>
  <si>
    <t>16941</t>
  </si>
  <si>
    <t>16942</t>
  </si>
  <si>
    <t>16945</t>
  </si>
  <si>
    <t>16948</t>
  </si>
  <si>
    <t>16951</t>
  </si>
  <si>
    <t>16954</t>
  </si>
  <si>
    <t>16957</t>
  </si>
  <si>
    <t>16960</t>
  </si>
  <si>
    <t>16963</t>
  </si>
  <si>
    <t>16966</t>
  </si>
  <si>
    <t>16969</t>
  </si>
  <si>
    <t>16972</t>
  </si>
  <si>
    <t>16975</t>
  </si>
  <si>
    <t>16978</t>
  </si>
  <si>
    <t>16981</t>
  </si>
  <si>
    <t>16984</t>
  </si>
  <si>
    <t>16987</t>
  </si>
  <si>
    <t>16996</t>
  </si>
  <si>
    <t>17020</t>
  </si>
  <si>
    <t>17023</t>
  </si>
  <si>
    <t>17026</t>
  </si>
  <si>
    <t>17029</t>
  </si>
  <si>
    <t>17032</t>
  </si>
  <si>
    <t>17035</t>
  </si>
  <si>
    <t>17038</t>
  </si>
  <si>
    <t>17041</t>
  </si>
  <si>
    <t>17044</t>
  </si>
  <si>
    <t>17047</t>
  </si>
  <si>
    <t>17050</t>
  </si>
  <si>
    <t>17053</t>
  </si>
  <si>
    <t>17056</t>
  </si>
  <si>
    <t>17059</t>
  </si>
  <si>
    <t>17062</t>
  </si>
  <si>
    <t>17065</t>
  </si>
  <si>
    <t>17068</t>
  </si>
  <si>
    <t>17071</t>
  </si>
  <si>
    <t>17074</t>
  </si>
  <si>
    <t>17077</t>
  </si>
  <si>
    <t>17080</t>
  </si>
  <si>
    <t>17083</t>
  </si>
  <si>
    <t>17086</t>
  </si>
  <si>
    <t>17089</t>
  </si>
  <si>
    <t>17092</t>
  </si>
  <si>
    <t>17095</t>
  </si>
  <si>
    <t>17098</t>
  </si>
  <si>
    <t>17101</t>
  </si>
  <si>
    <t>17119</t>
  </si>
  <si>
    <t>17122</t>
  </si>
  <si>
    <t>17140</t>
  </si>
  <si>
    <t>17143</t>
  </si>
  <si>
    <t>17146</t>
  </si>
  <si>
    <t>17149</t>
  </si>
  <si>
    <t>17152</t>
  </si>
  <si>
    <t>17155</t>
  </si>
  <si>
    <t>17158</t>
  </si>
  <si>
    <t>17161</t>
  </si>
  <si>
    <t>17164</t>
  </si>
  <si>
    <t>17167</t>
  </si>
  <si>
    <t>17170</t>
  </si>
  <si>
    <t>17173</t>
  </si>
  <si>
    <t>17176</t>
  </si>
  <si>
    <t>17179</t>
  </si>
  <si>
    <t>17182</t>
  </si>
  <si>
    <t>17185</t>
  </si>
  <si>
    <t>17188</t>
  </si>
  <si>
    <t>17191</t>
  </si>
  <si>
    <t>17194</t>
  </si>
  <si>
    <t>17197</t>
  </si>
  <si>
    <t>17200</t>
  </si>
  <si>
    <t>17203</t>
  </si>
  <si>
    <t>17206</t>
  </si>
  <si>
    <t>17209</t>
  </si>
  <si>
    <t>17212</t>
  </si>
  <si>
    <t>17215</t>
  </si>
  <si>
    <t>17218</t>
  </si>
  <si>
    <t>17221</t>
  </si>
  <si>
    <t>17224</t>
  </si>
  <si>
    <t>17227</t>
  </si>
  <si>
    <t>17230</t>
  </si>
  <si>
    <t>17233</t>
  </si>
  <si>
    <t>17236</t>
  </si>
  <si>
    <t>17239</t>
  </si>
  <si>
    <t>17242</t>
  </si>
  <si>
    <t>17245</t>
  </si>
  <si>
    <t>17248</t>
  </si>
  <si>
    <t>17251</t>
  </si>
  <si>
    <t>17254</t>
  </si>
  <si>
    <t>17257</t>
  </si>
  <si>
    <t>17260</t>
  </si>
  <si>
    <t>17263</t>
  </si>
  <si>
    <t>17266</t>
  </si>
  <si>
    <t>17269</t>
  </si>
  <si>
    <t>17272</t>
  </si>
  <si>
    <t>17275</t>
  </si>
  <si>
    <t>17278</t>
  </si>
  <si>
    <t>17281</t>
  </si>
  <si>
    <t>17284</t>
  </si>
  <si>
    <t>17287</t>
  </si>
  <si>
    <t>17290</t>
  </si>
  <si>
    <t>17293</t>
  </si>
  <si>
    <t>17296</t>
  </si>
  <si>
    <t>17299</t>
  </si>
  <si>
    <t>17302</t>
  </si>
  <si>
    <t>17305</t>
  </si>
  <si>
    <t>17308</t>
  </si>
  <si>
    <t>17311</t>
  </si>
  <si>
    <t>17314</t>
  </si>
  <si>
    <t>17317</t>
  </si>
  <si>
    <t>17320</t>
  </si>
  <si>
    <t>17323</t>
  </si>
  <si>
    <t>17325</t>
  </si>
  <si>
    <t>17326</t>
  </si>
  <si>
    <t>17329</t>
  </si>
  <si>
    <t>17332</t>
  </si>
  <si>
    <t>17335</t>
  </si>
  <si>
    <t>17338</t>
  </si>
  <si>
    <t>17341</t>
  </si>
  <si>
    <t>17344</t>
  </si>
  <si>
    <t>17347</t>
  </si>
  <si>
    <t>17350</t>
  </si>
  <si>
    <t>17353</t>
  </si>
  <si>
    <t>17356</t>
  </si>
  <si>
    <t>17357</t>
  </si>
  <si>
    <t>17359</t>
  </si>
  <si>
    <t>17362</t>
  </si>
  <si>
    <t>17365</t>
  </si>
  <si>
    <t>17368</t>
  </si>
  <si>
    <t>17371</t>
  </si>
  <si>
    <t>17374</t>
  </si>
  <si>
    <t>17377</t>
  </si>
  <si>
    <t>17380</t>
  </si>
  <si>
    <t>17383</t>
  </si>
  <si>
    <t>17386</t>
  </si>
  <si>
    <t>17389</t>
  </si>
  <si>
    <t>17392</t>
  </si>
  <si>
    <t>17395</t>
  </si>
  <si>
    <t>17398</t>
  </si>
  <si>
    <t>17401</t>
  </si>
  <si>
    <t>17404</t>
  </si>
  <si>
    <t>17407</t>
  </si>
  <si>
    <t>17410</t>
  </si>
  <si>
    <t>17413</t>
  </si>
  <si>
    <t>17416</t>
  </si>
  <si>
    <t>17419</t>
  </si>
  <si>
    <t>17422</t>
  </si>
  <si>
    <t>17425</t>
  </si>
  <si>
    <t>17428</t>
  </si>
  <si>
    <t>17431</t>
  </si>
  <si>
    <t>17434</t>
  </si>
  <si>
    <t>17437</t>
  </si>
  <si>
    <t>17440</t>
  </si>
  <si>
    <t>17443</t>
  </si>
  <si>
    <t>17446</t>
  </si>
  <si>
    <t>17449</t>
  </si>
  <si>
    <t>17452</t>
  </si>
  <si>
    <t>17455</t>
  </si>
  <si>
    <t>17458</t>
  </si>
  <si>
    <t>17461</t>
  </si>
  <si>
    <t>17464</t>
  </si>
  <si>
    <t>17467</t>
  </si>
  <si>
    <t>17476</t>
  </si>
  <si>
    <t>17479</t>
  </si>
  <si>
    <t>17482</t>
  </si>
  <si>
    <t>17485</t>
  </si>
  <si>
    <t>17488</t>
  </si>
  <si>
    <t>17491</t>
  </si>
  <si>
    <t>17494</t>
  </si>
  <si>
    <t>17497</t>
  </si>
  <si>
    <t>17500</t>
  </si>
  <si>
    <t>17503</t>
  </si>
  <si>
    <t>17506</t>
  </si>
  <si>
    <t>17509</t>
  </si>
  <si>
    <t>17510</t>
  </si>
  <si>
    <t>17512</t>
  </si>
  <si>
    <t>17515</t>
  </si>
  <si>
    <t>17518</t>
  </si>
  <si>
    <t>17521</t>
  </si>
  <si>
    <t>17524</t>
  </si>
  <si>
    <t>17525</t>
  </si>
  <si>
    <t>17527</t>
  </si>
  <si>
    <t>17530</t>
  </si>
  <si>
    <t>17533</t>
  </si>
  <si>
    <t>17536</t>
  </si>
  <si>
    <t>17539</t>
  </si>
  <si>
    <t>17542</t>
  </si>
  <si>
    <t>17545</t>
  </si>
  <si>
    <t>17548</t>
  </si>
  <si>
    <t>17551</t>
  </si>
  <si>
    <t>17554</t>
  </si>
  <si>
    <t>17557</t>
  </si>
  <si>
    <t>17560</t>
  </si>
  <si>
    <t>17563</t>
  </si>
  <si>
    <t>17566</t>
  </si>
  <si>
    <t>17569</t>
  </si>
  <si>
    <t>17572</t>
  </si>
  <si>
    <t>17575</t>
  </si>
  <si>
    <t>17578</t>
  </si>
  <si>
    <t>17581</t>
  </si>
  <si>
    <t>17584</t>
  </si>
  <si>
    <t>17587</t>
  </si>
  <si>
    <t>17590</t>
  </si>
  <si>
    <t>17593</t>
  </si>
  <si>
    <t>17596</t>
  </si>
  <si>
    <t>17599</t>
  </si>
  <si>
    <t>17602</t>
  </si>
  <si>
    <t>17605</t>
  </si>
  <si>
    <t>17608</t>
  </si>
  <si>
    <t>17611</t>
  </si>
  <si>
    <t>17614</t>
  </si>
  <si>
    <t>17617</t>
  </si>
  <si>
    <t>17619</t>
  </si>
  <si>
    <t>17620</t>
  </si>
  <si>
    <t>17623</t>
  </si>
  <si>
    <t>17626</t>
  </si>
  <si>
    <t>17629</t>
  </si>
  <si>
    <t>17632</t>
  </si>
  <si>
    <t>17635</t>
  </si>
  <si>
    <t>17638</t>
  </si>
  <si>
    <t>17641</t>
  </si>
  <si>
    <t>17644</t>
  </si>
  <si>
    <t>17647</t>
  </si>
  <si>
    <t>17650</t>
  </si>
  <si>
    <t>17653</t>
  </si>
  <si>
    <t>17656</t>
  </si>
  <si>
    <t>17659</t>
  </si>
  <si>
    <t>17662</t>
  </si>
  <si>
    <t>17665</t>
  </si>
  <si>
    <t>17668</t>
  </si>
  <si>
    <t>17671</t>
  </si>
  <si>
    <t>17674</t>
  </si>
  <si>
    <t>17677</t>
  </si>
  <si>
    <t>17680</t>
  </si>
  <si>
    <t>17683</t>
  </si>
  <si>
    <t>17686</t>
  </si>
  <si>
    <t>17689</t>
  </si>
  <si>
    <t>17692</t>
  </si>
  <si>
    <t>17695</t>
  </si>
  <si>
    <t>17698</t>
  </si>
  <si>
    <t>17701</t>
  </si>
  <si>
    <t>17704</t>
  </si>
  <si>
    <t>17707</t>
  </si>
  <si>
    <t>17710</t>
  </si>
  <si>
    <t>17713</t>
  </si>
  <si>
    <t>17716</t>
  </si>
  <si>
    <t>17719</t>
  </si>
  <si>
    <t>17722</t>
  </si>
  <si>
    <t>17723</t>
  </si>
  <si>
    <t>17725</t>
  </si>
  <si>
    <t>17728</t>
  </si>
  <si>
    <t>17731</t>
  </si>
  <si>
    <t>17734</t>
  </si>
  <si>
    <t>17737</t>
  </si>
  <si>
    <t>17743</t>
  </si>
  <si>
    <t>17749</t>
  </si>
  <si>
    <t>17752</t>
  </si>
  <si>
    <t>17755</t>
  </si>
  <si>
    <t>17758</t>
  </si>
  <si>
    <t>17759</t>
  </si>
  <si>
    <t>17761</t>
  </si>
  <si>
    <t>17764</t>
  </si>
  <si>
    <t>17767</t>
  </si>
  <si>
    <t>17770</t>
  </si>
  <si>
    <t>17773</t>
  </si>
  <si>
    <t>17776</t>
  </si>
  <si>
    <t>17779</t>
  </si>
  <si>
    <t>17782</t>
  </si>
  <si>
    <t>17785</t>
  </si>
  <si>
    <t>17788</t>
  </si>
  <si>
    <t>17791</t>
  </si>
  <si>
    <t>17794</t>
  </si>
  <si>
    <t>17797</t>
  </si>
  <si>
    <t>17800</t>
  </si>
  <si>
    <t>17803</t>
  </si>
  <si>
    <t>17806</t>
  </si>
  <si>
    <t>17809</t>
  </si>
  <si>
    <t>17812</t>
  </si>
  <si>
    <t>17815</t>
  </si>
  <si>
    <t>17818</t>
  </si>
  <si>
    <t>17821</t>
  </si>
  <si>
    <t>17824</t>
  </si>
  <si>
    <t>17827</t>
  </si>
  <si>
    <t>17830</t>
  </si>
  <si>
    <t>17833</t>
  </si>
  <si>
    <t>17836</t>
  </si>
  <si>
    <t>17839</t>
  </si>
  <si>
    <t>17842</t>
  </si>
  <si>
    <t>17845</t>
  </si>
  <si>
    <t>17848</t>
  </si>
  <si>
    <t>17851</t>
  </si>
  <si>
    <t>17854</t>
  </si>
  <si>
    <t>17857</t>
  </si>
  <si>
    <t>17860</t>
  </si>
  <si>
    <t>17863</t>
  </si>
  <si>
    <t>17866</t>
  </si>
  <si>
    <t>17869</t>
  </si>
  <si>
    <t>17875</t>
  </si>
  <si>
    <t>17878</t>
  </si>
  <si>
    <t>17881</t>
  </si>
  <si>
    <t>17884</t>
  </si>
  <si>
    <t>17887</t>
  </si>
  <si>
    <t>17890</t>
  </si>
  <si>
    <t>17893</t>
  </si>
  <si>
    <t>17896</t>
  </si>
  <si>
    <t>17899</t>
  </si>
  <si>
    <t>17902</t>
  </si>
  <si>
    <t>17905</t>
  </si>
  <si>
    <t>17911</t>
  </si>
  <si>
    <t>17917</t>
  </si>
  <si>
    <t>17926</t>
  </si>
  <si>
    <t>17932</t>
  </si>
  <si>
    <t>17935</t>
  </si>
  <si>
    <t>17938</t>
  </si>
  <si>
    <t>17941</t>
  </si>
  <si>
    <t>17944</t>
  </si>
  <si>
    <t>17947</t>
  </si>
  <si>
    <t>17950</t>
  </si>
  <si>
    <t>17953</t>
  </si>
  <si>
    <t>17956</t>
  </si>
  <si>
    <t>17959</t>
  </si>
  <si>
    <t>17962</t>
  </si>
  <si>
    <t>17968</t>
  </si>
  <si>
    <t>17971</t>
  </si>
  <si>
    <t>17977</t>
  </si>
  <si>
    <t>17980</t>
  </si>
  <si>
    <t>17983</t>
  </si>
  <si>
    <t>17986</t>
  </si>
  <si>
    <t>17989</t>
  </si>
  <si>
    <t>17998</t>
  </si>
  <si>
    <t>18001</t>
  </si>
  <si>
    <t>18004</t>
  </si>
  <si>
    <t>18007</t>
  </si>
  <si>
    <t>18008</t>
  </si>
  <si>
    <t>18010</t>
  </si>
  <si>
    <t>18016</t>
  </si>
  <si>
    <t>18019</t>
  </si>
  <si>
    <t>18022</t>
  </si>
  <si>
    <t>18025</t>
  </si>
  <si>
    <t>18028</t>
  </si>
  <si>
    <t>18031</t>
  </si>
  <si>
    <t>18034</t>
  </si>
  <si>
    <t>18037</t>
  </si>
  <si>
    <t>18040</t>
  </si>
  <si>
    <t>18043</t>
  </si>
  <si>
    <t>18052</t>
  </si>
  <si>
    <t>18055</t>
  </si>
  <si>
    <t>18064</t>
  </si>
  <si>
    <t>17104</t>
  </si>
  <si>
    <t>17107</t>
  </si>
  <si>
    <t>17110</t>
  </si>
  <si>
    <t>17113</t>
  </si>
  <si>
    <t>17116</t>
  </si>
  <si>
    <t>17125</t>
  </si>
  <si>
    <t>17128</t>
  </si>
  <si>
    <t>17131</t>
  </si>
  <si>
    <t>17134</t>
  </si>
  <si>
    <t>17137</t>
  </si>
  <si>
    <t>18070</t>
  </si>
  <si>
    <t>18073</t>
  </si>
  <si>
    <t>18076</t>
  </si>
  <si>
    <t>18077</t>
  </si>
  <si>
    <t>18079</t>
  </si>
  <si>
    <t>18082</t>
  </si>
  <si>
    <t>18085</t>
  </si>
  <si>
    <t>18088</t>
  </si>
  <si>
    <t>18091</t>
  </si>
  <si>
    <t>18094</t>
  </si>
  <si>
    <t>18097</t>
  </si>
  <si>
    <t>18100</t>
  </si>
  <si>
    <t>18103</t>
  </si>
  <si>
    <t>18109</t>
  </si>
  <si>
    <t>18112</t>
  </si>
  <si>
    <t>18115</t>
  </si>
  <si>
    <t>18118</t>
  </si>
  <si>
    <t>18121</t>
  </si>
  <si>
    <t>18124</t>
  </si>
  <si>
    <t>18127</t>
  </si>
  <si>
    <t>18130</t>
  </si>
  <si>
    <t>18133</t>
  </si>
  <si>
    <t>18136</t>
  </si>
  <si>
    <t>18139</t>
  </si>
  <si>
    <t>18142</t>
  </si>
  <si>
    <t>18145</t>
  </si>
  <si>
    <t>18148</t>
  </si>
  <si>
    <t>18157</t>
  </si>
  <si>
    <t>18160</t>
  </si>
  <si>
    <t>18163</t>
  </si>
  <si>
    <t>18172</t>
  </si>
  <si>
    <t>18175</t>
  </si>
  <si>
    <t>18178</t>
  </si>
  <si>
    <t>18181</t>
  </si>
  <si>
    <t>18184</t>
  </si>
  <si>
    <t>18187</t>
  </si>
  <si>
    <t>18190</t>
  </si>
  <si>
    <t>18193</t>
  </si>
  <si>
    <t>18196</t>
  </si>
  <si>
    <t>18199</t>
  </si>
  <si>
    <t>18202</t>
  </si>
  <si>
    <t>18205</t>
  </si>
  <si>
    <t>18211</t>
  </si>
  <si>
    <t>18214</t>
  </si>
  <si>
    <t>18217</t>
  </si>
  <si>
    <t>18223</t>
  </si>
  <si>
    <t>18229</t>
  </si>
  <si>
    <t>18235</t>
  </si>
  <si>
    <t>18241</t>
  </si>
  <si>
    <t>18244</t>
  </si>
  <si>
    <t>18247</t>
  </si>
  <si>
    <t>18253</t>
  </si>
  <si>
    <t>18259</t>
  </si>
  <si>
    <t>18262</t>
  </si>
  <si>
    <t>18274</t>
  </si>
  <si>
    <t>18277</t>
  </si>
  <si>
    <t>18280</t>
  </si>
  <si>
    <t>18283</t>
  </si>
  <si>
    <t>18298</t>
  </si>
  <si>
    <t>18304</t>
  </si>
  <si>
    <t>18307</t>
  </si>
  <si>
    <t>18310</t>
  </si>
  <si>
    <t>18313</t>
  </si>
  <si>
    <t>18316</t>
  </si>
  <si>
    <t>18319</t>
  </si>
  <si>
    <t>18322</t>
  </si>
  <si>
    <t>18325</t>
  </si>
  <si>
    <t>18328</t>
  </si>
  <si>
    <t>18331</t>
  </si>
  <si>
    <t>18334</t>
  </si>
  <si>
    <t>18340</t>
  </si>
  <si>
    <t>18343</t>
  </si>
  <si>
    <t>18352</t>
  </si>
  <si>
    <t>18355</t>
  </si>
  <si>
    <t>18358</t>
  </si>
  <si>
    <t>18364</t>
  </si>
  <si>
    <t>18367</t>
  </si>
  <si>
    <t>18370</t>
  </si>
  <si>
    <t>18373</t>
  </si>
  <si>
    <t>18376</t>
  </si>
  <si>
    <t>18379</t>
  </si>
  <si>
    <t>18382</t>
  </si>
  <si>
    <t>18385</t>
  </si>
  <si>
    <t>18388</t>
  </si>
  <si>
    <t>18391</t>
  </si>
  <si>
    <t>18394</t>
  </si>
  <si>
    <t>18397</t>
  </si>
  <si>
    <t>18400</t>
  </si>
  <si>
    <t>18403</t>
  </si>
  <si>
    <t>18406</t>
  </si>
  <si>
    <t>18415</t>
  </si>
  <si>
    <t>18418</t>
  </si>
  <si>
    <t>18427</t>
  </si>
  <si>
    <t>18433</t>
  </si>
  <si>
    <t>18436</t>
  </si>
  <si>
    <t>18439</t>
  </si>
  <si>
    <t>18445</t>
  </si>
  <si>
    <t>18454</t>
  </si>
  <si>
    <t>18463</t>
  </si>
  <si>
    <t>18466</t>
  </si>
  <si>
    <t>18472</t>
  </si>
  <si>
    <t>18475</t>
  </si>
  <si>
    <t>18478</t>
  </si>
  <si>
    <t>18481</t>
  </si>
  <si>
    <t>18484</t>
  </si>
  <si>
    <t>18487</t>
  </si>
  <si>
    <t>18490</t>
  </si>
  <si>
    <t>18496</t>
  </si>
  <si>
    <t>18499</t>
  </si>
  <si>
    <t>18502</t>
  </si>
  <si>
    <t>18505</t>
  </si>
  <si>
    <t>18508</t>
  </si>
  <si>
    <t>18514</t>
  </si>
  <si>
    <t>18517</t>
  </si>
  <si>
    <t>18520</t>
  </si>
  <si>
    <t>18523</t>
  </si>
  <si>
    <t>18526</t>
  </si>
  <si>
    <t>18529</t>
  </si>
  <si>
    <t>18532</t>
  </si>
  <si>
    <t>18535</t>
  </si>
  <si>
    <t>18538</t>
  </si>
  <si>
    <t>18541</t>
  </si>
  <si>
    <t>18544</t>
  </si>
  <si>
    <t>18547</t>
  </si>
  <si>
    <t>18550</t>
  </si>
  <si>
    <t>18553</t>
  </si>
  <si>
    <t>18556</t>
  </si>
  <si>
    <t>18559</t>
  </si>
  <si>
    <t>18562</t>
  </si>
  <si>
    <t>18565</t>
  </si>
  <si>
    <t>18571</t>
  </si>
  <si>
    <t>18586</t>
  </si>
  <si>
    <t>18589</t>
  </si>
  <si>
    <t>18592</t>
  </si>
  <si>
    <t>18595</t>
  </si>
  <si>
    <t>18601</t>
  </si>
  <si>
    <t>18604</t>
  </si>
  <si>
    <t>18607</t>
  </si>
  <si>
    <t>18619</t>
  </si>
  <si>
    <t>18622</t>
  </si>
  <si>
    <t>18625</t>
  </si>
  <si>
    <t>18628</t>
  </si>
  <si>
    <t>18631</t>
  </si>
  <si>
    <t>18634</t>
  </si>
  <si>
    <t>18637</t>
  </si>
  <si>
    <t>18643</t>
  </si>
  <si>
    <t>18649</t>
  </si>
  <si>
    <t>18652</t>
  </si>
  <si>
    <t>18658</t>
  </si>
  <si>
    <t>18667</t>
  </si>
  <si>
    <t>18673</t>
  </si>
  <si>
    <t>18676</t>
  </si>
  <si>
    <t>18679</t>
  </si>
  <si>
    <t>18682</t>
  </si>
  <si>
    <t>18685</t>
  </si>
  <si>
    <t>18691</t>
  </si>
  <si>
    <t>18694</t>
  </si>
  <si>
    <t>18697</t>
  </si>
  <si>
    <t>18706</t>
  </si>
  <si>
    <t>18709</t>
  </si>
  <si>
    <t>18712</t>
  </si>
  <si>
    <t>18715</t>
  </si>
  <si>
    <t>18721</t>
  </si>
  <si>
    <t>18724</t>
  </si>
  <si>
    <t>18727</t>
  </si>
  <si>
    <t>18730</t>
  </si>
  <si>
    <t>18733</t>
  </si>
  <si>
    <t>18736</t>
  </si>
  <si>
    <t>18739</t>
  </si>
  <si>
    <t>18742</t>
  </si>
  <si>
    <t>18745</t>
  </si>
  <si>
    <t>18748</t>
  </si>
  <si>
    <t>18751</t>
  </si>
  <si>
    <t>18757</t>
  </si>
  <si>
    <t>18760</t>
  </si>
  <si>
    <t>18763</t>
  </si>
  <si>
    <t>18766</t>
  </si>
  <si>
    <t>18769</t>
  </si>
  <si>
    <t>18772</t>
  </si>
  <si>
    <t>18775</t>
  </si>
  <si>
    <t>18778</t>
  </si>
  <si>
    <t>18784</t>
  </si>
  <si>
    <t>18787</t>
  </si>
  <si>
    <t>18790</t>
  </si>
  <si>
    <t>18793</t>
  </si>
  <si>
    <t>18799</t>
  </si>
  <si>
    <t>18802</t>
  </si>
  <si>
    <t>18805</t>
  </si>
  <si>
    <t>18811</t>
  </si>
  <si>
    <t>18814</t>
  </si>
  <si>
    <t>18838</t>
  </si>
  <si>
    <t>18844</t>
  </si>
  <si>
    <t>18850</t>
  </si>
  <si>
    <t>18409</t>
  </si>
  <si>
    <t>18412</t>
  </si>
  <si>
    <t>18421</t>
  </si>
  <si>
    <t>18430</t>
  </si>
  <si>
    <t>18457</t>
  </si>
  <si>
    <t>18493</t>
  </si>
  <si>
    <t>18568</t>
  </si>
  <si>
    <t>18577</t>
  </si>
  <si>
    <t>18580</t>
  </si>
  <si>
    <t>18583</t>
  </si>
  <si>
    <t>18598</t>
  </si>
  <si>
    <t>18670</t>
  </si>
  <si>
    <t>18754</t>
  </si>
  <si>
    <t>18781</t>
  </si>
  <si>
    <t>18796</t>
  </si>
  <si>
    <t>18808</t>
  </si>
  <si>
    <t>18820</t>
  </si>
  <si>
    <t>18823</t>
  </si>
  <si>
    <t>18829</t>
  </si>
  <si>
    <t>18832</t>
  </si>
  <si>
    <t>18835</t>
  </si>
  <si>
    <t>18841</t>
  </si>
  <si>
    <t>18847</t>
  </si>
  <si>
    <t>18853</t>
  </si>
  <si>
    <t>18856</t>
  </si>
  <si>
    <t>18859</t>
  </si>
  <si>
    <t>18865</t>
  </si>
  <si>
    <t>18868</t>
  </si>
  <si>
    <t>18871</t>
  </si>
  <si>
    <t>18874</t>
  </si>
  <si>
    <t>18877</t>
  </si>
  <si>
    <t>18880</t>
  </si>
  <si>
    <t>18883</t>
  </si>
  <si>
    <t>18886</t>
  </si>
  <si>
    <t>18889</t>
  </si>
  <si>
    <t>18892</t>
  </si>
  <si>
    <t>18895</t>
  </si>
  <si>
    <t>18898</t>
  </si>
  <si>
    <t>18901</t>
  </si>
  <si>
    <t>18904</t>
  </si>
  <si>
    <t>18907</t>
  </si>
  <si>
    <t>18910</t>
  </si>
  <si>
    <t>18913</t>
  </si>
  <si>
    <t>18916</t>
  </si>
  <si>
    <t>18919</t>
  </si>
  <si>
    <t>18922</t>
  </si>
  <si>
    <t>18925</t>
  </si>
  <si>
    <t>18928</t>
  </si>
  <si>
    <t>18931</t>
  </si>
  <si>
    <t>18934</t>
  </si>
  <si>
    <t>18937</t>
  </si>
  <si>
    <t>18943</t>
  </si>
  <si>
    <t>18946</t>
  </si>
  <si>
    <t>18949</t>
  </si>
  <si>
    <t>18952</t>
  </si>
  <si>
    <t>18955</t>
  </si>
  <si>
    <t>18958</t>
  </si>
  <si>
    <t>18961</t>
  </si>
  <si>
    <t>18964</t>
  </si>
  <si>
    <t>18967</t>
  </si>
  <si>
    <t>18970</t>
  </si>
  <si>
    <t>18973</t>
  </si>
  <si>
    <t>18976</t>
  </si>
  <si>
    <t>18979</t>
  </si>
  <si>
    <t>18985</t>
  </si>
  <si>
    <t>18988</t>
  </si>
  <si>
    <t>18991</t>
  </si>
  <si>
    <t>18994</t>
  </si>
  <si>
    <t>18997</t>
  </si>
  <si>
    <t>19000</t>
  </si>
  <si>
    <t>19003</t>
  </si>
  <si>
    <t>19006</t>
  </si>
  <si>
    <t>19012</t>
  </si>
  <si>
    <t>19015</t>
  </si>
  <si>
    <t>19018</t>
  </si>
  <si>
    <t>19021</t>
  </si>
  <si>
    <t>19024</t>
  </si>
  <si>
    <t>19027</t>
  </si>
  <si>
    <t>19030</t>
  </si>
  <si>
    <t>19033</t>
  </si>
  <si>
    <t>19036</t>
  </si>
  <si>
    <t>19039</t>
  </si>
  <si>
    <t>19042</t>
  </si>
  <si>
    <t>19045</t>
  </si>
  <si>
    <t>19048</t>
  </si>
  <si>
    <t>19051</t>
  </si>
  <si>
    <t>19057</t>
  </si>
  <si>
    <t>19063</t>
  </si>
  <si>
    <t>19072</t>
  </si>
  <si>
    <t>19111</t>
  </si>
  <si>
    <t>19114</t>
  </si>
  <si>
    <t>19117</t>
  </si>
  <si>
    <t>19120</t>
  </si>
  <si>
    <t>19123</t>
  </si>
  <si>
    <t>19126</t>
  </si>
  <si>
    <t>19129</t>
  </si>
  <si>
    <t>19132</t>
  </si>
  <si>
    <t>19135</t>
  </si>
  <si>
    <t>19138</t>
  </si>
  <si>
    <t>19141</t>
  </si>
  <si>
    <t>19144</t>
  </si>
  <si>
    <t>19147</t>
  </si>
  <si>
    <t>19150</t>
  </si>
  <si>
    <t>19156</t>
  </si>
  <si>
    <t>19159</t>
  </si>
  <si>
    <t>19162</t>
  </si>
  <si>
    <t>19165</t>
  </si>
  <si>
    <t>19168</t>
  </si>
  <si>
    <t>19174</t>
  </si>
  <si>
    <t>19177</t>
  </si>
  <si>
    <t>19180</t>
  </si>
  <si>
    <t>19183</t>
  </si>
  <si>
    <t>19186</t>
  </si>
  <si>
    <t>19189</t>
  </si>
  <si>
    <t>19192</t>
  </si>
  <si>
    <t>19195</t>
  </si>
  <si>
    <t>19198</t>
  </si>
  <si>
    <t>19201</t>
  </si>
  <si>
    <t>19204</t>
  </si>
  <si>
    <t>19207</t>
  </si>
  <si>
    <t>19210</t>
  </si>
  <si>
    <t>19213</t>
  </si>
  <si>
    <t>19216</t>
  </si>
  <si>
    <t>19219</t>
  </si>
  <si>
    <t>19222</t>
  </si>
  <si>
    <t>19225</t>
  </si>
  <si>
    <t>19228</t>
  </si>
  <si>
    <t>19231</t>
  </si>
  <si>
    <t>19234</t>
  </si>
  <si>
    <t>19237</t>
  </si>
  <si>
    <t>19240</t>
  </si>
  <si>
    <t>19243</t>
  </si>
  <si>
    <t>19246</t>
  </si>
  <si>
    <t>19249</t>
  </si>
  <si>
    <t>19252</t>
  </si>
  <si>
    <t>19255</t>
  </si>
  <si>
    <t>19258</t>
  </si>
  <si>
    <t>19261</t>
  </si>
  <si>
    <t>19264</t>
  </si>
  <si>
    <t>19267</t>
  </si>
  <si>
    <t>19270</t>
  </si>
  <si>
    <t>19273</t>
  </si>
  <si>
    <t>19276</t>
  </si>
  <si>
    <t>19279</t>
  </si>
  <si>
    <t>19285</t>
  </si>
  <si>
    <t>19288</t>
  </si>
  <si>
    <t>19291</t>
  </si>
  <si>
    <t>19294</t>
  </si>
  <si>
    <t>19297</t>
  </si>
  <si>
    <t>19300</t>
  </si>
  <si>
    <t>19303</t>
  </si>
  <si>
    <t>19306</t>
  </si>
  <si>
    <t>19309</t>
  </si>
  <si>
    <t>19312</t>
  </si>
  <si>
    <t>19315</t>
  </si>
  <si>
    <t>19318</t>
  </si>
  <si>
    <t>19321</t>
  </si>
  <si>
    <t>19327</t>
  </si>
  <si>
    <t>19009</t>
  </si>
  <si>
    <t>19060</t>
  </si>
  <si>
    <t>19066</t>
  </si>
  <si>
    <t>19069</t>
  </si>
  <si>
    <t>19075</t>
  </si>
  <si>
    <t>19078</t>
  </si>
  <si>
    <t>19081</t>
  </si>
  <si>
    <t>19084</t>
  </si>
  <si>
    <t>19087</t>
  </si>
  <si>
    <t>19090</t>
  </si>
  <si>
    <t>19093</t>
  </si>
  <si>
    <t>19096</t>
  </si>
  <si>
    <t>19099</t>
  </si>
  <si>
    <t>19102</t>
  </si>
  <si>
    <t>19105</t>
  </si>
  <si>
    <t>19108</t>
  </si>
  <si>
    <t>19330</t>
  </si>
  <si>
    <t>19333</t>
  </si>
  <si>
    <t>19336</t>
  </si>
  <si>
    <t>19339</t>
  </si>
  <si>
    <t>19342</t>
  </si>
  <si>
    <t>19345</t>
  </si>
  <si>
    <t>19348</t>
  </si>
  <si>
    <t>19351</t>
  </si>
  <si>
    <t>19354</t>
  </si>
  <si>
    <t>19357</t>
  </si>
  <si>
    <t>19358</t>
  </si>
  <si>
    <t>19360</t>
  </si>
  <si>
    <t>19361</t>
  </si>
  <si>
    <t>19705</t>
  </si>
  <si>
    <t>19363</t>
  </si>
  <si>
    <t>19366</t>
  </si>
  <si>
    <t>19369</t>
  </si>
  <si>
    <t>19372</t>
  </si>
  <si>
    <t>19375</t>
  </si>
  <si>
    <t>19378</t>
  </si>
  <si>
    <t>19384</t>
  </si>
  <si>
    <t>19387</t>
  </si>
  <si>
    <t>19393</t>
  </si>
  <si>
    <t>19396</t>
  </si>
  <si>
    <t>19402</t>
  </si>
  <si>
    <t>19405</t>
  </si>
  <si>
    <t>19408</t>
  </si>
  <si>
    <t>19414</t>
  </si>
  <si>
    <t>19417</t>
  </si>
  <si>
    <t>19420</t>
  </si>
  <si>
    <t>19423</t>
  </si>
  <si>
    <t>19426</t>
  </si>
  <si>
    <t>19429</t>
  </si>
  <si>
    <t>19432</t>
  </si>
  <si>
    <t>19435</t>
  </si>
  <si>
    <t>19438</t>
  </si>
  <si>
    <t>19441</t>
  </si>
  <si>
    <t>19444</t>
  </si>
  <si>
    <t>19447</t>
  </si>
  <si>
    <t>19450</t>
  </si>
  <si>
    <t>19453</t>
  </si>
  <si>
    <t>19456</t>
  </si>
  <si>
    <t>19459</t>
  </si>
  <si>
    <t>19462</t>
  </si>
  <si>
    <t>19465</t>
  </si>
  <si>
    <t>19468</t>
  </si>
  <si>
    <t>19471</t>
  </si>
  <si>
    <t>19474</t>
  </si>
  <si>
    <t>19477</t>
  </si>
  <si>
    <t>19480</t>
  </si>
  <si>
    <t>19483</t>
  </si>
  <si>
    <t>19489</t>
  </si>
  <si>
    <t>19492</t>
  </si>
  <si>
    <t>19495</t>
  </si>
  <si>
    <t>19496</t>
  </si>
  <si>
    <t>19498</t>
  </si>
  <si>
    <t>19501</t>
  </si>
  <si>
    <t>19504</t>
  </si>
  <si>
    <t>19507</t>
  </si>
  <si>
    <t>19510</t>
  </si>
  <si>
    <t>19519</t>
  </si>
  <si>
    <t>19522</t>
  </si>
  <si>
    <t>19525</t>
  </si>
  <si>
    <t>19531</t>
  </si>
  <si>
    <t>19534</t>
  </si>
  <si>
    <t>19537</t>
  </si>
  <si>
    <t>19543</t>
  </si>
  <si>
    <t>19546</t>
  </si>
  <si>
    <t>19549</t>
  </si>
  <si>
    <t>19552</t>
  </si>
  <si>
    <t>19555</t>
  </si>
  <si>
    <t>19558</t>
  </si>
  <si>
    <t>19561</t>
  </si>
  <si>
    <t>19564</t>
  </si>
  <si>
    <t>19567</t>
  </si>
  <si>
    <t>19570</t>
  </si>
  <si>
    <t>19576</t>
  </si>
  <si>
    <t>19579</t>
  </si>
  <si>
    <t>19582</t>
  </si>
  <si>
    <t>19585</t>
  </si>
  <si>
    <t>19588</t>
  </si>
  <si>
    <t>19591</t>
  </si>
  <si>
    <t>19594</t>
  </si>
  <si>
    <t>19597</t>
  </si>
  <si>
    <t>19600</t>
  </si>
  <si>
    <t>19603</t>
  </si>
  <si>
    <t>19606</t>
  </si>
  <si>
    <t>19612</t>
  </si>
  <si>
    <t>19615</t>
  </si>
  <si>
    <t>19618</t>
  </si>
  <si>
    <t>19621</t>
  </si>
  <si>
    <t>19624</t>
  </si>
  <si>
    <t>19627</t>
  </si>
  <si>
    <t>19630</t>
  </si>
  <si>
    <t>19633</t>
  </si>
  <si>
    <t>19636</t>
  </si>
  <si>
    <t>19639</t>
  </si>
  <si>
    <t>19642</t>
  </si>
  <si>
    <t>19645</t>
  </si>
  <si>
    <t>19648</t>
  </si>
  <si>
    <t>19651</t>
  </si>
  <si>
    <t>19654</t>
  </si>
  <si>
    <t>19657</t>
  </si>
  <si>
    <t>19660</t>
  </si>
  <si>
    <t>19666</t>
  </si>
  <si>
    <t>19669</t>
  </si>
  <si>
    <t>19672</t>
  </si>
  <si>
    <t>19675</t>
  </si>
  <si>
    <t>19678</t>
  </si>
  <si>
    <t>19681</t>
  </si>
  <si>
    <t>19684</t>
  </si>
  <si>
    <t>19687</t>
  </si>
  <si>
    <t>19693</t>
  </si>
  <si>
    <t>19696</t>
  </si>
  <si>
    <t>19699</t>
  </si>
  <si>
    <t>19702</t>
  </si>
  <si>
    <t>19708</t>
  </si>
  <si>
    <t>19711</t>
  </si>
  <si>
    <t>19714</t>
  </si>
  <si>
    <t>19717</t>
  </si>
  <si>
    <t>19726</t>
  </si>
  <si>
    <t>19729</t>
  </si>
  <si>
    <t>19735</t>
  </si>
  <si>
    <t>19738</t>
  </si>
  <si>
    <t>19741</t>
  </si>
  <si>
    <t>19750</t>
  </si>
  <si>
    <t>19753</t>
  </si>
  <si>
    <t>19756</t>
  </si>
  <si>
    <t>19759</t>
  </si>
  <si>
    <t>19762</t>
  </si>
  <si>
    <t>19768</t>
  </si>
  <si>
    <t>19774</t>
  </si>
  <si>
    <t>19777</t>
  </si>
  <si>
    <t>19780</t>
  </si>
  <si>
    <t>19783</t>
  </si>
  <si>
    <t>19786</t>
  </si>
  <si>
    <t>19789</t>
  </si>
  <si>
    <t>19792</t>
  </si>
  <si>
    <t>19795</t>
  </si>
  <si>
    <t>19798</t>
  </si>
  <si>
    <t>19801</t>
  </si>
  <si>
    <t>19803</t>
  </si>
  <si>
    <t>19804</t>
  </si>
  <si>
    <t>19807</t>
  </si>
  <si>
    <t>19810</t>
  </si>
  <si>
    <t>19813</t>
  </si>
  <si>
    <t>19815</t>
  </si>
  <si>
    <t>19816</t>
  </si>
  <si>
    <t>19900</t>
  </si>
  <si>
    <t>19906</t>
  </si>
  <si>
    <t>19909</t>
  </si>
  <si>
    <t>19924</t>
  </si>
  <si>
    <t>19930</t>
  </si>
  <si>
    <t>19963</t>
  </si>
  <si>
    <t>19981</t>
  </si>
  <si>
    <t>19999</t>
  </si>
  <si>
    <t>20002</t>
  </si>
  <si>
    <t>20014</t>
  </si>
  <si>
    <t>20023</t>
  </si>
  <si>
    <t>20029</t>
  </si>
  <si>
    <t>20032</t>
  </si>
  <si>
    <t>19819</t>
  </si>
  <si>
    <t>19822</t>
  </si>
  <si>
    <t>19825</t>
  </si>
  <si>
    <t>19828</t>
  </si>
  <si>
    <t>19831</t>
  </si>
  <si>
    <t>19834</t>
  </si>
  <si>
    <t>19837</t>
  </si>
  <si>
    <t>19840</t>
  </si>
  <si>
    <t>19843</t>
  </si>
  <si>
    <t>19846</t>
  </si>
  <si>
    <t>19849</t>
  </si>
  <si>
    <t>19852</t>
  </si>
  <si>
    <t>19855</t>
  </si>
  <si>
    <t>19858</t>
  </si>
  <si>
    <t>19861</t>
  </si>
  <si>
    <t>19864</t>
  </si>
  <si>
    <t>19867</t>
  </si>
  <si>
    <t>19870</t>
  </si>
  <si>
    <t>19873</t>
  </si>
  <si>
    <t>19876</t>
  </si>
  <si>
    <t>19879</t>
  </si>
  <si>
    <t>19882</t>
  </si>
  <si>
    <t>19885</t>
  </si>
  <si>
    <t>19888</t>
  </si>
  <si>
    <t>19891</t>
  </si>
  <si>
    <t>19894</t>
  </si>
  <si>
    <t>19897</t>
  </si>
  <si>
    <t>19903</t>
  </si>
  <si>
    <t>19912</t>
  </si>
  <si>
    <t>19915</t>
  </si>
  <si>
    <t>19918</t>
  </si>
  <si>
    <t>19921</t>
  </si>
  <si>
    <t>19927</t>
  </si>
  <si>
    <t>19933</t>
  </si>
  <si>
    <t>19936</t>
  </si>
  <si>
    <t>19939</t>
  </si>
  <si>
    <t>19942</t>
  </si>
  <si>
    <t>19945</t>
  </si>
  <si>
    <t>19948</t>
  </si>
  <si>
    <t>19954</t>
  </si>
  <si>
    <t>19957</t>
  </si>
  <si>
    <t>19960</t>
  </si>
  <si>
    <t>19966</t>
  </si>
  <si>
    <t>19969</t>
  </si>
  <si>
    <t>19972</t>
  </si>
  <si>
    <t>19975</t>
  </si>
  <si>
    <t>19978</t>
  </si>
  <si>
    <t>19984</t>
  </si>
  <si>
    <t>19987</t>
  </si>
  <si>
    <t>19990</t>
  </si>
  <si>
    <t>19993</t>
  </si>
  <si>
    <t>19996</t>
  </si>
  <si>
    <t>20005</t>
  </si>
  <si>
    <t>20008</t>
  </si>
  <si>
    <t>20011</t>
  </si>
  <si>
    <t>20017</t>
  </si>
  <si>
    <t>20020</t>
  </si>
  <si>
    <t>20026</t>
  </si>
  <si>
    <t>20035</t>
  </si>
  <si>
    <t>20041</t>
  </si>
  <si>
    <t>20044</t>
  </si>
  <si>
    <t>20047</t>
  </si>
  <si>
    <t>20050</t>
  </si>
  <si>
    <t>20053</t>
  </si>
  <si>
    <t>20056</t>
  </si>
  <si>
    <t>20059</t>
  </si>
  <si>
    <t>20065</t>
  </si>
  <si>
    <t>20068</t>
  </si>
  <si>
    <t>20071</t>
  </si>
  <si>
    <t>20074</t>
  </si>
  <si>
    <t>20080</t>
  </si>
  <si>
    <t>20083</t>
  </si>
  <si>
    <t>20086</t>
  </si>
  <si>
    <t>20089</t>
  </si>
  <si>
    <t>20095</t>
  </si>
  <si>
    <t>20098</t>
  </si>
  <si>
    <t>20101</t>
  </si>
  <si>
    <t>20104</t>
  </si>
  <si>
    <t>20107</t>
  </si>
  <si>
    <t>20110</t>
  </si>
  <si>
    <t>20113</t>
  </si>
  <si>
    <t>20116</t>
  </si>
  <si>
    <t>20122</t>
  </si>
  <si>
    <t>20125</t>
  </si>
  <si>
    <t>20128</t>
  </si>
  <si>
    <t>20131</t>
  </si>
  <si>
    <t>20134</t>
  </si>
  <si>
    <t>20137</t>
  </si>
  <si>
    <t>20140</t>
  </si>
  <si>
    <t>20143</t>
  </si>
  <si>
    <t>20146</t>
  </si>
  <si>
    <t>20149</t>
  </si>
  <si>
    <t>20152</t>
  </si>
  <si>
    <t>20155</t>
  </si>
  <si>
    <t>20158</t>
  </si>
  <si>
    <t>20161</t>
  </si>
  <si>
    <t>20164</t>
  </si>
  <si>
    <t>20167</t>
  </si>
  <si>
    <t>20170</t>
  </si>
  <si>
    <t>20173</t>
  </si>
  <si>
    <t>20179</t>
  </si>
  <si>
    <t>20182</t>
  </si>
  <si>
    <t>20185</t>
  </si>
  <si>
    <t>20188</t>
  </si>
  <si>
    <t>20191</t>
  </si>
  <si>
    <t>20194</t>
  </si>
  <si>
    <t>20195</t>
  </si>
  <si>
    <t>20197</t>
  </si>
  <si>
    <t>20198</t>
  </si>
  <si>
    <t>20200</t>
  </si>
  <si>
    <t>20203</t>
  </si>
  <si>
    <t>20206</t>
  </si>
  <si>
    <t>20207</t>
  </si>
  <si>
    <t>20209</t>
  </si>
  <si>
    <t>20212</t>
  </si>
  <si>
    <t>20215</t>
  </si>
  <si>
    <t>20218</t>
  </si>
  <si>
    <t>20221</t>
  </si>
  <si>
    <t>20224</t>
  </si>
  <si>
    <t>20225</t>
  </si>
  <si>
    <t>20227</t>
  </si>
  <si>
    <t>20230</t>
  </si>
  <si>
    <t>20233</t>
  </si>
  <si>
    <t>20236</t>
  </si>
  <si>
    <t>20239</t>
  </si>
  <si>
    <t>20242</t>
  </si>
  <si>
    <t>20245</t>
  </si>
  <si>
    <t>20246</t>
  </si>
  <si>
    <t>20248</t>
  </si>
  <si>
    <t>20251</t>
  </si>
  <si>
    <t>20254</t>
  </si>
  <si>
    <t>20257</t>
  </si>
  <si>
    <t>20258</t>
  </si>
  <si>
    <t>20263</t>
  </si>
  <si>
    <t>20266</t>
  </si>
  <si>
    <t>20269</t>
  </si>
  <si>
    <t>20272</t>
  </si>
  <si>
    <t>20275</t>
  </si>
  <si>
    <t>20278</t>
  </si>
  <si>
    <t>20281</t>
  </si>
  <si>
    <t>20284</t>
  </si>
  <si>
    <t>20285</t>
  </si>
  <si>
    <t>20287</t>
  </si>
  <si>
    <t>20290</t>
  </si>
  <si>
    <t>20260</t>
  </si>
  <si>
    <t>20305</t>
  </si>
  <si>
    <t>20306</t>
  </si>
  <si>
    <t>20311</t>
  </si>
  <si>
    <t>20312</t>
  </si>
  <si>
    <t>20314</t>
  </si>
  <si>
    <t>20293</t>
  </si>
  <si>
    <t>20296</t>
  </si>
  <si>
    <t>20299</t>
  </si>
  <si>
    <t>20302</t>
  </si>
  <si>
    <t>20308</t>
  </si>
  <si>
    <t>20317</t>
  </si>
  <si>
    <t>20320</t>
  </si>
  <si>
    <t>20323</t>
  </si>
  <si>
    <t>20326</t>
  </si>
  <si>
    <t>20329</t>
  </si>
  <si>
    <t>20332</t>
  </si>
  <si>
    <t>20335</t>
  </si>
  <si>
    <t>20338</t>
  </si>
  <si>
    <t>20341</t>
  </si>
  <si>
    <t>20344</t>
  </si>
  <si>
    <t>20347</t>
  </si>
  <si>
    <t>20350</t>
  </si>
  <si>
    <t>20353</t>
  </si>
  <si>
    <t>20356</t>
  </si>
  <si>
    <t>20359</t>
  </si>
  <si>
    <t>20362</t>
  </si>
  <si>
    <t>20371</t>
  </si>
  <si>
    <t>20375</t>
  </si>
  <si>
    <t>20389</t>
  </si>
  <si>
    <t>20398</t>
  </si>
  <si>
    <t>20401</t>
  </si>
  <si>
    <t>20404</t>
  </si>
  <si>
    <t>20407</t>
  </si>
  <si>
    <t>20410</t>
  </si>
  <si>
    <t>20413</t>
  </si>
  <si>
    <t>20416</t>
  </si>
  <si>
    <t>20419</t>
  </si>
  <si>
    <t>20422</t>
  </si>
  <si>
    <t>20425</t>
  </si>
  <si>
    <t>20428</t>
  </si>
  <si>
    <t>20431</t>
  </si>
  <si>
    <t>20434</t>
  </si>
  <si>
    <t>20437</t>
  </si>
  <si>
    <t>20440</t>
  </si>
  <si>
    <t>20443</t>
  </si>
  <si>
    <t>20446</t>
  </si>
  <si>
    <t>20449</t>
  </si>
  <si>
    <t>20452</t>
  </si>
  <si>
    <t>20455</t>
  </si>
  <si>
    <t>20458</t>
  </si>
  <si>
    <t>20461</t>
  </si>
  <si>
    <t>20464</t>
  </si>
  <si>
    <t>20467</t>
  </si>
  <si>
    <t>20470</t>
  </si>
  <si>
    <t>20473</t>
  </si>
  <si>
    <t>20476</t>
  </si>
  <si>
    <t>20479</t>
  </si>
  <si>
    <t>20482</t>
  </si>
  <si>
    <t>20485</t>
  </si>
  <si>
    <t>20488</t>
  </si>
  <si>
    <t>20491</t>
  </si>
  <si>
    <t>20494</t>
  </si>
  <si>
    <t>20497</t>
  </si>
  <si>
    <t>20500</t>
  </si>
  <si>
    <t>20503</t>
  </si>
  <si>
    <t>20506</t>
  </si>
  <si>
    <t>20509</t>
  </si>
  <si>
    <t>20512</t>
  </si>
  <si>
    <t>20515</t>
  </si>
  <si>
    <t>20518</t>
  </si>
  <si>
    <t>20521</t>
  </si>
  <si>
    <t>20524</t>
  </si>
  <si>
    <t>20527</t>
  </si>
  <si>
    <t>20530</t>
  </si>
  <si>
    <t>20533</t>
  </si>
  <si>
    <t>20536</t>
  </si>
  <si>
    <t>20539</t>
  </si>
  <si>
    <t>20542</t>
  </si>
  <si>
    <t>20545</t>
  </si>
  <si>
    <t>20547</t>
  </si>
  <si>
    <t>20548</t>
  </si>
  <si>
    <t>20551</t>
  </si>
  <si>
    <t>20554</t>
  </si>
  <si>
    <t>20557</t>
  </si>
  <si>
    <t>20560</t>
  </si>
  <si>
    <t>20561</t>
  </si>
  <si>
    <t>20562</t>
  </si>
  <si>
    <t>20563</t>
  </si>
  <si>
    <t>20566</t>
  </si>
  <si>
    <t>20569</t>
  </si>
  <si>
    <t>20572</t>
  </si>
  <si>
    <t>20575</t>
  </si>
  <si>
    <t>20578</t>
  </si>
  <si>
    <t>20579</t>
  </si>
  <si>
    <t>20580</t>
  </si>
  <si>
    <t>20581</t>
  </si>
  <si>
    <t>20584</t>
  </si>
  <si>
    <t>20587</t>
  </si>
  <si>
    <t>20590</t>
  </si>
  <si>
    <t>20593</t>
  </si>
  <si>
    <t>20596</t>
  </si>
  <si>
    <t>20599</t>
  </si>
  <si>
    <t>20602</t>
  </si>
  <si>
    <t>20605</t>
  </si>
  <si>
    <t>20608</t>
  </si>
  <si>
    <t>20611</t>
  </si>
  <si>
    <t>20614</t>
  </si>
  <si>
    <t>20617</t>
  </si>
  <si>
    <t>20620</t>
  </si>
  <si>
    <t>20623</t>
  </si>
  <si>
    <t>20626</t>
  </si>
  <si>
    <t>20629</t>
  </si>
  <si>
    <t>20632</t>
  </si>
  <si>
    <t>20635</t>
  </si>
  <si>
    <t>20638</t>
  </si>
  <si>
    <t>20641</t>
  </si>
  <si>
    <t>20644</t>
  </si>
  <si>
    <t>20647</t>
  </si>
  <si>
    <t>20650</t>
  </si>
  <si>
    <t>20651</t>
  </si>
  <si>
    <t>20659</t>
  </si>
  <si>
    <t>20662</t>
  </si>
  <si>
    <t>20665</t>
  </si>
  <si>
    <t>20677</t>
  </si>
  <si>
    <t>20680</t>
  </si>
  <si>
    <t>20683</t>
  </si>
  <si>
    <t>20686</t>
  </si>
  <si>
    <t>20689</t>
  </si>
  <si>
    <t>20695</t>
  </si>
  <si>
    <t>20698</t>
  </si>
  <si>
    <t>20699</t>
  </si>
  <si>
    <t>20701</t>
  </si>
  <si>
    <t>20702</t>
  </si>
  <si>
    <t>20704</t>
  </si>
  <si>
    <t>20705</t>
  </si>
  <si>
    <t>20707</t>
  </si>
  <si>
    <t>20710</t>
  </si>
  <si>
    <t>20713</t>
  </si>
  <si>
    <t>20716</t>
  </si>
  <si>
    <t>20719</t>
  </si>
  <si>
    <t>20722</t>
  </si>
  <si>
    <t>20725</t>
  </si>
  <si>
    <t>20728</t>
  </si>
  <si>
    <t>20729</t>
  </si>
  <si>
    <t>20731</t>
  </si>
  <si>
    <t>20734</t>
  </si>
  <si>
    <t>20737</t>
  </si>
  <si>
    <t>20740</t>
  </si>
  <si>
    <t>20743</t>
  </si>
  <si>
    <t>20746</t>
  </si>
  <si>
    <t>20749</t>
  </si>
  <si>
    <t>20752</t>
  </si>
  <si>
    <t>20758</t>
  </si>
  <si>
    <t>20761</t>
  </si>
  <si>
    <t>20764</t>
  </si>
  <si>
    <t>20767</t>
  </si>
  <si>
    <t>20770</t>
  </si>
  <si>
    <t>20773</t>
  </si>
  <si>
    <t>20776</t>
  </si>
  <si>
    <t>20779</t>
  </si>
  <si>
    <t>20782</t>
  </si>
  <si>
    <t>20785</t>
  </si>
  <si>
    <t>20788</t>
  </si>
  <si>
    <t>20791</t>
  </si>
  <si>
    <t>20794</t>
  </si>
  <si>
    <t>20797</t>
  </si>
  <si>
    <t>20800</t>
  </si>
  <si>
    <t>20803</t>
  </si>
  <si>
    <t>20806</t>
  </si>
  <si>
    <t>20809</t>
  </si>
  <si>
    <t>20812</t>
  </si>
  <si>
    <t>20815</t>
  </si>
  <si>
    <t>20818</t>
  </si>
  <si>
    <t>20821</t>
  </si>
  <si>
    <t>20822</t>
  </si>
  <si>
    <t>20824</t>
  </si>
  <si>
    <t>20827</t>
  </si>
  <si>
    <t>20830</t>
  </si>
  <si>
    <t>20833</t>
  </si>
  <si>
    <t>20836</t>
  </si>
  <si>
    <t>20839</t>
  </si>
  <si>
    <t>20842</t>
  </si>
  <si>
    <t>20845</t>
  </si>
  <si>
    <t>20848</t>
  </si>
  <si>
    <t>20851</t>
  </si>
  <si>
    <t>20854</t>
  </si>
  <si>
    <t>20857</t>
  </si>
  <si>
    <t>20860</t>
  </si>
  <si>
    <t>20863</t>
  </si>
  <si>
    <t>20866</t>
  </si>
  <si>
    <t>20869</t>
  </si>
  <si>
    <t>20872</t>
  </si>
  <si>
    <t>20875</t>
  </si>
  <si>
    <t>20878</t>
  </si>
  <si>
    <t>20881</t>
  </si>
  <si>
    <t>20884</t>
  </si>
  <si>
    <t>20887</t>
  </si>
  <si>
    <t>20890</t>
  </si>
  <si>
    <t>20893</t>
  </si>
  <si>
    <t>20896</t>
  </si>
  <si>
    <t>20899</t>
  </si>
  <si>
    <t>20900</t>
  </si>
  <si>
    <t>20902</t>
  </si>
  <si>
    <t>20905</t>
  </si>
  <si>
    <t>20908</t>
  </si>
  <si>
    <t>20911</t>
  </si>
  <si>
    <t>20914</t>
  </si>
  <si>
    <t>20917</t>
  </si>
  <si>
    <t>20920</t>
  </si>
  <si>
    <t>20923</t>
  </si>
  <si>
    <t>20926</t>
  </si>
  <si>
    <t>20929</t>
  </si>
  <si>
    <t>20932</t>
  </si>
  <si>
    <t>20935</t>
  </si>
  <si>
    <t>20938</t>
  </si>
  <si>
    <t>20941</t>
  </si>
  <si>
    <t>20944</t>
  </si>
  <si>
    <t>20947</t>
  </si>
  <si>
    <t>20950</t>
  </si>
  <si>
    <t>20953</t>
  </si>
  <si>
    <t>20956</t>
  </si>
  <si>
    <t>20959</t>
  </si>
  <si>
    <t>20962</t>
  </si>
  <si>
    <t>20965</t>
  </si>
  <si>
    <t>20968</t>
  </si>
  <si>
    <t>20971</t>
  </si>
  <si>
    <t>20974</t>
  </si>
  <si>
    <t>20977</t>
  </si>
  <si>
    <t>20980</t>
  </si>
  <si>
    <t>20983</t>
  </si>
  <si>
    <t>20984</t>
  </si>
  <si>
    <t>20986</t>
  </si>
  <si>
    <t>20989</t>
  </si>
  <si>
    <t>20992</t>
  </si>
  <si>
    <t>20995</t>
  </si>
  <si>
    <t>20998</t>
  </si>
  <si>
    <t>21001</t>
  </si>
  <si>
    <t>21004</t>
  </si>
  <si>
    <t>21005</t>
  </si>
  <si>
    <t>21007</t>
  </si>
  <si>
    <t>20364</t>
  </si>
  <si>
    <t>20365</t>
  </si>
  <si>
    <t>20368</t>
  </si>
  <si>
    <t>20374</t>
  </si>
  <si>
    <t>20377</t>
  </si>
  <si>
    <t>20380</t>
  </si>
  <si>
    <t>20383</t>
  </si>
  <si>
    <t>20386</t>
  </si>
  <si>
    <t>20387</t>
  </si>
  <si>
    <t>20392</t>
  </si>
  <si>
    <t>20395</t>
  </si>
  <si>
    <t>20656</t>
  </si>
  <si>
    <t>20668</t>
  </si>
  <si>
    <t>20669</t>
  </si>
  <si>
    <t>20671</t>
  </si>
  <si>
    <t>20672</t>
  </si>
  <si>
    <t>20692</t>
  </si>
  <si>
    <t>21010</t>
  </si>
  <si>
    <t>21013</t>
  </si>
  <si>
    <t>21016</t>
  </si>
  <si>
    <t>21019</t>
  </si>
  <si>
    <t>21022</t>
  </si>
  <si>
    <t>21025</t>
  </si>
  <si>
    <t>21028</t>
  </si>
  <si>
    <t>21031</t>
  </si>
  <si>
    <t>21034</t>
  </si>
  <si>
    <t>21037</t>
  </si>
  <si>
    <t>21172</t>
  </si>
  <si>
    <t>21187</t>
  </si>
  <si>
    <t>21190</t>
  </si>
  <si>
    <t>21199</t>
  </si>
  <si>
    <t>21202</t>
  </si>
  <si>
    <t>21208</t>
  </si>
  <si>
    <t>21211</t>
  </si>
  <si>
    <t>21214</t>
  </si>
  <si>
    <t>21223</t>
  </si>
  <si>
    <t>21232</t>
  </si>
  <si>
    <t>21253</t>
  </si>
  <si>
    <t>21256</t>
  </si>
  <si>
    <t>21262</t>
  </si>
  <si>
    <t>21040</t>
  </si>
  <si>
    <t>21043</t>
  </si>
  <si>
    <t>21046</t>
  </si>
  <si>
    <t>21049</t>
  </si>
  <si>
    <t>21052</t>
  </si>
  <si>
    <t>21055</t>
  </si>
  <si>
    <t>21058</t>
  </si>
  <si>
    <t>21061</t>
  </si>
  <si>
    <t>21064</t>
  </si>
  <si>
    <t>21067</t>
  </si>
  <si>
    <t>21070</t>
  </si>
  <si>
    <t>21073</t>
  </si>
  <si>
    <t>21079</t>
  </si>
  <si>
    <t>21082</t>
  </si>
  <si>
    <t>21085</t>
  </si>
  <si>
    <t>21088</t>
  </si>
  <si>
    <t>21091</t>
  </si>
  <si>
    <t>21100</t>
  </si>
  <si>
    <t>21103</t>
  </si>
  <si>
    <t>21106</t>
  </si>
  <si>
    <t>21109</t>
  </si>
  <si>
    <t>21112</t>
  </si>
  <si>
    <t>21115</t>
  </si>
  <si>
    <t>21118</t>
  </si>
  <si>
    <t>21121</t>
  </si>
  <si>
    <t>21124</t>
  </si>
  <si>
    <t>21127</t>
  </si>
  <si>
    <t>21130</t>
  </si>
  <si>
    <t>21133</t>
  </si>
  <si>
    <t>21136</t>
  </si>
  <si>
    <t>21139</t>
  </si>
  <si>
    <t>21142</t>
  </si>
  <si>
    <t>21145</t>
  </si>
  <si>
    <t>21148</t>
  </si>
  <si>
    <t>21154</t>
  </si>
  <si>
    <t>21157</t>
  </si>
  <si>
    <t>21163</t>
  </si>
  <si>
    <t>21166</t>
  </si>
  <si>
    <t>21175</t>
  </si>
  <si>
    <t>21178</t>
  </si>
  <si>
    <t>21181</t>
  </si>
  <si>
    <t>21184</t>
  </si>
  <si>
    <t>21193</t>
  </si>
  <si>
    <t>21196</t>
  </si>
  <si>
    <t>21205</t>
  </si>
  <si>
    <t>21217</t>
  </si>
  <si>
    <t>21220</t>
  </si>
  <si>
    <t>21226</t>
  </si>
  <si>
    <t>21229</t>
  </si>
  <si>
    <t>21235</t>
  </si>
  <si>
    <t>21238</t>
  </si>
  <si>
    <t>21241</t>
  </si>
  <si>
    <t>21244</t>
  </si>
  <si>
    <t>21247</t>
  </si>
  <si>
    <t>21250</t>
  </si>
  <si>
    <t>21259</t>
  </si>
  <si>
    <t>21268</t>
  </si>
  <si>
    <t>21271</t>
  </si>
  <si>
    <t>21274</t>
  </si>
  <si>
    <t>21277</t>
  </si>
  <si>
    <t>21280</t>
  </si>
  <si>
    <t>21283</t>
  </si>
  <si>
    <t>21286</t>
  </si>
  <si>
    <t>21289</t>
  </si>
  <si>
    <t>21292</t>
  </si>
  <si>
    <t>21295</t>
  </si>
  <si>
    <t>21298</t>
  </si>
  <si>
    <t>21301</t>
  </si>
  <si>
    <t>21304</t>
  </si>
  <si>
    <t>21307</t>
  </si>
  <si>
    <t>21310</t>
  </si>
  <si>
    <t>21313</t>
  </si>
  <si>
    <t>21316</t>
  </si>
  <si>
    <t>21319</t>
  </si>
  <si>
    <t>21322</t>
  </si>
  <si>
    <t>21325</t>
  </si>
  <si>
    <t>21328</t>
  </si>
  <si>
    <t>21331</t>
  </si>
  <si>
    <t>21334</t>
  </si>
  <si>
    <t>21335</t>
  </si>
  <si>
    <t>21337</t>
  </si>
  <si>
    <t>21338</t>
  </si>
  <si>
    <t>21340</t>
  </si>
  <si>
    <t>21341</t>
  </si>
  <si>
    <t>21343</t>
  </si>
  <si>
    <t>21346</t>
  </si>
  <si>
    <t>21349</t>
  </si>
  <si>
    <t>21352</t>
  </si>
  <si>
    <t>21355</t>
  </si>
  <si>
    <t>21358</t>
  </si>
  <si>
    <t>21361</t>
  </si>
  <si>
    <t>21364</t>
  </si>
  <si>
    <t>21367</t>
  </si>
  <si>
    <t>21370</t>
  </si>
  <si>
    <t>21373</t>
  </si>
  <si>
    <t>21376</t>
  </si>
  <si>
    <t>21379</t>
  </si>
  <si>
    <t>21382</t>
  </si>
  <si>
    <t>21385</t>
  </si>
  <si>
    <t>21388</t>
  </si>
  <si>
    <t>21391</t>
  </si>
  <si>
    <t>21394</t>
  </si>
  <si>
    <t>21397</t>
  </si>
  <si>
    <t>21400</t>
  </si>
  <si>
    <t>21403</t>
  </si>
  <si>
    <t>21406</t>
  </si>
  <si>
    <t>21409</t>
  </si>
  <si>
    <t>21412</t>
  </si>
  <si>
    <t>21415</t>
  </si>
  <si>
    <t>21418</t>
  </si>
  <si>
    <t>21421</t>
  </si>
  <si>
    <t>21424</t>
  </si>
  <si>
    <t>21427</t>
  </si>
  <si>
    <t>21430</t>
  </si>
  <si>
    <t>21433</t>
  </si>
  <si>
    <t>21436</t>
  </si>
  <si>
    <t>21439</t>
  </si>
  <si>
    <t>21442</t>
  </si>
  <si>
    <t>21445</t>
  </si>
  <si>
    <t>21448</t>
  </si>
  <si>
    <t>21451</t>
  </si>
  <si>
    <t>21454</t>
  </si>
  <si>
    <t>21457</t>
  </si>
  <si>
    <t>21460</t>
  </si>
  <si>
    <t>21463</t>
  </si>
  <si>
    <t>21466</t>
  </si>
  <si>
    <t>21469</t>
  </si>
  <si>
    <t>21472</t>
  </si>
  <si>
    <t>21475</t>
  </si>
  <si>
    <t>21478</t>
  </si>
  <si>
    <t>21481</t>
  </si>
  <si>
    <t>21484</t>
  </si>
  <si>
    <t>21487</t>
  </si>
  <si>
    <t>21490</t>
  </si>
  <si>
    <t>21493</t>
  </si>
  <si>
    <t>21496</t>
  </si>
  <si>
    <t>21499</t>
  </si>
  <si>
    <t>21500</t>
  </si>
  <si>
    <t>21502</t>
  </si>
  <si>
    <t>21505</t>
  </si>
  <si>
    <t>21508</t>
  </si>
  <si>
    <t>21511</t>
  </si>
  <si>
    <t>21517</t>
  </si>
  <si>
    <t>21520</t>
  </si>
  <si>
    <t>21523</t>
  </si>
  <si>
    <t>21526</t>
  </si>
  <si>
    <t>21529</t>
  </si>
  <si>
    <t>21532</t>
  </si>
  <si>
    <t>21535</t>
  </si>
  <si>
    <t>21538</t>
  </si>
  <si>
    <t>21550</t>
  </si>
  <si>
    <t>21553</t>
  </si>
  <si>
    <t>21556</t>
  </si>
  <si>
    <t>21559</t>
  </si>
  <si>
    <t>21562</t>
  </si>
  <si>
    <t>21565</t>
  </si>
  <si>
    <t>21568</t>
  </si>
  <si>
    <t>21571</t>
  </si>
  <si>
    <t>21574</t>
  </si>
  <si>
    <t>21577</t>
  </si>
  <si>
    <t>21580</t>
  </si>
  <si>
    <t>21583</t>
  </si>
  <si>
    <t>21586</t>
  </si>
  <si>
    <t>21589</t>
  </si>
  <si>
    <t>21592</t>
  </si>
  <si>
    <t>21595</t>
  </si>
  <si>
    <t>21598</t>
  </si>
  <si>
    <t>21601</t>
  </si>
  <si>
    <t>21604</t>
  </si>
  <si>
    <t>21607</t>
  </si>
  <si>
    <t>21991</t>
  </si>
  <si>
    <t>21609</t>
  </si>
  <si>
    <t>21610</t>
  </si>
  <si>
    <t>21613</t>
  </si>
  <si>
    <t>21616</t>
  </si>
  <si>
    <t>21619</t>
  </si>
  <si>
    <t>21622</t>
  </si>
  <si>
    <t>21625</t>
  </si>
  <si>
    <t>21628</t>
  </si>
  <si>
    <t>21631</t>
  </si>
  <si>
    <t>21634</t>
  </si>
  <si>
    <t>21637</t>
  </si>
  <si>
    <t>21640</t>
  </si>
  <si>
    <t>21643</t>
  </si>
  <si>
    <t>21646</t>
  </si>
  <si>
    <t>21649</t>
  </si>
  <si>
    <t>21652</t>
  </si>
  <si>
    <t>21655</t>
  </si>
  <si>
    <t>21658</t>
  </si>
  <si>
    <t>21661</t>
  </si>
  <si>
    <t>21664</t>
  </si>
  <si>
    <t>21667</t>
  </si>
  <si>
    <t>21670</t>
  </si>
  <si>
    <t>21673</t>
  </si>
  <si>
    <t>21676</t>
  </si>
  <si>
    <t>21679</t>
  </si>
  <si>
    <t>21682</t>
  </si>
  <si>
    <t>21685</t>
  </si>
  <si>
    <t>21688</t>
  </si>
  <si>
    <t>21690</t>
  </si>
  <si>
    <t>21691</t>
  </si>
  <si>
    <t>21694</t>
  </si>
  <si>
    <t>21697</t>
  </si>
  <si>
    <t>21700</t>
  </si>
  <si>
    <t>21703</t>
  </si>
  <si>
    <t>21706</t>
  </si>
  <si>
    <t>21709</t>
  </si>
  <si>
    <t>21712</t>
  </si>
  <si>
    <t>21715</t>
  </si>
  <si>
    <t>21718</t>
  </si>
  <si>
    <t>21721</t>
  </si>
  <si>
    <t>21724</t>
  </si>
  <si>
    <t>21727</t>
  </si>
  <si>
    <t>21730</t>
  </si>
  <si>
    <t>21733</t>
  </si>
  <si>
    <t>21736</t>
  </si>
  <si>
    <t>21739</t>
  </si>
  <si>
    <t>21742</t>
  </si>
  <si>
    <t>21745</t>
  </si>
  <si>
    <t>21748</t>
  </si>
  <si>
    <t>21751</t>
  </si>
  <si>
    <t>21754</t>
  </si>
  <si>
    <t>21757</t>
  </si>
  <si>
    <t>21760</t>
  </si>
  <si>
    <t>21763</t>
  </si>
  <si>
    <t>21766</t>
  </si>
  <si>
    <t>21769</t>
  </si>
  <si>
    <t>21772</t>
  </si>
  <si>
    <t>21775</t>
  </si>
  <si>
    <t>21778</t>
  </si>
  <si>
    <t>21781</t>
  </si>
  <si>
    <t>21784</t>
  </si>
  <si>
    <t>21786</t>
  </si>
  <si>
    <t>21787</t>
  </si>
  <si>
    <t>21790</t>
  </si>
  <si>
    <t>21796</t>
  </si>
  <si>
    <t>21799</t>
  </si>
  <si>
    <t>21801</t>
  </si>
  <si>
    <t>21802</t>
  </si>
  <si>
    <t>21804</t>
  </si>
  <si>
    <t>21805</t>
  </si>
  <si>
    <t>21808</t>
  </si>
  <si>
    <t>21811</t>
  </si>
  <si>
    <t>21814</t>
  </si>
  <si>
    <t>21817</t>
  </si>
  <si>
    <t>21820</t>
  </si>
  <si>
    <t>21823</t>
  </si>
  <si>
    <t>21826</t>
  </si>
  <si>
    <t>21829</t>
  </si>
  <si>
    <t>21832</t>
  </si>
  <si>
    <t>21835</t>
  </si>
  <si>
    <t>21838</t>
  </si>
  <si>
    <t>21841</t>
  </si>
  <si>
    <t>21844</t>
  </si>
  <si>
    <t>21847</t>
  </si>
  <si>
    <t>21850</t>
  </si>
  <si>
    <t>21853</t>
  </si>
  <si>
    <t>21856</t>
  </si>
  <si>
    <t>21859</t>
  </si>
  <si>
    <t>21862</t>
  </si>
  <si>
    <t>21865</t>
  </si>
  <si>
    <t>21868</t>
  </si>
  <si>
    <t>21871</t>
  </si>
  <si>
    <t>21874</t>
  </si>
  <si>
    <t>21877</t>
  </si>
  <si>
    <t>21880</t>
  </si>
  <si>
    <t>21883</t>
  </si>
  <si>
    <t>21886</t>
  </si>
  <si>
    <t>21889</t>
  </si>
  <si>
    <t>21892</t>
  </si>
  <si>
    <t>21895</t>
  </si>
  <si>
    <t>21898</t>
  </si>
  <si>
    <t>21901</t>
  </si>
  <si>
    <t>21904</t>
  </si>
  <si>
    <t>21907</t>
  </si>
  <si>
    <t>21910</t>
  </si>
  <si>
    <t>21913</t>
  </si>
  <si>
    <t>21916</t>
  </si>
  <si>
    <t>21919</t>
  </si>
  <si>
    <t>21922</t>
  </si>
  <si>
    <t>21925</t>
  </si>
  <si>
    <t>21928</t>
  </si>
  <si>
    <t>21931</t>
  </si>
  <si>
    <t>21934</t>
  </si>
  <si>
    <t>21937</t>
  </si>
  <si>
    <t>21940</t>
  </si>
  <si>
    <t>21943</t>
  </si>
  <si>
    <t>21946</t>
  </si>
  <si>
    <t>21949</t>
  </si>
  <si>
    <t>21952</t>
  </si>
  <si>
    <t>21955</t>
  </si>
  <si>
    <t>21958</t>
  </si>
  <si>
    <t>21961</t>
  </si>
  <si>
    <t>21964</t>
  </si>
  <si>
    <t>21967</t>
  </si>
  <si>
    <t>21970</t>
  </si>
  <si>
    <t>21973</t>
  </si>
  <si>
    <t>21976</t>
  </si>
  <si>
    <t>21979</t>
  </si>
  <si>
    <t>21982</t>
  </si>
  <si>
    <t>21985</t>
  </si>
  <si>
    <t>21988</t>
  </si>
  <si>
    <t>21994</t>
  </si>
  <si>
    <t>21997</t>
  </si>
  <si>
    <t>22000</t>
  </si>
  <si>
    <t>22003</t>
  </si>
  <si>
    <t>22006</t>
  </si>
  <si>
    <t>22009</t>
  </si>
  <si>
    <t>22012</t>
  </si>
  <si>
    <t>22015</t>
  </si>
  <si>
    <t>22018</t>
  </si>
  <si>
    <t>22021</t>
  </si>
  <si>
    <t>22024</t>
  </si>
  <si>
    <t>22027</t>
  </si>
  <si>
    <t>22030</t>
  </si>
  <si>
    <t>22033</t>
  </si>
  <si>
    <t>22036</t>
  </si>
  <si>
    <t>22039</t>
  </si>
  <si>
    <t>22040</t>
  </si>
  <si>
    <t>22041</t>
  </si>
  <si>
    <t>22042</t>
  </si>
  <si>
    <t>22045</t>
  </si>
  <si>
    <t>22048</t>
  </si>
  <si>
    <t>22162</t>
  </si>
  <si>
    <t>22240</t>
  </si>
  <si>
    <t>22051</t>
  </si>
  <si>
    <t>22052</t>
  </si>
  <si>
    <t>22053</t>
  </si>
  <si>
    <t>22054</t>
  </si>
  <si>
    <t>22057</t>
  </si>
  <si>
    <t>22060</t>
  </si>
  <si>
    <t>22066</t>
  </si>
  <si>
    <t>22069</t>
  </si>
  <si>
    <t>22072</t>
  </si>
  <si>
    <t>22073</t>
  </si>
  <si>
    <t>22075</t>
  </si>
  <si>
    <t>22076</t>
  </si>
  <si>
    <t>22078</t>
  </si>
  <si>
    <t>22081</t>
  </si>
  <si>
    <t>22084</t>
  </si>
  <si>
    <t>22087</t>
  </si>
  <si>
    <t>22090</t>
  </si>
  <si>
    <t>22093</t>
  </si>
  <si>
    <t>22096</t>
  </si>
  <si>
    <t>22099</t>
  </si>
  <si>
    <t>22102</t>
  </si>
  <si>
    <t>22105</t>
  </si>
  <si>
    <t>22108</t>
  </si>
  <si>
    <t>22111</t>
  </si>
  <si>
    <t>22114</t>
  </si>
  <si>
    <t>22117</t>
  </si>
  <si>
    <t>22120</t>
  </si>
  <si>
    <t>22123</t>
  </si>
  <si>
    <t>22126</t>
  </si>
  <si>
    <t>22129</t>
  </si>
  <si>
    <t>22132</t>
  </si>
  <si>
    <t>22138</t>
  </si>
  <si>
    <t>22141</t>
  </si>
  <si>
    <t>22144</t>
  </si>
  <si>
    <t>22147</t>
  </si>
  <si>
    <t>22150</t>
  </si>
  <si>
    <t>22153</t>
  </si>
  <si>
    <t>22156</t>
  </si>
  <si>
    <t>22159</t>
  </si>
  <si>
    <t>22165</t>
  </si>
  <si>
    <t>22168</t>
  </si>
  <si>
    <t>22171</t>
  </si>
  <si>
    <t>22174</t>
  </si>
  <si>
    <t>22177</t>
  </si>
  <si>
    <t>22180</t>
  </si>
  <si>
    <t>22183</t>
  </si>
  <si>
    <t>22186</t>
  </si>
  <si>
    <t>22189</t>
  </si>
  <si>
    <t>22192</t>
  </si>
  <si>
    <t>22195</t>
  </si>
  <si>
    <t>22198</t>
  </si>
  <si>
    <t>22201</t>
  </si>
  <si>
    <t>22204</t>
  </si>
  <si>
    <t>22207</t>
  </si>
  <si>
    <t>22210</t>
  </si>
  <si>
    <t>22213</t>
  </si>
  <si>
    <t>22216</t>
  </si>
  <si>
    <t>22219</t>
  </si>
  <si>
    <t>22222</t>
  </si>
  <si>
    <t>22225</t>
  </si>
  <si>
    <t>22228</t>
  </si>
  <si>
    <t>22231</t>
  </si>
  <si>
    <t>22234</t>
  </si>
  <si>
    <t>22237</t>
  </si>
  <si>
    <t>22249</t>
  </si>
  <si>
    <t>22250</t>
  </si>
  <si>
    <t>22252</t>
  </si>
  <si>
    <t>22255</t>
  </si>
  <si>
    <t>22264</t>
  </si>
  <si>
    <t>22270</t>
  </si>
  <si>
    <t>22273</t>
  </si>
  <si>
    <t>22276</t>
  </si>
  <si>
    <t>22285</t>
  </si>
  <si>
    <t>22288</t>
  </si>
  <si>
    <t>22294</t>
  </si>
  <si>
    <t>22303</t>
  </si>
  <si>
    <t>22306</t>
  </si>
  <si>
    <t>22309</t>
  </si>
  <si>
    <t>22312</t>
  </si>
  <si>
    <t>22315</t>
  </si>
  <si>
    <t>22318</t>
  </si>
  <si>
    <t>22319</t>
  </si>
  <si>
    <t>22321</t>
  </si>
  <si>
    <t>22324</t>
  </si>
  <si>
    <t>22243</t>
  </si>
  <si>
    <t>22246</t>
  </si>
  <si>
    <t>22258</t>
  </si>
  <si>
    <t>22261</t>
  </si>
  <si>
    <t>22267</t>
  </si>
  <si>
    <t>22279</t>
  </si>
  <si>
    <t>22282</t>
  </si>
  <si>
    <t>22291</t>
  </si>
  <si>
    <t>22297</t>
  </si>
  <si>
    <t>22300</t>
  </si>
  <si>
    <t>22327</t>
  </si>
  <si>
    <t>22330</t>
  </si>
  <si>
    <t>22333</t>
  </si>
  <si>
    <t>22336</t>
  </si>
  <si>
    <t>22339</t>
  </si>
  <si>
    <t>22342</t>
  </si>
  <si>
    <t>22345</t>
  </si>
  <si>
    <t>22348</t>
  </si>
  <si>
    <t>22351</t>
  </si>
  <si>
    <t>22354</t>
  </si>
  <si>
    <t>22357</t>
  </si>
  <si>
    <t>22360</t>
  </si>
  <si>
    <t>22363</t>
  </si>
  <si>
    <t>22366</t>
  </si>
  <si>
    <t>22369</t>
  </si>
  <si>
    <t>22372</t>
  </si>
  <si>
    <t>22375</t>
  </si>
  <si>
    <t>22378</t>
  </si>
  <si>
    <t>22381</t>
  </si>
  <si>
    <t>22384</t>
  </si>
  <si>
    <t>22387</t>
  </si>
  <si>
    <t>22390</t>
  </si>
  <si>
    <t>22393</t>
  </si>
  <si>
    <t>22396</t>
  </si>
  <si>
    <t>22399</t>
  </si>
  <si>
    <t>22402</t>
  </si>
  <si>
    <t>22405</t>
  </si>
  <si>
    <t>22408</t>
  </si>
  <si>
    <t>22411</t>
  </si>
  <si>
    <t>22414</t>
  </si>
  <si>
    <t>22417</t>
  </si>
  <si>
    <t>22420</t>
  </si>
  <si>
    <t>22423</t>
  </si>
  <si>
    <t>22426</t>
  </si>
  <si>
    <t>22429</t>
  </si>
  <si>
    <t>22432</t>
  </si>
  <si>
    <t>22468</t>
  </si>
  <si>
    <t>22474</t>
  </si>
  <si>
    <t>22477</t>
  </si>
  <si>
    <t>22480</t>
  </si>
  <si>
    <t>22483</t>
  </si>
  <si>
    <t>22486</t>
  </si>
  <si>
    <t>22435</t>
  </si>
  <si>
    <t>22438</t>
  </si>
  <si>
    <t>22441</t>
  </si>
  <si>
    <t>22444</t>
  </si>
  <si>
    <t>22447</t>
  </si>
  <si>
    <t>22450</t>
  </si>
  <si>
    <t>22453</t>
  </si>
  <si>
    <t>22456</t>
  </si>
  <si>
    <t>22459</t>
  </si>
  <si>
    <t>22462</t>
  </si>
  <si>
    <t>22465</t>
  </si>
  <si>
    <t>22471</t>
  </si>
  <si>
    <t>22708</t>
  </si>
  <si>
    <t>22711</t>
  </si>
  <si>
    <t>22489</t>
  </si>
  <si>
    <t>22492</t>
  </si>
  <si>
    <t>22495</t>
  </si>
  <si>
    <t>22498</t>
  </si>
  <si>
    <t>22501</t>
  </si>
  <si>
    <t>22504</t>
  </si>
  <si>
    <t>22507</t>
  </si>
  <si>
    <t>22510</t>
  </si>
  <si>
    <t>22513</t>
  </si>
  <si>
    <t>22516</t>
  </si>
  <si>
    <t>22519</t>
  </si>
  <si>
    <t>22522</t>
  </si>
  <si>
    <t>22525</t>
  </si>
  <si>
    <t>22528</t>
  </si>
  <si>
    <t>22531</t>
  </si>
  <si>
    <t>22534</t>
  </si>
  <si>
    <t>22537</t>
  </si>
  <si>
    <t>22540</t>
  </si>
  <si>
    <t>22543</t>
  </si>
  <si>
    <t>22546</t>
  </si>
  <si>
    <t>22549</t>
  </si>
  <si>
    <t>22552</t>
  </si>
  <si>
    <t>22555</t>
  </si>
  <si>
    <t>22558</t>
  </si>
  <si>
    <t>22561</t>
  </si>
  <si>
    <t>22564</t>
  </si>
  <si>
    <t>22567</t>
  </si>
  <si>
    <t>22570</t>
  </si>
  <si>
    <t>22573</t>
  </si>
  <si>
    <t>22576</t>
  </si>
  <si>
    <t>22579</t>
  </si>
  <si>
    <t>22582</t>
  </si>
  <si>
    <t>22585</t>
  </si>
  <si>
    <t>22588</t>
  </si>
  <si>
    <t>22591</t>
  </si>
  <si>
    <t>22594</t>
  </si>
  <si>
    <t>22597</t>
  </si>
  <si>
    <t>22600</t>
  </si>
  <si>
    <t>22603</t>
  </si>
  <si>
    <t>22606</t>
  </si>
  <si>
    <t>22609</t>
  </si>
  <si>
    <t>22612</t>
  </si>
  <si>
    <t>22615</t>
  </si>
  <si>
    <t>22618</t>
  </si>
  <si>
    <t>22621</t>
  </si>
  <si>
    <t>22624</t>
  </si>
  <si>
    <t>22627</t>
  </si>
  <si>
    <t>22630</t>
  </si>
  <si>
    <t>22633</t>
  </si>
  <si>
    <t>22636</t>
  </si>
  <si>
    <t>22639</t>
  </si>
  <si>
    <t>22642</t>
  </si>
  <si>
    <t>22645</t>
  </si>
  <si>
    <t>22648</t>
  </si>
  <si>
    <t>22651</t>
  </si>
  <si>
    <t>22654</t>
  </si>
  <si>
    <t>22657</t>
  </si>
  <si>
    <t>22660</t>
  </si>
  <si>
    <t>22663</t>
  </si>
  <si>
    <t>22666</t>
  </si>
  <si>
    <t>22669</t>
  </si>
  <si>
    <t>22672</t>
  </si>
  <si>
    <t>22675</t>
  </si>
  <si>
    <t>22678</t>
  </si>
  <si>
    <t>22681</t>
  </si>
  <si>
    <t>22684</t>
  </si>
  <si>
    <t>22687</t>
  </si>
  <si>
    <t>22690</t>
  </si>
  <si>
    <t>22693</t>
  </si>
  <si>
    <t>22696</t>
  </si>
  <si>
    <t>22702</t>
  </si>
  <si>
    <t>22705</t>
  </si>
  <si>
    <t>22714</t>
  </si>
  <si>
    <t>22717</t>
  </si>
  <si>
    <t>22720</t>
  </si>
  <si>
    <t>22723</t>
  </si>
  <si>
    <t>22726</t>
  </si>
  <si>
    <t>22729</t>
  </si>
  <si>
    <t>22732</t>
  </si>
  <si>
    <t>22735</t>
  </si>
  <si>
    <t>22736</t>
  </si>
  <si>
    <t>22737</t>
  </si>
  <si>
    <t>22739</t>
  </si>
  <si>
    <t>22738</t>
  </si>
  <si>
    <t>22741</t>
  </si>
  <si>
    <t>22744</t>
  </si>
  <si>
    <t>22747</t>
  </si>
  <si>
    <t>22750</t>
  </si>
  <si>
    <t>22753</t>
  </si>
  <si>
    <t>22756</t>
  </si>
  <si>
    <t>22759</t>
  </si>
  <si>
    <t>22762</t>
  </si>
  <si>
    <t>22765</t>
  </si>
  <si>
    <t>22768</t>
  </si>
  <si>
    <t>22771</t>
  </si>
  <si>
    <t>22774</t>
  </si>
  <si>
    <t>22777</t>
  </si>
  <si>
    <t>22779</t>
  </si>
  <si>
    <t>22780</t>
  </si>
  <si>
    <t>22783</t>
  </si>
  <si>
    <t>22786</t>
  </si>
  <si>
    <t>22789</t>
  </si>
  <si>
    <t>22792</t>
  </si>
  <si>
    <t>22795</t>
  </si>
  <si>
    <t>22798</t>
  </si>
  <si>
    <t>22801</t>
  </si>
  <si>
    <t>22804</t>
  </si>
  <si>
    <t>22807</t>
  </si>
  <si>
    <t>22810</t>
  </si>
  <si>
    <t>22813</t>
  </si>
  <si>
    <t>22816</t>
  </si>
  <si>
    <t>22819</t>
  </si>
  <si>
    <t>22822</t>
  </si>
  <si>
    <t>22825</t>
  </si>
  <si>
    <t>22828</t>
  </si>
  <si>
    <t>22831</t>
  </si>
  <si>
    <t>22834</t>
  </si>
  <si>
    <t>22846</t>
  </si>
  <si>
    <t>22852</t>
  </si>
  <si>
    <t>22855</t>
  </si>
  <si>
    <t>22858</t>
  </si>
  <si>
    <t>22861</t>
  </si>
  <si>
    <t>22864</t>
  </si>
  <si>
    <t>22867</t>
  </si>
  <si>
    <t>22868</t>
  </si>
  <si>
    <t>22870</t>
  </si>
  <si>
    <t>22873</t>
  </si>
  <si>
    <t>22876</t>
  </si>
  <si>
    <t>22879</t>
  </si>
  <si>
    <t>22882</t>
  </si>
  <si>
    <t>22888</t>
  </si>
  <si>
    <t>22891</t>
  </si>
  <si>
    <t>22894</t>
  </si>
  <si>
    <t>22912</t>
  </si>
  <si>
    <t>22837</t>
  </si>
  <si>
    <t>22840</t>
  </si>
  <si>
    <t>22843</t>
  </si>
  <si>
    <t>22849</t>
  </si>
  <si>
    <t>22853</t>
  </si>
  <si>
    <t>22856</t>
  </si>
  <si>
    <t>22885</t>
  </si>
  <si>
    <t>22897</t>
  </si>
  <si>
    <t>22898</t>
  </si>
  <si>
    <t>22900</t>
  </si>
  <si>
    <t>22903</t>
  </si>
  <si>
    <t>22906</t>
  </si>
  <si>
    <t>22909</t>
  </si>
  <si>
    <t>22910</t>
  </si>
  <si>
    <t>22915</t>
  </si>
  <si>
    <t>22918</t>
  </si>
  <si>
    <t>22921</t>
  </si>
  <si>
    <t>22924</t>
  </si>
  <si>
    <t>22927</t>
  </si>
  <si>
    <t>22930</t>
  </si>
  <si>
    <t>22933</t>
  </si>
  <si>
    <t>22936</t>
  </si>
  <si>
    <t>22939</t>
  </si>
  <si>
    <t>22942</t>
  </si>
  <si>
    <t>22945</t>
  </si>
  <si>
    <t>22948</t>
  </si>
  <si>
    <t>22951</t>
  </si>
  <si>
    <t>22954</t>
  </si>
  <si>
    <t>22957</t>
  </si>
  <si>
    <t>22960</t>
  </si>
  <si>
    <t>22963</t>
  </si>
  <si>
    <t>22966</t>
  </si>
  <si>
    <t>23231</t>
  </si>
  <si>
    <t>23232</t>
  </si>
  <si>
    <t>23234</t>
  </si>
  <si>
    <t>23235</t>
  </si>
  <si>
    <t>23237</t>
  </si>
  <si>
    <t>23245</t>
  </si>
  <si>
    <t>23246</t>
  </si>
  <si>
    <t>23248</t>
  </si>
  <si>
    <t>23268</t>
  </si>
  <si>
    <t>22969</t>
  </si>
  <si>
    <t>22972</t>
  </si>
  <si>
    <t>22975</t>
  </si>
  <si>
    <t>22978</t>
  </si>
  <si>
    <t>22981</t>
  </si>
  <si>
    <t>22984</t>
  </si>
  <si>
    <t>22987</t>
  </si>
  <si>
    <t>22990</t>
  </si>
  <si>
    <t>22993</t>
  </si>
  <si>
    <t>22996</t>
  </si>
  <si>
    <t>22999</t>
  </si>
  <si>
    <t>23005</t>
  </si>
  <si>
    <t>23008</t>
  </si>
  <si>
    <t>23011</t>
  </si>
  <si>
    <t>23014</t>
  </si>
  <si>
    <t>23017</t>
  </si>
  <si>
    <t>23020</t>
  </si>
  <si>
    <t>23023</t>
  </si>
  <si>
    <t>23026</t>
  </si>
  <si>
    <t>23029</t>
  </si>
  <si>
    <t>23032</t>
  </si>
  <si>
    <t>23035</t>
  </si>
  <si>
    <t>23038</t>
  </si>
  <si>
    <t>23041</t>
  </si>
  <si>
    <t>23044</t>
  </si>
  <si>
    <t>23047</t>
  </si>
  <si>
    <t>23050</t>
  </si>
  <si>
    <t>23053</t>
  </si>
  <si>
    <t>23056</t>
  </si>
  <si>
    <t>23059</t>
  </si>
  <si>
    <t>23062</t>
  </si>
  <si>
    <t>23065</t>
  </si>
  <si>
    <t>23068</t>
  </si>
  <si>
    <t>23071</t>
  </si>
  <si>
    <t>23074</t>
  </si>
  <si>
    <t>23077</t>
  </si>
  <si>
    <t>23080</t>
  </si>
  <si>
    <t>23083</t>
  </si>
  <si>
    <t>23086</t>
  </si>
  <si>
    <t>23089</t>
  </si>
  <si>
    <t>23092</t>
  </si>
  <si>
    <t>23095</t>
  </si>
  <si>
    <t>23098</t>
  </si>
  <si>
    <t>23101</t>
  </si>
  <si>
    <t>23104</t>
  </si>
  <si>
    <t>23107</t>
  </si>
  <si>
    <t>23110</t>
  </si>
  <si>
    <t>23113</t>
  </si>
  <si>
    <t>23116</t>
  </si>
  <si>
    <t>23119</t>
  </si>
  <si>
    <t>23122</t>
  </si>
  <si>
    <t>23125</t>
  </si>
  <si>
    <t>23128</t>
  </si>
  <si>
    <t>23131</t>
  </si>
  <si>
    <t>23134</t>
  </si>
  <si>
    <t>23137</t>
  </si>
  <si>
    <t>23140</t>
  </si>
  <si>
    <t>23143</t>
  </si>
  <si>
    <t>23146</t>
  </si>
  <si>
    <t>23149</t>
  </si>
  <si>
    <t>23152</t>
  </si>
  <si>
    <t>23158</t>
  </si>
  <si>
    <t>23161</t>
  </si>
  <si>
    <t>23164</t>
  </si>
  <si>
    <t>23167</t>
  </si>
  <si>
    <t>23170</t>
  </si>
  <si>
    <t>23173</t>
  </si>
  <si>
    <t>23176</t>
  </si>
  <si>
    <t>23179</t>
  </si>
  <si>
    <t>23182</t>
  </si>
  <si>
    <t>23185</t>
  </si>
  <si>
    <t>23188</t>
  </si>
  <si>
    <t>23191</t>
  </si>
  <si>
    <t>23194</t>
  </si>
  <si>
    <t>23197</t>
  </si>
  <si>
    <t>23200</t>
  </si>
  <si>
    <t>23203</t>
  </si>
  <si>
    <t>23206</t>
  </si>
  <si>
    <t>23212</t>
  </si>
  <si>
    <t>23215</t>
  </si>
  <si>
    <t>23218</t>
  </si>
  <si>
    <t>23221</t>
  </si>
  <si>
    <t>23224</t>
  </si>
  <si>
    <t>23227</t>
  </si>
  <si>
    <t>23230</t>
  </si>
  <si>
    <t>23236</t>
  </si>
  <si>
    <t>23239</t>
  </si>
  <si>
    <t>23242</t>
  </si>
  <si>
    <t>23251</t>
  </si>
  <si>
    <t>23254</t>
  </si>
  <si>
    <t>23255</t>
  </si>
  <si>
    <t>23257</t>
  </si>
  <si>
    <t>23260</t>
  </si>
  <si>
    <t>23266</t>
  </si>
  <si>
    <t>23272</t>
  </si>
  <si>
    <t>23275</t>
  </si>
  <si>
    <t>23278</t>
  </si>
  <si>
    <t>23281</t>
  </si>
  <si>
    <t>23284</t>
  </si>
  <si>
    <t>23287</t>
  </si>
  <si>
    <t>23290</t>
  </si>
  <si>
    <t>23293</t>
  </si>
  <si>
    <t>23296</t>
  </si>
  <si>
    <t>23299</t>
  </si>
  <si>
    <t>23302</t>
  </si>
  <si>
    <t>23305</t>
  </si>
  <si>
    <t>23308</t>
  </si>
  <si>
    <t>23311</t>
  </si>
  <si>
    <t>23314</t>
  </si>
  <si>
    <t>23317</t>
  </si>
  <si>
    <t>23320</t>
  </si>
  <si>
    <t>23323</t>
  </si>
  <si>
    <t>23326</t>
  </si>
  <si>
    <t>23327</t>
  </si>
  <si>
    <t>23329</t>
  </si>
  <si>
    <t>23332</t>
  </si>
  <si>
    <t>23335</t>
  </si>
  <si>
    <t>23338</t>
  </si>
  <si>
    <t>23341</t>
  </si>
  <si>
    <t>23344</t>
  </si>
  <si>
    <t>23347</t>
  </si>
  <si>
    <t>23350</t>
  </si>
  <si>
    <t>23353</t>
  </si>
  <si>
    <t>23356</t>
  </si>
  <si>
    <t>23359</t>
  </si>
  <si>
    <t>23362</t>
  </si>
  <si>
    <t>23365</t>
  </si>
  <si>
    <t>23368</t>
  </si>
  <si>
    <t>23371</t>
  </si>
  <si>
    <t>23374</t>
  </si>
  <si>
    <t>23377</t>
  </si>
  <si>
    <t>23380</t>
  </si>
  <si>
    <t>23383</t>
  </si>
  <si>
    <t>23386</t>
  </si>
  <si>
    <t>23389</t>
  </si>
  <si>
    <t>23392</t>
  </si>
  <si>
    <t>23395</t>
  </si>
  <si>
    <t>23398</t>
  </si>
  <si>
    <t>23401</t>
  </si>
  <si>
    <t>23427</t>
  </si>
  <si>
    <t>23428</t>
  </si>
  <si>
    <t>23430</t>
  </si>
  <si>
    <t>23431</t>
  </si>
  <si>
    <t>23434</t>
  </si>
  <si>
    <t>23437</t>
  </si>
  <si>
    <t>23440</t>
  </si>
  <si>
    <t>23443</t>
  </si>
  <si>
    <t>23452</t>
  </si>
  <si>
    <t>23455</t>
  </si>
  <si>
    <t>23458</t>
  </si>
  <si>
    <t>23461</t>
  </si>
  <si>
    <t>23464</t>
  </si>
  <si>
    <t>23467</t>
  </si>
  <si>
    <t>23470</t>
  </si>
  <si>
    <t>23473</t>
  </si>
  <si>
    <t>23476</t>
  </si>
  <si>
    <t>23479</t>
  </si>
  <si>
    <t>23482</t>
  </si>
  <si>
    <t>23485</t>
  </si>
  <si>
    <t>23488</t>
  </si>
  <si>
    <t>23491</t>
  </si>
  <si>
    <t>23494</t>
  </si>
  <si>
    <t>23497</t>
  </si>
  <si>
    <t>23500</t>
  </si>
  <si>
    <t>23503</t>
  </si>
  <si>
    <t>23504</t>
  </si>
  <si>
    <t>23506</t>
  </si>
  <si>
    <t>23509</t>
  </si>
  <si>
    <t>23510</t>
  </si>
  <si>
    <t>23512</t>
  </si>
  <si>
    <t>23515</t>
  </si>
  <si>
    <t>23518</t>
  </si>
  <si>
    <t>23521</t>
  </si>
  <si>
    <t>23524</t>
  </si>
  <si>
    <t>23527</t>
  </si>
  <si>
    <t>23530</t>
  </si>
  <si>
    <t>23533</t>
  </si>
  <si>
    <t>23534</t>
  </si>
  <si>
    <t>23536</t>
  </si>
  <si>
    <t>23539</t>
  </si>
  <si>
    <t>23542</t>
  </si>
  <si>
    <t>23545</t>
  </si>
  <si>
    <t>23548</t>
  </si>
  <si>
    <t>23551</t>
  </si>
  <si>
    <t>23554</t>
  </si>
  <si>
    <t>23404</t>
  </si>
  <si>
    <t>23407</t>
  </si>
  <si>
    <t>23410</t>
  </si>
  <si>
    <t>23413</t>
  </si>
  <si>
    <t>23416</t>
  </si>
  <si>
    <t>23417</t>
  </si>
  <si>
    <t>23419</t>
  </si>
  <si>
    <t>23422</t>
  </si>
  <si>
    <t>23425</t>
  </si>
  <si>
    <t>23446</t>
  </si>
  <si>
    <t>23449</t>
  </si>
  <si>
    <t>23535</t>
  </si>
  <si>
    <t>23537</t>
  </si>
  <si>
    <t>23538</t>
  </si>
  <si>
    <t>23557</t>
  </si>
  <si>
    <t>23560</t>
  </si>
  <si>
    <t>23563</t>
  </si>
  <si>
    <t>23566</t>
  </si>
  <si>
    <t>23569</t>
  </si>
  <si>
    <t>23570</t>
  </si>
  <si>
    <t>23572</t>
  </si>
  <si>
    <t>23575</t>
  </si>
  <si>
    <t>23578</t>
  </si>
  <si>
    <t>23579</t>
  </si>
  <si>
    <t>23581</t>
  </si>
  <si>
    <t>23582</t>
  </si>
  <si>
    <t>23584</t>
  </si>
  <si>
    <t>23586</t>
  </si>
  <si>
    <t>23590</t>
  </si>
  <si>
    <t>23593</t>
  </si>
  <si>
    <t>23596</t>
  </si>
  <si>
    <t>23599</t>
  </si>
  <si>
    <t>23602</t>
  </si>
  <si>
    <t>23605</t>
  </si>
  <si>
    <t>23608</t>
  </si>
  <si>
    <t>23611</t>
  </si>
  <si>
    <t>23614</t>
  </si>
  <si>
    <t>23617</t>
  </si>
  <si>
    <t>23620</t>
  </si>
  <si>
    <t>23623</t>
  </si>
  <si>
    <t>23626</t>
  </si>
  <si>
    <t>23627</t>
  </si>
  <si>
    <t>23629</t>
  </si>
  <si>
    <t>23630</t>
  </si>
  <si>
    <t>23632</t>
  </si>
  <si>
    <t>23633</t>
  </si>
  <si>
    <t>23635</t>
  </si>
  <si>
    <t>24041</t>
  </si>
  <si>
    <t>24042</t>
  </si>
  <si>
    <t>24044</t>
  </si>
  <si>
    <t>24045</t>
  </si>
  <si>
    <t>24064</t>
  </si>
  <si>
    <t>24065</t>
  </si>
  <si>
    <t>24070</t>
  </si>
  <si>
    <t>24073</t>
  </si>
  <si>
    <t>23638</t>
  </si>
  <si>
    <t>23641</t>
  </si>
  <si>
    <t>23644</t>
  </si>
  <si>
    <t>23647</t>
  </si>
  <si>
    <t>23650</t>
  </si>
  <si>
    <t>23653</t>
  </si>
  <si>
    <t>23656</t>
  </si>
  <si>
    <t>23659</t>
  </si>
  <si>
    <t>23660</t>
  </si>
  <si>
    <t>23662</t>
  </si>
  <si>
    <t>23665</t>
  </si>
  <si>
    <t>23668</t>
  </si>
  <si>
    <t>23671</t>
  </si>
  <si>
    <t>23674</t>
  </si>
  <si>
    <t>23677</t>
  </si>
  <si>
    <t>23680</t>
  </si>
  <si>
    <t>23683</t>
  </si>
  <si>
    <t>23684</t>
  </si>
  <si>
    <t>23686</t>
  </si>
  <si>
    <t>23689</t>
  </si>
  <si>
    <t>23692</t>
  </si>
  <si>
    <t>23695</t>
  </si>
  <si>
    <t>23698</t>
  </si>
  <si>
    <t>23701</t>
  </si>
  <si>
    <t>23704</t>
  </si>
  <si>
    <t>23707</t>
  </si>
  <si>
    <t>23710</t>
  </si>
  <si>
    <t>23713</t>
  </si>
  <si>
    <t>23714</t>
  </si>
  <si>
    <t>23716</t>
  </si>
  <si>
    <t>23719</t>
  </si>
  <si>
    <t>23722</t>
  </si>
  <si>
    <t>23725</t>
  </si>
  <si>
    <t>23728</t>
  </si>
  <si>
    <t>23731</t>
  </si>
  <si>
    <t>23734</t>
  </si>
  <si>
    <t>23737</t>
  </si>
  <si>
    <t>23738</t>
  </si>
  <si>
    <t>23740</t>
  </si>
  <si>
    <t>23743</t>
  </si>
  <si>
    <t>23746</t>
  </si>
  <si>
    <t>23749</t>
  </si>
  <si>
    <t>23752</t>
  </si>
  <si>
    <t>23755</t>
  </si>
  <si>
    <t>23761</t>
  </si>
  <si>
    <t>23764</t>
  </si>
  <si>
    <t>23767</t>
  </si>
  <si>
    <t>23768</t>
  </si>
  <si>
    <t>23770</t>
  </si>
  <si>
    <t>23771</t>
  </si>
  <si>
    <t>23773</t>
  </si>
  <si>
    <t>23776</t>
  </si>
  <si>
    <t>23778</t>
  </si>
  <si>
    <t>23779</t>
  </si>
  <si>
    <t>23782</t>
  </si>
  <si>
    <t>23785</t>
  </si>
  <si>
    <t>23788</t>
  </si>
  <si>
    <t>23791</t>
  </si>
  <si>
    <t>23794</t>
  </si>
  <si>
    <t>23797</t>
  </si>
  <si>
    <t>23798</t>
  </si>
  <si>
    <t>23799</t>
  </si>
  <si>
    <t>23800</t>
  </si>
  <si>
    <t>23803</t>
  </si>
  <si>
    <t>23806</t>
  </si>
  <si>
    <t>23809</t>
  </si>
  <si>
    <t>23812</t>
  </si>
  <si>
    <t>23815</t>
  </si>
  <si>
    <t>23818</t>
  </si>
  <si>
    <t>23821</t>
  </si>
  <si>
    <t>23824</t>
  </si>
  <si>
    <t>23827</t>
  </si>
  <si>
    <t>23830</t>
  </si>
  <si>
    <t>23833</t>
  </si>
  <si>
    <t>23836</t>
  </si>
  <si>
    <t>23839</t>
  </si>
  <si>
    <t>23840</t>
  </si>
  <si>
    <t>23842</t>
  </si>
  <si>
    <t>23843</t>
  </si>
  <si>
    <t>23845</t>
  </si>
  <si>
    <t>23846</t>
  </si>
  <si>
    <t>23848</t>
  </si>
  <si>
    <t>23851</t>
  </si>
  <si>
    <t>23854</t>
  </si>
  <si>
    <t>23857</t>
  </si>
  <si>
    <t>23860</t>
  </si>
  <si>
    <t>23863</t>
  </si>
  <si>
    <t>23866</t>
  </si>
  <si>
    <t>23869</t>
  </si>
  <si>
    <t>23872</t>
  </si>
  <si>
    <t>23875</t>
  </si>
  <si>
    <t>23878</t>
  </si>
  <si>
    <t>23881</t>
  </si>
  <si>
    <t>23884</t>
  </si>
  <si>
    <t>23887</t>
  </si>
  <si>
    <t>23888</t>
  </si>
  <si>
    <t>23890</t>
  </si>
  <si>
    <t>23893</t>
  </si>
  <si>
    <t>23896</t>
  </si>
  <si>
    <t>23899</t>
  </si>
  <si>
    <t>23902</t>
  </si>
  <si>
    <t>23905</t>
  </si>
  <si>
    <t>23908</t>
  </si>
  <si>
    <t>23911</t>
  </si>
  <si>
    <t>23914</t>
  </si>
  <si>
    <t>23917</t>
  </si>
  <si>
    <t>23920</t>
  </si>
  <si>
    <t>23923</t>
  </si>
  <si>
    <t>23924</t>
  </si>
  <si>
    <t>23926</t>
  </si>
  <si>
    <t>23929</t>
  </si>
  <si>
    <t>23932</t>
  </si>
  <si>
    <t>23935</t>
  </si>
  <si>
    <t>23938</t>
  </si>
  <si>
    <t>23941</t>
  </si>
  <si>
    <t>23944</t>
  </si>
  <si>
    <t>23945</t>
  </si>
  <si>
    <t>23946</t>
  </si>
  <si>
    <t>23947</t>
  </si>
  <si>
    <t>23950</t>
  </si>
  <si>
    <t>23953</t>
  </si>
  <si>
    <t>23954</t>
  </si>
  <si>
    <t>23956</t>
  </si>
  <si>
    <t>23959</t>
  </si>
  <si>
    <t>23962</t>
  </si>
  <si>
    <t>23965</t>
  </si>
  <si>
    <t>23966</t>
  </si>
  <si>
    <t>23968</t>
  </si>
  <si>
    <t>23977</t>
  </si>
  <si>
    <t>23989</t>
  </si>
  <si>
    <t>23992</t>
  </si>
  <si>
    <t>23995</t>
  </si>
  <si>
    <t>23998</t>
  </si>
  <si>
    <t>24001</t>
  </si>
  <si>
    <t>24004</t>
  </si>
  <si>
    <t>24007</t>
  </si>
  <si>
    <t>24010</t>
  </si>
  <si>
    <t>24013</t>
  </si>
  <si>
    <t>24016</t>
  </si>
  <si>
    <t>24019</t>
  </si>
  <si>
    <t>24022</t>
  </si>
  <si>
    <t>24025</t>
  </si>
  <si>
    <t>24028</t>
  </si>
  <si>
    <t>24031</t>
  </si>
  <si>
    <t>24034</t>
  </si>
  <si>
    <t>24037</t>
  </si>
  <si>
    <t>24076</t>
  </si>
  <si>
    <t>24079</t>
  </si>
  <si>
    <t>24082</t>
  </si>
  <si>
    <t>24085</t>
  </si>
  <si>
    <t>24088</t>
  </si>
  <si>
    <t>24091</t>
  </si>
  <si>
    <t>24094</t>
  </si>
  <si>
    <t>24097</t>
  </si>
  <si>
    <t>24100</t>
  </si>
  <si>
    <t>24103</t>
  </si>
  <si>
    <t>24106</t>
  </si>
  <si>
    <t>24109</t>
  </si>
  <si>
    <t>24112</t>
  </si>
  <si>
    <t>24115</t>
  </si>
  <si>
    <t>24043</t>
  </si>
  <si>
    <t>24046</t>
  </si>
  <si>
    <t>24048</t>
  </si>
  <si>
    <t>24049</t>
  </si>
  <si>
    <t>24052</t>
  </si>
  <si>
    <t>24055</t>
  </si>
  <si>
    <t>24058</t>
  </si>
  <si>
    <t>24060</t>
  </si>
  <si>
    <t>24061</t>
  </si>
  <si>
    <t>24067</t>
  </si>
  <si>
    <t>23942</t>
  </si>
  <si>
    <t>23971</t>
  </si>
  <si>
    <t>23972</t>
  </si>
  <si>
    <t>23974</t>
  </si>
  <si>
    <t>23978</t>
  </si>
  <si>
    <t>23980</t>
  </si>
  <si>
    <t>23983</t>
  </si>
  <si>
    <t>23986</t>
  </si>
  <si>
    <t>23987</t>
  </si>
  <si>
    <t>24118</t>
  </si>
  <si>
    <t>24121</t>
  </si>
  <si>
    <t>24124</t>
  </si>
  <si>
    <t>24127</t>
  </si>
  <si>
    <t>24130</t>
  </si>
  <si>
    <t>24133</t>
  </si>
  <si>
    <t>24136</t>
  </si>
  <si>
    <t>24139</t>
  </si>
  <si>
    <t>24142</t>
  </si>
  <si>
    <t>24145</t>
  </si>
  <si>
    <t>24148</t>
  </si>
  <si>
    <t>24151</t>
  </si>
  <si>
    <t>24154</t>
  </si>
  <si>
    <t>24157</t>
  </si>
  <si>
    <t>24160</t>
  </si>
  <si>
    <t>24163</t>
  </si>
  <si>
    <t>24166</t>
  </si>
  <si>
    <t>24169</t>
  </si>
  <si>
    <t>24172</t>
  </si>
  <si>
    <t>24175</t>
  </si>
  <si>
    <t>24178</t>
  </si>
  <si>
    <t>24305</t>
  </si>
  <si>
    <t>24308</t>
  </si>
  <si>
    <t>24311</t>
  </si>
  <si>
    <t>24318</t>
  </si>
  <si>
    <t>24322</t>
  </si>
  <si>
    <t>24325</t>
  </si>
  <si>
    <t>24328</t>
  </si>
  <si>
    <t>24331</t>
  </si>
  <si>
    <t>24332</t>
  </si>
  <si>
    <t>24334</t>
  </si>
  <si>
    <t>24337</t>
  </si>
  <si>
    <t>24340</t>
  </si>
  <si>
    <t>24181</t>
  </si>
  <si>
    <t>24184</t>
  </si>
  <si>
    <t>24187</t>
  </si>
  <si>
    <t>24190</t>
  </si>
  <si>
    <t>24193</t>
  </si>
  <si>
    <t>24194</t>
  </si>
  <si>
    <t>24196</t>
  </si>
  <si>
    <t>24199</t>
  </si>
  <si>
    <t>24202</t>
  </si>
  <si>
    <t>24205</t>
  </si>
  <si>
    <t>24207</t>
  </si>
  <si>
    <t>24208</t>
  </si>
  <si>
    <t>24211</t>
  </si>
  <si>
    <t>24214</t>
  </si>
  <si>
    <t>24215</t>
  </si>
  <si>
    <t>24217</t>
  </si>
  <si>
    <t>24220</t>
  </si>
  <si>
    <t>24221</t>
  </si>
  <si>
    <t>24223</t>
  </si>
  <si>
    <t>24226</t>
  </si>
  <si>
    <t>24229</t>
  </si>
  <si>
    <t>24232</t>
  </si>
  <si>
    <t>24235</t>
  </si>
  <si>
    <t>24238</t>
  </si>
  <si>
    <t>24241</t>
  </si>
  <si>
    <t>24244</t>
  </si>
  <si>
    <t>24247</t>
  </si>
  <si>
    <t>24250</t>
  </si>
  <si>
    <t>24253</t>
  </si>
  <si>
    <t>24256</t>
  </si>
  <si>
    <t>24259</t>
  </si>
  <si>
    <t>24262</t>
  </si>
  <si>
    <t>24264</t>
  </si>
  <si>
    <t>24265</t>
  </si>
  <si>
    <t>24268</t>
  </si>
  <si>
    <t>24271</t>
  </si>
  <si>
    <t>24274</t>
  </si>
  <si>
    <t>24277</t>
  </si>
  <si>
    <t>24280</t>
  </si>
  <si>
    <t>24283</t>
  </si>
  <si>
    <t>24286</t>
  </si>
  <si>
    <t>24289</t>
  </si>
  <si>
    <t>24292</t>
  </si>
  <si>
    <t>24295</t>
  </si>
  <si>
    <t>24298</t>
  </si>
  <si>
    <t>24301</t>
  </si>
  <si>
    <t>24307</t>
  </si>
  <si>
    <t>24310</t>
  </si>
  <si>
    <t>24313</t>
  </si>
  <si>
    <t>24314</t>
  </si>
  <si>
    <t>24316</t>
  </si>
  <si>
    <t>24317</t>
  </si>
  <si>
    <t>24319</t>
  </si>
  <si>
    <t>24343</t>
  </si>
  <si>
    <t>24346</t>
  </si>
  <si>
    <t>24349</t>
  </si>
  <si>
    <t>24352</t>
  </si>
  <si>
    <t>24355</t>
  </si>
  <si>
    <t>24358</t>
  </si>
  <si>
    <t>24359</t>
  </si>
  <si>
    <t>24360</t>
  </si>
  <si>
    <t>24361</t>
  </si>
  <si>
    <t>24364</t>
  </si>
  <si>
    <t>24367</t>
  </si>
  <si>
    <t>24370</t>
  </si>
  <si>
    <t>24373</t>
  </si>
  <si>
    <t>24376</t>
  </si>
  <si>
    <t>24379</t>
  </si>
  <si>
    <t>24380</t>
  </si>
  <si>
    <t>24382</t>
  </si>
  <si>
    <t>24385</t>
  </si>
  <si>
    <t>24388</t>
  </si>
  <si>
    <t>24391</t>
  </si>
  <si>
    <t>24394</t>
  </si>
  <si>
    <t>24397</t>
  </si>
  <si>
    <t>24400</t>
  </si>
  <si>
    <t>24401</t>
  </si>
  <si>
    <t>24403</t>
  </si>
  <si>
    <t>24404</t>
  </si>
  <si>
    <t>24406</t>
  </si>
  <si>
    <t>24409</t>
  </si>
  <si>
    <t>24412</t>
  </si>
  <si>
    <t>24415</t>
  </si>
  <si>
    <t>24418</t>
  </si>
  <si>
    <t>24421</t>
  </si>
  <si>
    <t>24424</t>
  </si>
  <si>
    <t>24427</t>
  </si>
  <si>
    <t>24430</t>
  </si>
  <si>
    <t>24433</t>
  </si>
  <si>
    <t>24436</t>
  </si>
  <si>
    <t>24439</t>
  </si>
  <si>
    <t>24442</t>
  </si>
  <si>
    <t>24444</t>
  </si>
  <si>
    <t>24445</t>
  </si>
  <si>
    <t>24448</t>
  </si>
  <si>
    <t>24451</t>
  </si>
  <si>
    <t>24454</t>
  </si>
  <si>
    <t>24457</t>
  </si>
  <si>
    <t>24460</t>
  </si>
  <si>
    <t>24463</t>
  </si>
  <si>
    <t>24466</t>
  </si>
  <si>
    <t>24469</t>
  </si>
  <si>
    <t>24472</t>
  </si>
  <si>
    <t>24475</t>
  </si>
  <si>
    <t>24478</t>
  </si>
  <si>
    <t>24481</t>
  </si>
  <si>
    <t>24484</t>
  </si>
  <si>
    <t>24487</t>
  </si>
  <si>
    <t>24490</t>
  </si>
  <si>
    <t>24493</t>
  </si>
  <si>
    <t>24496</t>
  </si>
  <si>
    <t>24499</t>
  </si>
  <si>
    <t>24502</t>
  </si>
  <si>
    <t>24505</t>
  </si>
  <si>
    <t>24508</t>
  </si>
  <si>
    <t>24511</t>
  </si>
  <si>
    <t>24514</t>
  </si>
  <si>
    <t>24517</t>
  </si>
  <si>
    <t>24520</t>
  </si>
  <si>
    <t>24523</t>
  </si>
  <si>
    <t>24526</t>
  </si>
  <si>
    <t>24529</t>
  </si>
  <si>
    <t>24532</t>
  </si>
  <si>
    <t>24535</t>
  </si>
  <si>
    <t>24538</t>
  </si>
  <si>
    <t>24556</t>
  </si>
  <si>
    <t>24559</t>
  </si>
  <si>
    <t>24565</t>
  </si>
  <si>
    <t>24568</t>
  </si>
  <si>
    <t>24571</t>
  </si>
  <si>
    <t>24574</t>
  </si>
  <si>
    <t>24577</t>
  </si>
  <si>
    <t>24580</t>
  </si>
  <si>
    <t>24583</t>
  </si>
  <si>
    <t>24586</t>
  </si>
  <si>
    <t>24589</t>
  </si>
  <si>
    <t>24592</t>
  </si>
  <si>
    <t>24595</t>
  </si>
  <si>
    <t>24598</t>
  </si>
  <si>
    <t>24601</t>
  </si>
  <si>
    <t>24604</t>
  </si>
  <si>
    <t>24607</t>
  </si>
  <si>
    <t>24610</t>
  </si>
  <si>
    <t>24540</t>
  </si>
  <si>
    <t>24541</t>
  </si>
  <si>
    <t>24544</t>
  </si>
  <si>
    <t>24547</t>
  </si>
  <si>
    <t>24550</t>
  </si>
  <si>
    <t>24553</t>
  </si>
  <si>
    <t>24561</t>
  </si>
  <si>
    <t>24562</t>
  </si>
  <si>
    <t>24611</t>
  </si>
  <si>
    <t>24612</t>
  </si>
  <si>
    <t>24614</t>
  </si>
  <si>
    <t>24615</t>
  </si>
  <si>
    <t>24617</t>
  </si>
  <si>
    <t>24618</t>
  </si>
  <si>
    <t>24619</t>
  </si>
  <si>
    <t>24628</t>
  </si>
  <si>
    <t>24616</t>
  </si>
  <si>
    <t>24620</t>
  </si>
  <si>
    <t>24622</t>
  </si>
  <si>
    <t>24625</t>
  </si>
  <si>
    <t>24631</t>
  </si>
  <si>
    <t>24634</t>
  </si>
  <si>
    <t>24637</t>
  </si>
  <si>
    <t>24640</t>
  </si>
  <si>
    <t>24643</t>
  </si>
  <si>
    <t>24646</t>
  </si>
  <si>
    <t>24649</t>
  </si>
  <si>
    <t>24652</t>
  </si>
  <si>
    <t>24655</t>
  </si>
  <si>
    <t>24658</t>
  </si>
  <si>
    <t>24661</t>
  </si>
  <si>
    <t>24664</t>
  </si>
  <si>
    <t>24667</t>
  </si>
  <si>
    <t>24670</t>
  </si>
  <si>
    <t>24673</t>
  </si>
  <si>
    <t>24676</t>
  </si>
  <si>
    <t>24677</t>
  </si>
  <si>
    <t>24678</t>
  </si>
  <si>
    <t>24679</t>
  </si>
  <si>
    <t>24682</t>
  </si>
  <si>
    <t>24685</t>
  </si>
  <si>
    <t>24688</t>
  </si>
  <si>
    <t>24691</t>
  </si>
  <si>
    <t>24692</t>
  </si>
  <si>
    <t>24694</t>
  </si>
  <si>
    <t>24697</t>
  </si>
  <si>
    <t>24699</t>
  </si>
  <si>
    <t>24700</t>
  </si>
  <si>
    <t>24703</t>
  </si>
  <si>
    <t>24706</t>
  </si>
  <si>
    <t>24709</t>
  </si>
  <si>
    <t>24712</t>
  </si>
  <si>
    <t>24715</t>
  </si>
  <si>
    <t>24717</t>
  </si>
  <si>
    <t>24718</t>
  </si>
  <si>
    <t>24719</t>
  </si>
  <si>
    <t>24721</t>
  </si>
  <si>
    <t>24722</t>
  </si>
  <si>
    <t>24724</t>
  </si>
  <si>
    <t>24727</t>
  </si>
  <si>
    <t>24728</t>
  </si>
  <si>
    <t>24730</t>
  </si>
  <si>
    <t>24733</t>
  </si>
  <si>
    <t>24745</t>
  </si>
  <si>
    <t>24750</t>
  </si>
  <si>
    <t>24751</t>
  </si>
  <si>
    <t>24754</t>
  </si>
  <si>
    <t>24756</t>
  </si>
  <si>
    <t>24757</t>
  </si>
  <si>
    <t>24760</t>
  </si>
  <si>
    <t>24761</t>
  </si>
  <si>
    <t>24763</t>
  </si>
  <si>
    <t>24766</t>
  </si>
  <si>
    <t>24736</t>
  </si>
  <si>
    <t>24739</t>
  </si>
  <si>
    <t>24740</t>
  </si>
  <si>
    <t>24742</t>
  </si>
  <si>
    <t>24746</t>
  </si>
  <si>
    <t>24748</t>
  </si>
  <si>
    <t>24769</t>
  </si>
  <si>
    <t>24772</t>
  </si>
  <si>
    <t>24775</t>
  </si>
  <si>
    <t>24778</t>
  </si>
  <si>
    <t>24781</t>
  </si>
  <si>
    <t>24784</t>
  </si>
  <si>
    <t>24787</t>
  </si>
  <si>
    <t>24790</t>
  </si>
  <si>
    <t>24793</t>
  </si>
  <si>
    <t>24796</t>
  </si>
  <si>
    <t>24799</t>
  </si>
  <si>
    <t>24802</t>
  </si>
  <si>
    <t>24805</t>
  </si>
  <si>
    <t>24808</t>
  </si>
  <si>
    <t>24810</t>
  </si>
  <si>
    <t>24811</t>
  </si>
  <si>
    <t>24814</t>
  </si>
  <si>
    <t>24817</t>
  </si>
  <si>
    <t>24820</t>
  </si>
  <si>
    <t>24823</t>
  </si>
  <si>
    <t>24826</t>
  </si>
  <si>
    <t>24829</t>
  </si>
  <si>
    <t>24832</t>
  </si>
  <si>
    <t>24835</t>
  </si>
  <si>
    <t>24838</t>
  </si>
  <si>
    <t>24841</t>
  </si>
  <si>
    <t>24844</t>
  </si>
  <si>
    <t>24853</t>
  </si>
  <si>
    <t>24856</t>
  </si>
  <si>
    <t>24859</t>
  </si>
  <si>
    <t>24874</t>
  </si>
  <si>
    <t>24875</t>
  </si>
  <si>
    <t>24877</t>
  </si>
  <si>
    <t>24886</t>
  </si>
  <si>
    <t>24889</t>
  </si>
  <si>
    <t>24846</t>
  </si>
  <si>
    <t>24847</t>
  </si>
  <si>
    <t>24848</t>
  </si>
  <si>
    <t>24850</t>
  </si>
  <si>
    <t>24862</t>
  </si>
  <si>
    <t>24865</t>
  </si>
  <si>
    <t>24868</t>
  </si>
  <si>
    <t>24871</t>
  </si>
  <si>
    <t>24880</t>
  </si>
  <si>
    <t>24883</t>
  </si>
  <si>
    <t>24892</t>
  </si>
  <si>
    <t>24895</t>
  </si>
  <si>
    <t>24898</t>
  </si>
  <si>
    <t>24901</t>
  </si>
  <si>
    <t>24904</t>
  </si>
  <si>
    <t>24907</t>
  </si>
  <si>
    <t>24910</t>
  </si>
  <si>
    <t>24913</t>
  </si>
  <si>
    <t>24916</t>
  </si>
  <si>
    <t>24919</t>
  </si>
  <si>
    <t>24922</t>
  </si>
  <si>
    <t>24925</t>
  </si>
  <si>
    <t>24928</t>
  </si>
  <si>
    <t>24931</t>
  </si>
  <si>
    <t>24934</t>
  </si>
  <si>
    <t>24937</t>
  </si>
  <si>
    <t>24940</t>
  </si>
  <si>
    <t>24943</t>
  </si>
  <si>
    <t>24946</t>
  </si>
  <si>
    <t>24949</t>
  </si>
  <si>
    <t>24952</t>
  </si>
  <si>
    <t>24955</t>
  </si>
  <si>
    <t>24958</t>
  </si>
  <si>
    <t>24961</t>
  </si>
  <si>
    <t>24964</t>
  </si>
  <si>
    <t>24967</t>
  </si>
  <si>
    <t>24970</t>
  </si>
  <si>
    <t>24973</t>
  </si>
  <si>
    <t>24976</t>
  </si>
  <si>
    <t>24979</t>
  </si>
  <si>
    <t>24982</t>
  </si>
  <si>
    <t>24985</t>
  </si>
  <si>
    <t>24988</t>
  </si>
  <si>
    <t>24989</t>
  </si>
  <si>
    <t>24991</t>
  </si>
  <si>
    <t>24994</t>
  </si>
  <si>
    <t>24997</t>
  </si>
  <si>
    <t>25000</t>
  </si>
  <si>
    <t>25003</t>
  </si>
  <si>
    <t>25006</t>
  </si>
  <si>
    <t>25007</t>
  </si>
  <si>
    <t>25009</t>
  </si>
  <si>
    <t>25012</t>
  </si>
  <si>
    <t>25015</t>
  </si>
  <si>
    <t>25018</t>
  </si>
  <si>
    <t>25021</t>
  </si>
  <si>
    <t>25024</t>
  </si>
  <si>
    <t>25027</t>
  </si>
  <si>
    <t>25030</t>
  </si>
  <si>
    <t>25033</t>
  </si>
  <si>
    <t>25036</t>
  </si>
  <si>
    <t>25039</t>
  </si>
  <si>
    <t>25042</t>
  </si>
  <si>
    <t>25045</t>
  </si>
  <si>
    <t>25048</t>
  </si>
  <si>
    <t>25051</t>
  </si>
  <si>
    <t>25054</t>
  </si>
  <si>
    <t>25057</t>
  </si>
  <si>
    <t>25060</t>
  </si>
  <si>
    <t>25063</t>
  </si>
  <si>
    <t>25066</t>
  </si>
  <si>
    <t>25069</t>
  </si>
  <si>
    <t>25072</t>
  </si>
  <si>
    <t>25075</t>
  </si>
  <si>
    <t>25078</t>
  </si>
  <si>
    <t>25081</t>
  </si>
  <si>
    <t>25084</t>
  </si>
  <si>
    <t>25087</t>
  </si>
  <si>
    <t>25090</t>
  </si>
  <si>
    <t>25093</t>
  </si>
  <si>
    <t>25096</t>
  </si>
  <si>
    <t>25099</t>
  </si>
  <si>
    <t>25105</t>
  </si>
  <si>
    <t>25108</t>
  </si>
  <si>
    <t>25111</t>
  </si>
  <si>
    <t>25114</t>
  </si>
  <si>
    <t>25117</t>
  </si>
  <si>
    <t>25120</t>
  </si>
  <si>
    <t>25123</t>
  </si>
  <si>
    <t>25126</t>
  </si>
  <si>
    <t>25129</t>
  </si>
  <si>
    <t>25132</t>
  </si>
  <si>
    <t>25135</t>
  </si>
  <si>
    <t>25138</t>
  </si>
  <si>
    <t>25141</t>
  </si>
  <si>
    <t>25147</t>
  </si>
  <si>
    <t>25153</t>
  </si>
  <si>
    <t>25156</t>
  </si>
  <si>
    <t>25159</t>
  </si>
  <si>
    <t>25162</t>
  </si>
  <si>
    <t>25165</t>
  </si>
  <si>
    <t>25168</t>
  </si>
  <si>
    <t>25171</t>
  </si>
  <si>
    <t>25180</t>
  </si>
  <si>
    <t>25183</t>
  </si>
  <si>
    <t>25189</t>
  </si>
  <si>
    <t>25192</t>
  </si>
  <si>
    <t>25216</t>
  </si>
  <si>
    <t>25217</t>
  </si>
  <si>
    <t>25219</t>
  </si>
  <si>
    <t>25220</t>
  </si>
  <si>
    <t>25237</t>
  </si>
  <si>
    <t>25245</t>
  </si>
  <si>
    <t>25249</t>
  </si>
  <si>
    <t>25195</t>
  </si>
  <si>
    <t>25198</t>
  </si>
  <si>
    <t>25201</t>
  </si>
  <si>
    <t>25204</t>
  </si>
  <si>
    <t>25205</t>
  </si>
  <si>
    <t>25207</t>
  </si>
  <si>
    <t>25210</t>
  </si>
  <si>
    <t>25213</t>
  </si>
  <si>
    <t>25320</t>
  </si>
  <si>
    <t>25324</t>
  </si>
  <si>
    <t>25325</t>
  </si>
  <si>
    <t>25326</t>
  </si>
  <si>
    <t>25333</t>
  </si>
  <si>
    <t>25336</t>
  </si>
  <si>
    <t>25222</t>
  </si>
  <si>
    <t>25225</t>
  </si>
  <si>
    <t>25228</t>
  </si>
  <si>
    <t>25229</t>
  </si>
  <si>
    <t>25231</t>
  </si>
  <si>
    <t>25232</t>
  </si>
  <si>
    <t>25234</t>
  </si>
  <si>
    <t>25267</t>
  </si>
  <si>
    <t>25270</t>
  </si>
  <si>
    <t>25273</t>
  </si>
  <si>
    <t>25276</t>
  </si>
  <si>
    <t>25279</t>
  </si>
  <si>
    <t>25280</t>
  </si>
  <si>
    <t>25282</t>
  </si>
  <si>
    <t>25285</t>
  </si>
  <si>
    <t>25288</t>
  </si>
  <si>
    <t>25291</t>
  </si>
  <si>
    <t>25292</t>
  </si>
  <si>
    <t>25294</t>
  </si>
  <si>
    <t>25297</t>
  </si>
  <si>
    <t>25300</t>
  </si>
  <si>
    <t>25303</t>
  </si>
  <si>
    <t>25305</t>
  </si>
  <si>
    <t>25306</t>
  </si>
  <si>
    <t>25308</t>
  </si>
  <si>
    <t>25309</t>
  </si>
  <si>
    <t>25310</t>
  </si>
  <si>
    <t>25312</t>
  </si>
  <si>
    <t>25315</t>
  </si>
  <si>
    <t>25318</t>
  </si>
  <si>
    <t>25321</t>
  </si>
  <si>
    <t>25327</t>
  </si>
  <si>
    <t>25330</t>
  </si>
  <si>
    <t>25339</t>
  </si>
  <si>
    <t>25342</t>
  </si>
  <si>
    <t>25345</t>
  </si>
  <si>
    <t>25348</t>
  </si>
  <si>
    <t>25349</t>
  </si>
  <si>
    <t>25351</t>
  </si>
  <si>
    <t>25354</t>
  </si>
  <si>
    <t>25357</t>
  </si>
  <si>
    <t>25360</t>
  </si>
  <si>
    <t>25361</t>
  </si>
  <si>
    <t>25438</t>
  </si>
  <si>
    <t>25363</t>
  </si>
  <si>
    <t>25366</t>
  </si>
  <si>
    <t>25369</t>
  </si>
  <si>
    <t>25372</t>
  </si>
  <si>
    <t>25375</t>
  </si>
  <si>
    <t>25378</t>
  </si>
  <si>
    <t>25381</t>
  </si>
  <si>
    <t>25384</t>
  </si>
  <si>
    <t>25387</t>
  </si>
  <si>
    <t>25390</t>
  </si>
  <si>
    <t>25393</t>
  </si>
  <si>
    <t>25396</t>
  </si>
  <si>
    <t>25398</t>
  </si>
  <si>
    <t>25399</t>
  </si>
  <si>
    <t>25400</t>
  </si>
  <si>
    <t>25402</t>
  </si>
  <si>
    <t>25404</t>
  </si>
  <si>
    <t>25405</t>
  </si>
  <si>
    <t>25408</t>
  </si>
  <si>
    <t>25411</t>
  </si>
  <si>
    <t>25414</t>
  </si>
  <si>
    <t>25417</t>
  </si>
  <si>
    <t>25420</t>
  </si>
  <si>
    <t>25423</t>
  </si>
  <si>
    <t>25424</t>
  </si>
  <si>
    <t>25426</t>
  </si>
  <si>
    <t>25429</t>
  </si>
  <si>
    <t>25432</t>
  </si>
  <si>
    <t>25433</t>
  </si>
  <si>
    <t>25435</t>
  </si>
  <si>
    <t>25439</t>
  </si>
  <si>
    <t>25441</t>
  </si>
  <si>
    <t>25444</t>
  </si>
  <si>
    <t>25447</t>
  </si>
  <si>
    <t>25450</t>
  </si>
  <si>
    <t>25453</t>
  </si>
  <si>
    <t>25240</t>
  </si>
  <si>
    <t>25243</t>
  </si>
  <si>
    <t>25244</t>
  </si>
  <si>
    <t>25246</t>
  </si>
  <si>
    <t>25250</t>
  </si>
  <si>
    <t>25252</t>
  </si>
  <si>
    <t>25255</t>
  </si>
  <si>
    <t>25258</t>
  </si>
  <si>
    <t>25261</t>
  </si>
  <si>
    <t>25264</t>
  </si>
  <si>
    <t>25456</t>
  </si>
  <si>
    <t>25459</t>
  </si>
  <si>
    <t>25462</t>
  </si>
  <si>
    <t>25465</t>
  </si>
  <si>
    <t>25468</t>
  </si>
  <si>
    <t>25471</t>
  </si>
  <si>
    <t>25474</t>
  </si>
  <si>
    <t>25477</t>
  </si>
  <si>
    <t>25480</t>
  </si>
  <si>
    <t>25483</t>
  </si>
  <si>
    <t>25486</t>
  </si>
  <si>
    <t>25489</t>
  </si>
  <si>
    <t>25492</t>
  </si>
  <si>
    <t>25495</t>
  </si>
  <si>
    <t>25498</t>
  </si>
  <si>
    <t>25501</t>
  </si>
  <si>
    <t>25504</t>
  </si>
  <si>
    <t>25507</t>
  </si>
  <si>
    <t>25510</t>
  </si>
  <si>
    <t>25513</t>
  </si>
  <si>
    <t>25516</t>
  </si>
  <si>
    <t>25519</t>
  </si>
  <si>
    <t>25522</t>
  </si>
  <si>
    <t>25525</t>
  </si>
  <si>
    <t>25528</t>
  </si>
  <si>
    <t>25531</t>
  </si>
  <si>
    <t>25534</t>
  </si>
  <si>
    <t>25537</t>
  </si>
  <si>
    <t>25540</t>
  </si>
  <si>
    <t>25543</t>
  </si>
  <si>
    <t>25546</t>
  </si>
  <si>
    <t>25549</t>
  </si>
  <si>
    <t>25552</t>
  </si>
  <si>
    <t>25555</t>
  </si>
  <si>
    <t>25558</t>
  </si>
  <si>
    <t>25561</t>
  </si>
  <si>
    <t>25564</t>
  </si>
  <si>
    <t>25567</t>
  </si>
  <si>
    <t>25570</t>
  </si>
  <si>
    <t>25573</t>
  </si>
  <si>
    <t>25576</t>
  </si>
  <si>
    <t>25579</t>
  </si>
  <si>
    <t>25582</t>
  </si>
  <si>
    <t>25585</t>
  </si>
  <si>
    <t>25588</t>
  </si>
  <si>
    <t>25591</t>
  </si>
  <si>
    <t>25594</t>
  </si>
  <si>
    <t>25597</t>
  </si>
  <si>
    <t>25600</t>
  </si>
  <si>
    <t>25603</t>
  </si>
  <si>
    <t>25606</t>
  </si>
  <si>
    <t>25609</t>
  </si>
  <si>
    <t>25612</t>
  </si>
  <si>
    <t>25615</t>
  </si>
  <si>
    <t>25618</t>
  </si>
  <si>
    <t>25621</t>
  </si>
  <si>
    <t>25624</t>
  </si>
  <si>
    <t>25627</t>
  </si>
  <si>
    <t>25630</t>
  </si>
  <si>
    <t>25633</t>
  </si>
  <si>
    <t>25636</t>
  </si>
  <si>
    <t>25639</t>
  </si>
  <si>
    <t>25642</t>
  </si>
  <si>
    <t>25645</t>
  </si>
  <si>
    <t>25648</t>
  </si>
  <si>
    <t>25651</t>
  </si>
  <si>
    <t>25654</t>
  </si>
  <si>
    <t>25657</t>
  </si>
  <si>
    <t>25660</t>
  </si>
  <si>
    <t>25663</t>
  </si>
  <si>
    <t>25666</t>
  </si>
  <si>
    <t>25669</t>
  </si>
  <si>
    <t>25672</t>
  </si>
  <si>
    <t>25675</t>
  </si>
  <si>
    <t>25678</t>
  </si>
  <si>
    <t>25681</t>
  </si>
  <si>
    <t>25684</t>
  </si>
  <si>
    <t>25687</t>
  </si>
  <si>
    <t>25690</t>
  </si>
  <si>
    <t>25693</t>
  </si>
  <si>
    <t>25696</t>
  </si>
  <si>
    <t>25699</t>
  </si>
  <si>
    <t>25702</t>
  </si>
  <si>
    <t>25705</t>
  </si>
  <si>
    <t>25708</t>
  </si>
  <si>
    <t>25711</t>
  </si>
  <si>
    <t>25714</t>
  </si>
  <si>
    <t>25717</t>
  </si>
  <si>
    <t>25720</t>
  </si>
  <si>
    <t>25723</t>
  </si>
  <si>
    <t>25729</t>
  </si>
  <si>
    <t>25732</t>
  </si>
  <si>
    <t>25735</t>
  </si>
  <si>
    <t>25738</t>
  </si>
  <si>
    <t>25741</t>
  </si>
  <si>
    <t>25744</t>
  </si>
  <si>
    <t>25747</t>
  </si>
  <si>
    <t>25750</t>
  </si>
  <si>
    <t>25753</t>
  </si>
  <si>
    <t>25756</t>
  </si>
  <si>
    <t>25759</t>
  </si>
  <si>
    <t>25760</t>
  </si>
  <si>
    <t>25762</t>
  </si>
  <si>
    <t>25763</t>
  </si>
  <si>
    <t>25765</t>
  </si>
  <si>
    <t>25768</t>
  </si>
  <si>
    <t>25771</t>
  </si>
  <si>
    <t>25774</t>
  </si>
  <si>
    <t>25816</t>
  </si>
  <si>
    <t>25819</t>
  </si>
  <si>
    <t>25822</t>
  </si>
  <si>
    <t>25825</t>
  </si>
  <si>
    <t>25828</t>
  </si>
  <si>
    <t>25831</t>
  </si>
  <si>
    <t>25834</t>
  </si>
  <si>
    <t>25777</t>
  </si>
  <si>
    <t>25780</t>
  </si>
  <si>
    <t>25783</t>
  </si>
  <si>
    <t>25786</t>
  </si>
  <si>
    <t>25789</t>
  </si>
  <si>
    <t>25792</t>
  </si>
  <si>
    <t>25795</t>
  </si>
  <si>
    <t>25798</t>
  </si>
  <si>
    <t>25801</t>
  </si>
  <si>
    <t>25804</t>
  </si>
  <si>
    <t>25807</t>
  </si>
  <si>
    <t>25810</t>
  </si>
  <si>
    <t>25813</t>
  </si>
  <si>
    <t>25837</t>
  </si>
  <si>
    <t>25840</t>
  </si>
  <si>
    <t>25843</t>
  </si>
  <si>
    <t>25846</t>
  </si>
  <si>
    <t>25849</t>
  </si>
  <si>
    <t>25852</t>
  </si>
  <si>
    <t>25855</t>
  </si>
  <si>
    <t>25858</t>
  </si>
  <si>
    <t>25861</t>
  </si>
  <si>
    <t>25864</t>
  </si>
  <si>
    <t>25865</t>
  </si>
  <si>
    <t>25867</t>
  </si>
  <si>
    <t>25870</t>
  </si>
  <si>
    <t>25873</t>
  </si>
  <si>
    <t>25876</t>
  </si>
  <si>
    <t>25879</t>
  </si>
  <si>
    <t>25882</t>
  </si>
  <si>
    <t>25885</t>
  </si>
  <si>
    <t>25888</t>
  </si>
  <si>
    <t>25891</t>
  </si>
  <si>
    <t>25912</t>
  </si>
  <si>
    <t>25915</t>
  </si>
  <si>
    <t>25920</t>
  </si>
  <si>
    <t>25921</t>
  </si>
  <si>
    <t>25924</t>
  </si>
  <si>
    <t>25930</t>
  </si>
  <si>
    <t>25933</t>
  </si>
  <si>
    <t>25936</t>
  </si>
  <si>
    <t>25937</t>
  </si>
  <si>
    <t>25939</t>
  </si>
  <si>
    <t>25942</t>
  </si>
  <si>
    <t>25945</t>
  </si>
  <si>
    <t>25948</t>
  </si>
  <si>
    <t>25951</t>
  </si>
  <si>
    <t>25954</t>
  </si>
  <si>
    <t>25957</t>
  </si>
  <si>
    <t>25960</t>
  </si>
  <si>
    <t>25963</t>
  </si>
  <si>
    <t>25966</t>
  </si>
  <si>
    <t>25969</t>
  </si>
  <si>
    <t>25972</t>
  </si>
  <si>
    <t>25975</t>
  </si>
  <si>
    <t>25978</t>
  </si>
  <si>
    <t>25981</t>
  </si>
  <si>
    <t>25984</t>
  </si>
  <si>
    <t>25987</t>
  </si>
  <si>
    <t>25990</t>
  </si>
  <si>
    <t>25894</t>
  </si>
  <si>
    <t>25897</t>
  </si>
  <si>
    <t>25900</t>
  </si>
  <si>
    <t>25903</t>
  </si>
  <si>
    <t>25906</t>
  </si>
  <si>
    <t>25907</t>
  </si>
  <si>
    <t>25908</t>
  </si>
  <si>
    <t>25909</t>
  </si>
  <si>
    <t>25918</t>
  </si>
  <si>
    <t>25927</t>
  </si>
  <si>
    <t>25993</t>
  </si>
  <si>
    <t>25996</t>
  </si>
  <si>
    <t>25999</t>
  </si>
  <si>
    <t>26002</t>
  </si>
  <si>
    <t>26005</t>
  </si>
  <si>
    <t>26008</t>
  </si>
  <si>
    <t>26011</t>
  </si>
  <si>
    <t>26014</t>
  </si>
  <si>
    <t>26017</t>
  </si>
  <si>
    <t>26020</t>
  </si>
  <si>
    <t>26023</t>
  </si>
  <si>
    <t>26026</t>
  </si>
  <si>
    <t>26029</t>
  </si>
  <si>
    <t>26032</t>
  </si>
  <si>
    <t>26035</t>
  </si>
  <si>
    <t>26038</t>
  </si>
  <si>
    <t>26041</t>
  </si>
  <si>
    <t>26044</t>
  </si>
  <si>
    <t>26047</t>
  </si>
  <si>
    <t>26050</t>
  </si>
  <si>
    <t>26053</t>
  </si>
  <si>
    <t>26056</t>
  </si>
  <si>
    <t>26059</t>
  </si>
  <si>
    <t>26062</t>
  </si>
  <si>
    <t>26065</t>
  </si>
  <si>
    <t>26068</t>
  </si>
  <si>
    <t>26371</t>
  </si>
  <si>
    <t>26374</t>
  </si>
  <si>
    <t>26377</t>
  </si>
  <si>
    <t>26380</t>
  </si>
  <si>
    <t>26071</t>
  </si>
  <si>
    <t>26074</t>
  </si>
  <si>
    <t>26077</t>
  </si>
  <si>
    <t>26080</t>
  </si>
  <si>
    <t>26083</t>
  </si>
  <si>
    <t>26086</t>
  </si>
  <si>
    <t>26089</t>
  </si>
  <si>
    <t>26092</t>
  </si>
  <si>
    <t>26095</t>
  </si>
  <si>
    <t>26098</t>
  </si>
  <si>
    <t>26101</t>
  </si>
  <si>
    <t>26104</t>
  </si>
  <si>
    <t>26107</t>
  </si>
  <si>
    <t>26110</t>
  </si>
  <si>
    <t>26113</t>
  </si>
  <si>
    <t>26116</t>
  </si>
  <si>
    <t>26119</t>
  </si>
  <si>
    <t>26122</t>
  </si>
  <si>
    <t>26125</t>
  </si>
  <si>
    <t>26128</t>
  </si>
  <si>
    <t>26131</t>
  </si>
  <si>
    <t>26134</t>
  </si>
  <si>
    <t>26137</t>
  </si>
  <si>
    <t>26140</t>
  </si>
  <si>
    <t>26143</t>
  </si>
  <si>
    <t>26146</t>
  </si>
  <si>
    <t>26149</t>
  </si>
  <si>
    <t>26152</t>
  </si>
  <si>
    <t>26155</t>
  </si>
  <si>
    <t>26158</t>
  </si>
  <si>
    <t>26161</t>
  </si>
  <si>
    <t>26164</t>
  </si>
  <si>
    <t>26167</t>
  </si>
  <si>
    <t>26170</t>
  </si>
  <si>
    <t>26173</t>
  </si>
  <si>
    <t>26176</t>
  </si>
  <si>
    <t>26179</t>
  </si>
  <si>
    <t>26182</t>
  </si>
  <si>
    <t>26185</t>
  </si>
  <si>
    <t>26188</t>
  </si>
  <si>
    <t>26191</t>
  </si>
  <si>
    <t>26194</t>
  </si>
  <si>
    <t>26197</t>
  </si>
  <si>
    <t>26200</t>
  </si>
  <si>
    <t>26203</t>
  </si>
  <si>
    <t>26206</t>
  </si>
  <si>
    <t>26209</t>
  </si>
  <si>
    <t>26212</t>
  </si>
  <si>
    <t>26215</t>
  </si>
  <si>
    <t>26218</t>
  </si>
  <si>
    <t>26221</t>
  </si>
  <si>
    <t>26224</t>
  </si>
  <si>
    <t>26227</t>
  </si>
  <si>
    <t>26230</t>
  </si>
  <si>
    <t>26233</t>
  </si>
  <si>
    <t>26236</t>
  </si>
  <si>
    <t>26239</t>
  </si>
  <si>
    <t>26242</t>
  </si>
  <si>
    <t>26245</t>
  </si>
  <si>
    <t>26248</t>
  </si>
  <si>
    <t>26251</t>
  </si>
  <si>
    <t>26254</t>
  </si>
  <si>
    <t>26257</t>
  </si>
  <si>
    <t>26260</t>
  </si>
  <si>
    <t>26263</t>
  </si>
  <si>
    <t>26266</t>
  </si>
  <si>
    <t>26269</t>
  </si>
  <si>
    <t>26272</t>
  </si>
  <si>
    <t>26275</t>
  </si>
  <si>
    <t>26278</t>
  </si>
  <si>
    <t>26281</t>
  </si>
  <si>
    <t>26284</t>
  </si>
  <si>
    <t>26287</t>
  </si>
  <si>
    <t>26290</t>
  </si>
  <si>
    <t>26293</t>
  </si>
  <si>
    <t>26296</t>
  </si>
  <si>
    <t>26299</t>
  </si>
  <si>
    <t>26302</t>
  </si>
  <si>
    <t>26305</t>
  </si>
  <si>
    <t>26308</t>
  </si>
  <si>
    <t>26311</t>
  </si>
  <si>
    <t>26314</t>
  </si>
  <si>
    <t>26317</t>
  </si>
  <si>
    <t>26320</t>
  </si>
  <si>
    <t>26323</t>
  </si>
  <si>
    <t>26326</t>
  </si>
  <si>
    <t>26329</t>
  </si>
  <si>
    <t>26332</t>
  </si>
  <si>
    <t>26335</t>
  </si>
  <si>
    <t>26338</t>
  </si>
  <si>
    <t>26341</t>
  </si>
  <si>
    <t>26344</t>
  </si>
  <si>
    <t>26347</t>
  </si>
  <si>
    <t>26350</t>
  </si>
  <si>
    <t>26353</t>
  </si>
  <si>
    <t>26356</t>
  </si>
  <si>
    <t>26359</t>
  </si>
  <si>
    <t>26362</t>
  </si>
  <si>
    <t>26365</t>
  </si>
  <si>
    <t>26368</t>
  </si>
  <si>
    <t>26383</t>
  </si>
  <si>
    <t>26386</t>
  </si>
  <si>
    <t>26389</t>
  </si>
  <si>
    <t>26392</t>
  </si>
  <si>
    <t>26395</t>
  </si>
  <si>
    <t>26398</t>
  </si>
  <si>
    <t>26401</t>
  </si>
  <si>
    <t>26404</t>
  </si>
  <si>
    <t>26410</t>
  </si>
  <si>
    <t>26413</t>
  </si>
  <si>
    <t>26416</t>
  </si>
  <si>
    <t>26419</t>
  </si>
  <si>
    <t>26422</t>
  </si>
  <si>
    <t>26425</t>
  </si>
  <si>
    <t>26428</t>
  </si>
  <si>
    <t>26431</t>
  </si>
  <si>
    <t>26434</t>
  </si>
  <si>
    <t>26437</t>
  </si>
  <si>
    <t>26440</t>
  </si>
  <si>
    <t>26443</t>
  </si>
  <si>
    <t>26446</t>
  </si>
  <si>
    <t>26449</t>
  </si>
  <si>
    <t>26452</t>
  </si>
  <si>
    <t>26455</t>
  </si>
  <si>
    <t>26458</t>
  </si>
  <si>
    <t>26461</t>
  </si>
  <si>
    <t>26464</t>
  </si>
  <si>
    <t>26467</t>
  </si>
  <si>
    <t>26470</t>
  </si>
  <si>
    <t>26473</t>
  </si>
  <si>
    <t>26476</t>
  </si>
  <si>
    <t>26479</t>
  </si>
  <si>
    <t>26482</t>
  </si>
  <si>
    <t>26485</t>
  </si>
  <si>
    <t>26488</t>
  </si>
  <si>
    <t>26491</t>
  </si>
  <si>
    <t>26494</t>
  </si>
  <si>
    <t>26497</t>
  </si>
  <si>
    <t>26500</t>
  </si>
  <si>
    <t>26503</t>
  </si>
  <si>
    <t>26506</t>
  </si>
  <si>
    <t>26508</t>
  </si>
  <si>
    <t>26509</t>
  </si>
  <si>
    <t>26512</t>
  </si>
  <si>
    <t>26515</t>
  </si>
  <si>
    <t>26518</t>
  </si>
  <si>
    <t>26521</t>
  </si>
  <si>
    <t>26524</t>
  </si>
  <si>
    <t>26526</t>
  </si>
  <si>
    <t>26527</t>
  </si>
  <si>
    <t>26530</t>
  </si>
  <si>
    <t>26533</t>
  </si>
  <si>
    <t>26535</t>
  </si>
  <si>
    <t>26536</t>
  </si>
  <si>
    <t>26539</t>
  </si>
  <si>
    <t>26542</t>
  </si>
  <si>
    <t>26545</t>
  </si>
  <si>
    <t>26548</t>
  </si>
  <si>
    <t>26551</t>
  </si>
  <si>
    <t>26554</t>
  </si>
  <si>
    <t>26557</t>
  </si>
  <si>
    <t>26558</t>
  </si>
  <si>
    <t>26560</t>
  </si>
  <si>
    <t>26563</t>
  </si>
  <si>
    <t>26566</t>
  </si>
  <si>
    <t>26567</t>
  </si>
  <si>
    <t>26569</t>
  </si>
  <si>
    <t>26572</t>
  </si>
  <si>
    <t>26574</t>
  </si>
  <si>
    <t>26575</t>
  </si>
  <si>
    <t>26578</t>
  </si>
  <si>
    <t>26581</t>
  </si>
  <si>
    <t>26584</t>
  </si>
  <si>
    <t>26587</t>
  </si>
  <si>
    <t>26590</t>
  </si>
  <si>
    <t>26593</t>
  </si>
  <si>
    <t>26596</t>
  </si>
  <si>
    <t>26599</t>
  </si>
  <si>
    <t>26602</t>
  </si>
  <si>
    <t>26605</t>
  </si>
  <si>
    <t>26608</t>
  </si>
  <si>
    <t>26611</t>
  </si>
  <si>
    <t>26614</t>
  </si>
  <si>
    <t>26617</t>
  </si>
  <si>
    <t>26620</t>
  </si>
  <si>
    <t>26623</t>
  </si>
  <si>
    <t>26626</t>
  </si>
  <si>
    <t>26629</t>
  </si>
  <si>
    <t>26632</t>
  </si>
  <si>
    <t>26635</t>
  </si>
  <si>
    <t>26638</t>
  </si>
  <si>
    <t>26641</t>
  </si>
  <si>
    <t>26644</t>
  </si>
  <si>
    <t>26647</t>
  </si>
  <si>
    <t>26650</t>
  </si>
  <si>
    <t>26653</t>
  </si>
  <si>
    <t>26656</t>
  </si>
  <si>
    <t>26659</t>
  </si>
  <si>
    <t>26662</t>
  </si>
  <si>
    <t>26665</t>
  </si>
  <si>
    <t>26668</t>
  </si>
  <si>
    <t>26671</t>
  </si>
  <si>
    <t>26674</t>
  </si>
  <si>
    <t>26677</t>
  </si>
  <si>
    <t>26680</t>
  </si>
  <si>
    <t>26683</t>
  </si>
  <si>
    <t>26686</t>
  </si>
  <si>
    <t>26689</t>
  </si>
  <si>
    <t>26692</t>
  </si>
  <si>
    <t>26695</t>
  </si>
  <si>
    <t>26698</t>
  </si>
  <si>
    <t>26701</t>
  </si>
  <si>
    <t>26704</t>
  </si>
  <si>
    <t>26707</t>
  </si>
  <si>
    <t>26710</t>
  </si>
  <si>
    <t>26713</t>
  </si>
  <si>
    <t>26716</t>
  </si>
  <si>
    <t>26719</t>
  </si>
  <si>
    <t>26722</t>
  </si>
  <si>
    <t>26725</t>
  </si>
  <si>
    <t>26728</t>
  </si>
  <si>
    <t>26731</t>
  </si>
  <si>
    <t>26734</t>
  </si>
  <si>
    <t>26737</t>
  </si>
  <si>
    <t>26740</t>
  </si>
  <si>
    <t>26743</t>
  </si>
  <si>
    <t>26746</t>
  </si>
  <si>
    <t>26749</t>
  </si>
  <si>
    <t>26752</t>
  </si>
  <si>
    <t>26755</t>
  </si>
  <si>
    <t>26758</t>
  </si>
  <si>
    <t>26761</t>
  </si>
  <si>
    <t>26764</t>
  </si>
  <si>
    <t>26767</t>
  </si>
  <si>
    <t>26770</t>
  </si>
  <si>
    <t>26773</t>
  </si>
  <si>
    <t>26776</t>
  </si>
  <si>
    <t>26779</t>
  </si>
  <si>
    <t>26782</t>
  </si>
  <si>
    <t>26785</t>
  </si>
  <si>
    <t>26787</t>
  </si>
  <si>
    <t>26788</t>
  </si>
  <si>
    <t>26791</t>
  </si>
  <si>
    <t>26869</t>
  </si>
  <si>
    <t>26872</t>
  </si>
  <si>
    <t>26875</t>
  </si>
  <si>
    <t>26876</t>
  </si>
  <si>
    <t>26878</t>
  </si>
  <si>
    <t>26881</t>
  </si>
  <si>
    <t>26882</t>
  </si>
  <si>
    <t>26884</t>
  </si>
  <si>
    <t>26887</t>
  </si>
  <si>
    <t>26890</t>
  </si>
  <si>
    <t>26893</t>
  </si>
  <si>
    <t>26896</t>
  </si>
  <si>
    <t>26897</t>
  </si>
  <si>
    <t>26898</t>
  </si>
  <si>
    <t>26899</t>
  </si>
  <si>
    <t>26902</t>
  </si>
  <si>
    <t>26905</t>
  </si>
  <si>
    <t>26908</t>
  </si>
  <si>
    <t>26911</t>
  </si>
  <si>
    <t>26914</t>
  </si>
  <si>
    <t>26917</t>
  </si>
  <si>
    <t>26920</t>
  </si>
  <si>
    <t>26923</t>
  </si>
  <si>
    <t>26926</t>
  </si>
  <si>
    <t>26929</t>
  </si>
  <si>
    <t>26932</t>
  </si>
  <si>
    <t>26935</t>
  </si>
  <si>
    <t>26938</t>
  </si>
  <si>
    <t>26941</t>
  </si>
  <si>
    <t>26944</t>
  </si>
  <si>
    <t>26947</t>
  </si>
  <si>
    <t>26950</t>
  </si>
  <si>
    <t>26953</t>
  </si>
  <si>
    <t>26956</t>
  </si>
  <si>
    <t>26959</t>
  </si>
  <si>
    <t>26962</t>
  </si>
  <si>
    <t>26965</t>
  </si>
  <si>
    <t>26968</t>
  </si>
  <si>
    <t>26971</t>
  </si>
  <si>
    <t>26974</t>
  </si>
  <si>
    <t>26977</t>
  </si>
  <si>
    <t>26980</t>
  </si>
  <si>
    <t>26983</t>
  </si>
  <si>
    <t>26986</t>
  </si>
  <si>
    <t>26989</t>
  </si>
  <si>
    <t>26992</t>
  </si>
  <si>
    <t>26995</t>
  </si>
  <si>
    <t>26998</t>
  </si>
  <si>
    <t>27001</t>
  </si>
  <si>
    <t>27004</t>
  </si>
  <si>
    <t>27007</t>
  </si>
  <si>
    <t>27010</t>
  </si>
  <si>
    <t>27013</t>
  </si>
  <si>
    <t>27016</t>
  </si>
  <si>
    <t>27019</t>
  </si>
  <si>
    <t>27022</t>
  </si>
  <si>
    <t>27025</t>
  </si>
  <si>
    <t>27028</t>
  </si>
  <si>
    <t>27031</t>
  </si>
  <si>
    <t>27034</t>
  </si>
  <si>
    <t>27037</t>
  </si>
  <si>
    <t>27040</t>
  </si>
  <si>
    <t>27043</t>
  </si>
  <si>
    <t>27046</t>
  </si>
  <si>
    <t>27049</t>
  </si>
  <si>
    <t>27052</t>
  </si>
  <si>
    <t>27055</t>
  </si>
  <si>
    <t>27058</t>
  </si>
  <si>
    <t>27061</t>
  </si>
  <si>
    <t>27064</t>
  </si>
  <si>
    <t>27067</t>
  </si>
  <si>
    <t>27070</t>
  </si>
  <si>
    <t>27073</t>
  </si>
  <si>
    <t>27076</t>
  </si>
  <si>
    <t>27085</t>
  </si>
  <si>
    <t>26794</t>
  </si>
  <si>
    <t>26797</t>
  </si>
  <si>
    <t>26800</t>
  </si>
  <si>
    <t>26803</t>
  </si>
  <si>
    <t>26806</t>
  </si>
  <si>
    <t>26809</t>
  </si>
  <si>
    <t>26812</t>
  </si>
  <si>
    <t>26815</t>
  </si>
  <si>
    <t>26818</t>
  </si>
  <si>
    <t>26821</t>
  </si>
  <si>
    <t>26824</t>
  </si>
  <si>
    <t>26827</t>
  </si>
  <si>
    <t>26830</t>
  </si>
  <si>
    <t>26833</t>
  </si>
  <si>
    <t>26836</t>
  </si>
  <si>
    <t>26839</t>
  </si>
  <si>
    <t>26842</t>
  </si>
  <si>
    <t>26845</t>
  </si>
  <si>
    <t>26848</t>
  </si>
  <si>
    <t>26851</t>
  </si>
  <si>
    <t>26854</t>
  </si>
  <si>
    <t>26857</t>
  </si>
  <si>
    <t>26860</t>
  </si>
  <si>
    <t>26863</t>
  </si>
  <si>
    <t>26866</t>
  </si>
  <si>
    <t>27088</t>
  </si>
  <si>
    <t>27091</t>
  </si>
  <si>
    <t>27094</t>
  </si>
  <si>
    <t>27097</t>
  </si>
  <si>
    <t>27100</t>
  </si>
  <si>
    <t>27109</t>
  </si>
  <si>
    <t>27112</t>
  </si>
  <si>
    <t>27115</t>
  </si>
  <si>
    <t>27118</t>
  </si>
  <si>
    <t>27127</t>
  </si>
  <si>
    <t>27130</t>
  </si>
  <si>
    <t>27133</t>
  </si>
  <si>
    <t>27136</t>
  </si>
  <si>
    <t>27139</t>
  </si>
  <si>
    <t>27142</t>
  </si>
  <si>
    <t>27145</t>
  </si>
  <si>
    <t>27148</t>
  </si>
  <si>
    <t>27151</t>
  </si>
  <si>
    <t>27154</t>
  </si>
  <si>
    <t>27157</t>
  </si>
  <si>
    <t>27160</t>
  </si>
  <si>
    <t>27163</t>
  </si>
  <si>
    <t>27166</t>
  </si>
  <si>
    <t>27169</t>
  </si>
  <si>
    <t>27172</t>
  </si>
  <si>
    <t>27175</t>
  </si>
  <si>
    <t>27178</t>
  </si>
  <si>
    <t>27181</t>
  </si>
  <si>
    <t>27184</t>
  </si>
  <si>
    <t>27187</t>
  </si>
  <si>
    <t>27190</t>
  </si>
  <si>
    <t>27193</t>
  </si>
  <si>
    <t>27196</t>
  </si>
  <si>
    <t>27199</t>
  </si>
  <si>
    <t>27202</t>
  </si>
  <si>
    <t>27208</t>
  </si>
  <si>
    <t>27211</t>
  </si>
  <si>
    <t>27214</t>
  </si>
  <si>
    <t>27217</t>
  </si>
  <si>
    <t>27220</t>
  </si>
  <si>
    <t>27223</t>
  </si>
  <si>
    <t>27226</t>
  </si>
  <si>
    <t>27229</t>
  </si>
  <si>
    <t>27232</t>
  </si>
  <si>
    <t>27235</t>
  </si>
  <si>
    <t>27238</t>
  </si>
  <si>
    <t>27241</t>
  </si>
  <si>
    <t>27244</t>
  </si>
  <si>
    <t>27247</t>
  </si>
  <si>
    <t>27250</t>
  </si>
  <si>
    <t>27253</t>
  </si>
  <si>
    <t>27259</t>
  </si>
  <si>
    <t>27262</t>
  </si>
  <si>
    <t>27265</t>
  </si>
  <si>
    <t>27268</t>
  </si>
  <si>
    <t>27271</t>
  </si>
  <si>
    <t>27277</t>
  </si>
  <si>
    <t>27280</t>
  </si>
  <si>
    <t>27283</t>
  </si>
  <si>
    <t>27286</t>
  </si>
  <si>
    <t>27289</t>
  </si>
  <si>
    <t>27292</t>
  </si>
  <si>
    <t>27295</t>
  </si>
  <si>
    <t>27298</t>
  </si>
  <si>
    <t>27301</t>
  </si>
  <si>
    <t>27304</t>
  </si>
  <si>
    <t>27307</t>
  </si>
  <si>
    <t>27310</t>
  </si>
  <si>
    <t>27313</t>
  </si>
  <si>
    <t>27316</t>
  </si>
  <si>
    <t>27322</t>
  </si>
  <si>
    <t>27325</t>
  </si>
  <si>
    <t>27328</t>
  </si>
  <si>
    <t>27331</t>
  </si>
  <si>
    <t>27334</t>
  </si>
  <si>
    <t>27337</t>
  </si>
  <si>
    <t>27340</t>
  </si>
  <si>
    <t>27343</t>
  </si>
  <si>
    <t>27346</t>
  </si>
  <si>
    <t>27349</t>
  </si>
  <si>
    <t>27352</t>
  </si>
  <si>
    <t>27355</t>
  </si>
  <si>
    <t>27358</t>
  </si>
  <si>
    <t>27361</t>
  </si>
  <si>
    <t>27364</t>
  </si>
  <si>
    <t>27367</t>
  </si>
  <si>
    <t>27370</t>
  </si>
  <si>
    <t>27373</t>
  </si>
  <si>
    <t>27376</t>
  </si>
  <si>
    <t>27379</t>
  </si>
  <si>
    <t>27382</t>
  </si>
  <si>
    <t>27385</t>
  </si>
  <si>
    <t>27388</t>
  </si>
  <si>
    <t>27391</t>
  </si>
  <si>
    <t>27394</t>
  </si>
  <si>
    <t>27397</t>
  </si>
  <si>
    <t>27400</t>
  </si>
  <si>
    <t>27403</t>
  </si>
  <si>
    <t>27406</t>
  </si>
  <si>
    <t>27409</t>
  </si>
  <si>
    <t>27412</t>
  </si>
  <si>
    <t>27415</t>
  </si>
  <si>
    <t>27418</t>
  </si>
  <si>
    <t>27421</t>
  </si>
  <si>
    <t>27424</t>
  </si>
  <si>
    <t>27427</t>
  </si>
  <si>
    <t>27430</t>
  </si>
  <si>
    <t>27433</t>
  </si>
  <si>
    <t>27436</t>
  </si>
  <si>
    <t>27439</t>
  </si>
  <si>
    <t>27442</t>
  </si>
  <si>
    <t>27445</t>
  </si>
  <si>
    <t>27448</t>
  </si>
  <si>
    <t>27451</t>
  </si>
  <si>
    <t>27454</t>
  </si>
  <si>
    <t>27457</t>
  </si>
  <si>
    <t>27460</t>
  </si>
  <si>
    <t>27463</t>
  </si>
  <si>
    <t>27466</t>
  </si>
  <si>
    <t>27469</t>
  </si>
  <si>
    <t>27472</t>
  </si>
  <si>
    <t>27475</t>
  </si>
  <si>
    <t>27478</t>
  </si>
  <si>
    <t>27481</t>
  </si>
  <si>
    <t>27484</t>
  </si>
  <si>
    <t>27487</t>
  </si>
  <si>
    <t>27490</t>
  </si>
  <si>
    <t>27493</t>
  </si>
  <si>
    <t>27496</t>
  </si>
  <si>
    <t>27499</t>
  </si>
  <si>
    <t>27502</t>
  </si>
  <si>
    <t>27505</t>
  </si>
  <si>
    <t>27508</t>
  </si>
  <si>
    <t>27511</t>
  </si>
  <si>
    <t>27514</t>
  </si>
  <si>
    <t>27517</t>
  </si>
  <si>
    <t>27520</t>
  </si>
  <si>
    <t>27523</t>
  </si>
  <si>
    <t>27526</t>
  </si>
  <si>
    <t>27529</t>
  </si>
  <si>
    <t>27532</t>
  </si>
  <si>
    <t>27535</t>
  </si>
  <si>
    <t>27538</t>
  </si>
  <si>
    <t>27541</t>
  </si>
  <si>
    <t>27544</t>
  </si>
  <si>
    <t>27547</t>
  </si>
  <si>
    <t>27550</t>
  </si>
  <si>
    <t>27553</t>
  </si>
  <si>
    <t>27556</t>
  </si>
  <si>
    <t>27559</t>
  </si>
  <si>
    <t>27562</t>
  </si>
  <si>
    <t>27565</t>
  </si>
  <si>
    <t>27568</t>
  </si>
  <si>
    <t>27571</t>
  </si>
  <si>
    <t>27574</t>
  </si>
  <si>
    <t>27577</t>
  </si>
  <si>
    <t>27580</t>
  </si>
  <si>
    <t>27583</t>
  </si>
  <si>
    <t>27586</t>
  </si>
  <si>
    <t>27589</t>
  </si>
  <si>
    <t>27592</t>
  </si>
  <si>
    <t>27595</t>
  </si>
  <si>
    <t>27598</t>
  </si>
  <si>
    <t>27601</t>
  </si>
  <si>
    <t>27604</t>
  </si>
  <si>
    <t>27607</t>
  </si>
  <si>
    <t>27610</t>
  </si>
  <si>
    <t>27613</t>
  </si>
  <si>
    <t>27616</t>
  </si>
  <si>
    <t>27619</t>
  </si>
  <si>
    <t>27622</t>
  </si>
  <si>
    <t>27625</t>
  </si>
  <si>
    <t>27628</t>
  </si>
  <si>
    <t>27631</t>
  </si>
  <si>
    <t>27634</t>
  </si>
  <si>
    <t>27637</t>
  </si>
  <si>
    <t>27640</t>
  </si>
  <si>
    <t>27643</t>
  </si>
  <si>
    <t>27646</t>
  </si>
  <si>
    <t>27649</t>
  </si>
  <si>
    <t>27652</t>
  </si>
  <si>
    <t>27655</t>
  </si>
  <si>
    <t>27658</t>
  </si>
  <si>
    <t>27661</t>
  </si>
  <si>
    <t>27664</t>
  </si>
  <si>
    <t>27667</t>
  </si>
  <si>
    <t>27670</t>
  </si>
  <si>
    <t>27673</t>
  </si>
  <si>
    <t>27676</t>
  </si>
  <si>
    <t>27679</t>
  </si>
  <si>
    <t>27682</t>
  </si>
  <si>
    <t>27685</t>
  </si>
  <si>
    <t>27688</t>
  </si>
  <si>
    <t>27691</t>
  </si>
  <si>
    <t>27692</t>
  </si>
  <si>
    <t>27694</t>
  </si>
  <si>
    <t>27697</t>
  </si>
  <si>
    <t>27698</t>
  </si>
  <si>
    <t>27700</t>
  </si>
  <si>
    <t>27703</t>
  </si>
  <si>
    <t>27706</t>
  </si>
  <si>
    <t>27709</t>
  </si>
  <si>
    <t>27712</t>
  </si>
  <si>
    <t>27715</t>
  </si>
  <si>
    <t>27718</t>
  </si>
  <si>
    <t>27787</t>
  </si>
  <si>
    <t>27788</t>
  </si>
  <si>
    <t>27790</t>
  </si>
  <si>
    <t>27793</t>
  </si>
  <si>
    <t>27799</t>
  </si>
  <si>
    <t>27805</t>
  </si>
  <si>
    <t>27806</t>
  </si>
  <si>
    <t>27817</t>
  </si>
  <si>
    <t>27721</t>
  </si>
  <si>
    <t>27724</t>
  </si>
  <si>
    <t>27727</t>
  </si>
  <si>
    <t>27730</t>
  </si>
  <si>
    <t>27733</t>
  </si>
  <si>
    <t>27736</t>
  </si>
  <si>
    <t>27739</t>
  </si>
  <si>
    <t>27742</t>
  </si>
  <si>
    <t>27745</t>
  </si>
  <si>
    <t>27748</t>
  </si>
  <si>
    <t>27751</t>
  </si>
  <si>
    <t>27754</t>
  </si>
  <si>
    <t>27757</t>
  </si>
  <si>
    <t>27760</t>
  </si>
  <si>
    <t>27763</t>
  </si>
  <si>
    <t>27766</t>
  </si>
  <si>
    <t>27769</t>
  </si>
  <si>
    <t>27772</t>
  </si>
  <si>
    <t>27775</t>
  </si>
  <si>
    <t>27778</t>
  </si>
  <si>
    <t>27781</t>
  </si>
  <si>
    <t>27784</t>
  </si>
  <si>
    <t>27796</t>
  </si>
  <si>
    <t>27802</t>
  </si>
  <si>
    <t>27808</t>
  </si>
  <si>
    <t>27811</t>
  </si>
  <si>
    <t>27814</t>
  </si>
  <si>
    <t>27820</t>
  </si>
  <si>
    <t>27823</t>
  </si>
  <si>
    <t>27826</t>
  </si>
  <si>
    <t>27829</t>
  </si>
  <si>
    <t>27832</t>
  </si>
  <si>
    <t>27835</t>
  </si>
  <si>
    <t>27838</t>
  </si>
  <si>
    <t>27841</t>
  </si>
  <si>
    <t>27844</t>
  </si>
  <si>
    <t>27847</t>
  </si>
  <si>
    <t>27850</t>
  </si>
  <si>
    <t>27853</t>
  </si>
  <si>
    <t>27856</t>
  </si>
  <si>
    <t>27859</t>
  </si>
  <si>
    <t>27862</t>
  </si>
  <si>
    <t>27865</t>
  </si>
  <si>
    <t>27868</t>
  </si>
  <si>
    <t>27871</t>
  </si>
  <si>
    <t>27874</t>
  </si>
  <si>
    <t>27877</t>
  </si>
  <si>
    <t>27880</t>
  </si>
  <si>
    <t>27883</t>
  </si>
  <si>
    <t>27886</t>
  </si>
  <si>
    <t>27889</t>
  </si>
  <si>
    <t>27892</t>
  </si>
  <si>
    <t>27895</t>
  </si>
  <si>
    <t>27898</t>
  </si>
  <si>
    <t>27901</t>
  </si>
  <si>
    <t>27904</t>
  </si>
  <si>
    <t>27907</t>
  </si>
  <si>
    <t>27910</t>
  </si>
  <si>
    <t>27913</t>
  </si>
  <si>
    <t>27916</t>
  </si>
  <si>
    <t>27919</t>
  </si>
  <si>
    <t>27922</t>
  </si>
  <si>
    <t>27925</t>
  </si>
  <si>
    <t>27928</t>
  </si>
  <si>
    <t>27931</t>
  </si>
  <si>
    <t>27934</t>
  </si>
  <si>
    <t>27937</t>
  </si>
  <si>
    <t>27940</t>
  </si>
  <si>
    <t>27943</t>
  </si>
  <si>
    <t>27946</t>
  </si>
  <si>
    <t>27949</t>
  </si>
  <si>
    <t>27952</t>
  </si>
  <si>
    <t>27955</t>
  </si>
  <si>
    <t>27958</t>
  </si>
  <si>
    <t>27961</t>
  </si>
  <si>
    <t>27964</t>
  </si>
  <si>
    <t>27967</t>
  </si>
  <si>
    <t>27970</t>
  </si>
  <si>
    <t>27973</t>
  </si>
  <si>
    <t>27976</t>
  </si>
  <si>
    <t>27979</t>
  </si>
  <si>
    <t>27982</t>
  </si>
  <si>
    <t>27985</t>
  </si>
  <si>
    <t>27988</t>
  </si>
  <si>
    <t>27991</t>
  </si>
  <si>
    <t>27994</t>
  </si>
  <si>
    <t>27997</t>
  </si>
  <si>
    <t>28000</t>
  </si>
  <si>
    <t>28003</t>
  </si>
  <si>
    <t>28006</t>
  </si>
  <si>
    <t>28009</t>
  </si>
  <si>
    <t>28012</t>
  </si>
  <si>
    <t>28015</t>
  </si>
  <si>
    <t>28018</t>
  </si>
  <si>
    <t>28021</t>
  </si>
  <si>
    <t>28024</t>
  </si>
  <si>
    <t>28027</t>
  </si>
  <si>
    <t>28030</t>
  </si>
  <si>
    <t>28033</t>
  </si>
  <si>
    <t>28036</t>
  </si>
  <si>
    <t>28039</t>
  </si>
  <si>
    <t>28042</t>
  </si>
  <si>
    <t>28045</t>
  </si>
  <si>
    <t>28048</t>
  </si>
  <si>
    <t>28051</t>
  </si>
  <si>
    <t>28054</t>
  </si>
  <si>
    <t>28057</t>
  </si>
  <si>
    <t>28060</t>
  </si>
  <si>
    <t>28063</t>
  </si>
  <si>
    <t>28066</t>
  </si>
  <si>
    <t>28072</t>
  </si>
  <si>
    <t>28075</t>
  </si>
  <si>
    <t>28078</t>
  </si>
  <si>
    <t>28084</t>
  </si>
  <si>
    <t>28087</t>
  </si>
  <si>
    <t>28090</t>
  </si>
  <si>
    <t>28093</t>
  </si>
  <si>
    <t>28096</t>
  </si>
  <si>
    <t>28099</t>
  </si>
  <si>
    <t>28102</t>
  </si>
  <si>
    <t>28105</t>
  </si>
  <si>
    <t>28108</t>
  </si>
  <si>
    <t>28111</t>
  </si>
  <si>
    <t>28114</t>
  </si>
  <si>
    <t>28117</t>
  </si>
  <si>
    <t>28120</t>
  </si>
  <si>
    <t>28123</t>
  </si>
  <si>
    <t>28126</t>
  </si>
  <si>
    <t>28129</t>
  </si>
  <si>
    <t>28132</t>
  </si>
  <si>
    <t>28135</t>
  </si>
  <si>
    <t>28138</t>
  </si>
  <si>
    <t>28141</t>
  </si>
  <si>
    <t>28144</t>
  </si>
  <si>
    <t>28147</t>
  </si>
  <si>
    <t>28150</t>
  </si>
  <si>
    <t>28153</t>
  </si>
  <si>
    <t>28156</t>
  </si>
  <si>
    <t>28159</t>
  </si>
  <si>
    <t>28162</t>
  </si>
  <si>
    <t>28165</t>
  </si>
  <si>
    <t>28168</t>
  </si>
  <si>
    <t>28174</t>
  </si>
  <si>
    <t>28177</t>
  </si>
  <si>
    <t>28180</t>
  </si>
  <si>
    <t>28183</t>
  </si>
  <si>
    <t>28189</t>
  </si>
  <si>
    <t>28192</t>
  </si>
  <si>
    <t>28195</t>
  </si>
  <si>
    <t>28198</t>
  </si>
  <si>
    <t>28201</t>
  </si>
  <si>
    <t>28204</t>
  </si>
  <si>
    <t>28207</t>
  </si>
  <si>
    <t>28210</t>
  </si>
  <si>
    <t>28213</t>
  </si>
  <si>
    <t>28216</t>
  </si>
  <si>
    <t>28219</t>
  </si>
  <si>
    <t>28222</t>
  </si>
  <si>
    <t>28225</t>
  </si>
  <si>
    <t>28228</t>
  </si>
  <si>
    <t>28231</t>
  </si>
  <si>
    <t>28234</t>
  </si>
  <si>
    <t>28237</t>
  </si>
  <si>
    <t>28240</t>
  </si>
  <si>
    <t>28243</t>
  </si>
  <si>
    <t>28246</t>
  </si>
  <si>
    <t>28249</t>
  </si>
  <si>
    <t>28252</t>
  </si>
  <si>
    <t>28255</t>
  </si>
  <si>
    <t>28258</t>
  </si>
  <si>
    <t>28261</t>
  </si>
  <si>
    <t>28264</t>
  </si>
  <si>
    <t>28267</t>
  </si>
  <si>
    <t>28270</t>
  </si>
  <si>
    <t>28273</t>
  </si>
  <si>
    <t>28276</t>
  </si>
  <si>
    <t>28279</t>
  </si>
  <si>
    <t>28282</t>
  </si>
  <si>
    <t>28285</t>
  </si>
  <si>
    <t>28288</t>
  </si>
  <si>
    <t>28291</t>
  </si>
  <si>
    <t>28567</t>
  </si>
  <si>
    <t>28591</t>
  </si>
  <si>
    <t>28294</t>
  </si>
  <si>
    <t>28297</t>
  </si>
  <si>
    <t>28300</t>
  </si>
  <si>
    <t>28303</t>
  </si>
  <si>
    <t>28306</t>
  </si>
  <si>
    <t>28309</t>
  </si>
  <si>
    <t>28312</t>
  </si>
  <si>
    <t>28315</t>
  </si>
  <si>
    <t>28318</t>
  </si>
  <si>
    <t>28708</t>
  </si>
  <si>
    <t>28717</t>
  </si>
  <si>
    <t>28729</t>
  </si>
  <si>
    <t>28435</t>
  </si>
  <si>
    <t>28436</t>
  </si>
  <si>
    <t>28437</t>
  </si>
  <si>
    <t>28439</t>
  </si>
  <si>
    <t>28440</t>
  </si>
  <si>
    <t>28447</t>
  </si>
  <si>
    <t>28450</t>
  </si>
  <si>
    <t>28453</t>
  </si>
  <si>
    <t>28459</t>
  </si>
  <si>
    <t>28462</t>
  </si>
  <si>
    <t>28468</t>
  </si>
  <si>
    <t>28474</t>
  </si>
  <si>
    <t>28477</t>
  </si>
  <si>
    <t>28480</t>
  </si>
  <si>
    <t>28483</t>
  </si>
  <si>
    <t>28486</t>
  </si>
  <si>
    <t>28321</t>
  </si>
  <si>
    <t>28324</t>
  </si>
  <si>
    <t>28327</t>
  </si>
  <si>
    <t>28330</t>
  </si>
  <si>
    <t>28333</t>
  </si>
  <si>
    <t>28336</t>
  </si>
  <si>
    <t>28339</t>
  </si>
  <si>
    <t>28342</t>
  </si>
  <si>
    <t>28345</t>
  </si>
  <si>
    <t>28348</t>
  </si>
  <si>
    <t>28354</t>
  </si>
  <si>
    <t>28357</t>
  </si>
  <si>
    <t>28360</t>
  </si>
  <si>
    <t>28363</t>
  </si>
  <si>
    <t>28366</t>
  </si>
  <si>
    <t>28369</t>
  </si>
  <si>
    <t>28372</t>
  </si>
  <si>
    <t>28375</t>
  </si>
  <si>
    <t>28378</t>
  </si>
  <si>
    <t>28381</t>
  </si>
  <si>
    <t>28384</t>
  </si>
  <si>
    <t>28387</t>
  </si>
  <si>
    <t>28390</t>
  </si>
  <si>
    <t>28393</t>
  </si>
  <si>
    <t>28396</t>
  </si>
  <si>
    <t>28399</t>
  </si>
  <si>
    <t>28402</t>
  </si>
  <si>
    <t>28405</t>
  </si>
  <si>
    <t>28408</t>
  </si>
  <si>
    <t>28411</t>
  </si>
  <si>
    <t>28414</t>
  </si>
  <si>
    <t>28417</t>
  </si>
  <si>
    <t>28420</t>
  </si>
  <si>
    <t>28423</t>
  </si>
  <si>
    <t>28426</t>
  </si>
  <si>
    <t>28429</t>
  </si>
  <si>
    <t>28432</t>
  </si>
  <si>
    <t>28438</t>
  </si>
  <si>
    <t>28441</t>
  </si>
  <si>
    <t>28444</t>
  </si>
  <si>
    <t>28456</t>
  </si>
  <si>
    <t>28465</t>
  </si>
  <si>
    <t>28471</t>
  </si>
  <si>
    <t>28489</t>
  </si>
  <si>
    <t>28492</t>
  </si>
  <si>
    <t>28495</t>
  </si>
  <si>
    <t>28498</t>
  </si>
  <si>
    <t>28501</t>
  </si>
  <si>
    <t>28504</t>
  </si>
  <si>
    <t>28507</t>
  </si>
  <si>
    <t>28510</t>
  </si>
  <si>
    <t>28513</t>
  </si>
  <si>
    <t>28516</t>
  </si>
  <si>
    <t>28519</t>
  </si>
  <si>
    <t>28522</t>
  </si>
  <si>
    <t>28525</t>
  </si>
  <si>
    <t>28528</t>
  </si>
  <si>
    <t>28531</t>
  </si>
  <si>
    <t>28534</t>
  </si>
  <si>
    <t>28537</t>
  </si>
  <si>
    <t>28540</t>
  </si>
  <si>
    <t>28543</t>
  </si>
  <si>
    <t>28546</t>
  </si>
  <si>
    <t>28549</t>
  </si>
  <si>
    <t>28552</t>
  </si>
  <si>
    <t>28555</t>
  </si>
  <si>
    <t>28558</t>
  </si>
  <si>
    <t>28561</t>
  </si>
  <si>
    <t>28564</t>
  </si>
  <si>
    <t>28570</t>
  </si>
  <si>
    <t>28573</t>
  </si>
  <si>
    <t>28576</t>
  </si>
  <si>
    <t>28579</t>
  </si>
  <si>
    <t>28582</t>
  </si>
  <si>
    <t>28585</t>
  </si>
  <si>
    <t>28588</t>
  </si>
  <si>
    <t>28594</t>
  </si>
  <si>
    <t>28597</t>
  </si>
  <si>
    <t>28600</t>
  </si>
  <si>
    <t>28603</t>
  </si>
  <si>
    <t>28606</t>
  </si>
  <si>
    <t>28609</t>
  </si>
  <si>
    <t>28612</t>
  </si>
  <si>
    <t>28615</t>
  </si>
  <si>
    <t>28618</t>
  </si>
  <si>
    <t>28621</t>
  </si>
  <si>
    <t>28624</t>
  </si>
  <si>
    <t>28627</t>
  </si>
  <si>
    <t>28630</t>
  </si>
  <si>
    <t>28633</t>
  </si>
  <si>
    <t>28636</t>
  </si>
  <si>
    <t>28639</t>
  </si>
  <si>
    <t>28642</t>
  </si>
  <si>
    <t>28645</t>
  </si>
  <si>
    <t>28648</t>
  </si>
  <si>
    <t>28651</t>
  </si>
  <si>
    <t>28654</t>
  </si>
  <si>
    <t>28657</t>
  </si>
  <si>
    <t>28660</t>
  </si>
  <si>
    <t>28663</t>
  </si>
  <si>
    <t>28666</t>
  </si>
  <si>
    <t>28669</t>
  </si>
  <si>
    <t>28672</t>
  </si>
  <si>
    <t>28675</t>
  </si>
  <si>
    <t>28678</t>
  </si>
  <si>
    <t>28681</t>
  </si>
  <si>
    <t>28684</t>
  </si>
  <si>
    <t>28687</t>
  </si>
  <si>
    <t>28702</t>
  </si>
  <si>
    <t>28705</t>
  </si>
  <si>
    <t>28711</t>
  </si>
  <si>
    <t>28714</t>
  </si>
  <si>
    <t>28720</t>
  </si>
  <si>
    <t>28723</t>
  </si>
  <si>
    <t>28726</t>
  </si>
  <si>
    <t>28732</t>
  </si>
  <si>
    <t>28735</t>
  </si>
  <si>
    <t>28738</t>
  </si>
  <si>
    <t>28741</t>
  </si>
  <si>
    <t>28744</t>
  </si>
  <si>
    <t>28747</t>
  </si>
  <si>
    <t>28690</t>
  </si>
  <si>
    <t>28693</t>
  </si>
  <si>
    <t>28696</t>
  </si>
  <si>
    <t>28699</t>
  </si>
  <si>
    <t>28750</t>
  </si>
  <si>
    <t>28753</t>
  </si>
  <si>
    <t>28756</t>
  </si>
  <si>
    <t>28757</t>
  </si>
  <si>
    <t>28759</t>
  </si>
  <si>
    <t>28762</t>
  </si>
  <si>
    <t>28765</t>
  </si>
  <si>
    <t>28768</t>
  </si>
  <si>
    <t>28777</t>
  </si>
  <si>
    <t>28780</t>
  </si>
  <si>
    <t>28783</t>
  </si>
  <si>
    <t>28786</t>
  </si>
  <si>
    <t>28789</t>
  </si>
  <si>
    <t>28792</t>
  </si>
  <si>
    <t>28795</t>
  </si>
  <si>
    <t>28798</t>
  </si>
  <si>
    <t>28801</t>
  </si>
  <si>
    <t>28804</t>
  </si>
  <si>
    <t>28807</t>
  </si>
  <si>
    <t>28810</t>
  </si>
  <si>
    <t>28813</t>
  </si>
  <si>
    <t>28819</t>
  </si>
  <si>
    <t>28822</t>
  </si>
  <si>
    <t>28825</t>
  </si>
  <si>
    <t>28828</t>
  </si>
  <si>
    <t>28831</t>
  </si>
  <si>
    <t>28834</t>
  </si>
  <si>
    <t>28837</t>
  </si>
  <si>
    <t>28840</t>
  </si>
  <si>
    <t>28843</t>
  </si>
  <si>
    <t>28846</t>
  </si>
  <si>
    <t>28849</t>
  </si>
  <si>
    <t>28852</t>
  </si>
  <si>
    <t>28855</t>
  </si>
  <si>
    <t>28858</t>
  </si>
  <si>
    <t>28861</t>
  </si>
  <si>
    <t>28864</t>
  </si>
  <si>
    <t>28870</t>
  </si>
  <si>
    <t>28873</t>
  </si>
  <si>
    <t>28876</t>
  </si>
  <si>
    <t>28879</t>
  </si>
  <si>
    <t>28882</t>
  </si>
  <si>
    <t>28885</t>
  </si>
  <si>
    <t>28888</t>
  </si>
  <si>
    <t>28891</t>
  </si>
  <si>
    <t>28894</t>
  </si>
  <si>
    <t>28897</t>
  </si>
  <si>
    <t>28900</t>
  </si>
  <si>
    <t>28903</t>
  </si>
  <si>
    <t>28930</t>
  </si>
  <si>
    <t>28939</t>
  </si>
  <si>
    <t>28940</t>
  </si>
  <si>
    <t>28942</t>
  </si>
  <si>
    <t>28945</t>
  </si>
  <si>
    <t>28951</t>
  </si>
  <si>
    <t>28957</t>
  </si>
  <si>
    <t>28960</t>
  </si>
  <si>
    <t>28963</t>
  </si>
  <si>
    <t>28966</t>
  </si>
  <si>
    <t>28969</t>
  </si>
  <si>
    <t>28972</t>
  </si>
  <si>
    <t>28975</t>
  </si>
  <si>
    <t>28978</t>
  </si>
  <si>
    <t>28981</t>
  </si>
  <si>
    <t>28984</t>
  </si>
  <si>
    <t>28987</t>
  </si>
  <si>
    <t>28993</t>
  </si>
  <si>
    <t>28996</t>
  </si>
  <si>
    <t>28999</t>
  </si>
  <si>
    <t>29002</t>
  </si>
  <si>
    <t>29005</t>
  </si>
  <si>
    <t>29008</t>
  </si>
  <si>
    <t>29011</t>
  </si>
  <si>
    <t>29014</t>
  </si>
  <si>
    <t>29017</t>
  </si>
  <si>
    <t>29020</t>
  </si>
  <si>
    <t>29023</t>
  </si>
  <si>
    <t>29026</t>
  </si>
  <si>
    <t>29029</t>
  </si>
  <si>
    <t>29032</t>
  </si>
  <si>
    <t>29035</t>
  </si>
  <si>
    <t>29038</t>
  </si>
  <si>
    <t>29041</t>
  </si>
  <si>
    <t>29044</t>
  </si>
  <si>
    <t>29047</t>
  </si>
  <si>
    <t>29050</t>
  </si>
  <si>
    <t>29053</t>
  </si>
  <si>
    <t>29056</t>
  </si>
  <si>
    <t>29059</t>
  </si>
  <si>
    <t>29062</t>
  </si>
  <si>
    <t>29065</t>
  </si>
  <si>
    <t>29068</t>
  </si>
  <si>
    <t>29071</t>
  </si>
  <si>
    <t>29074</t>
  </si>
  <si>
    <t>29077</t>
  </si>
  <si>
    <t>29080</t>
  </si>
  <si>
    <t>29083</t>
  </si>
  <si>
    <t>29086</t>
  </si>
  <si>
    <t>29089</t>
  </si>
  <si>
    <t>29092</t>
  </si>
  <si>
    <t>29095</t>
  </si>
  <si>
    <t>29098</t>
  </si>
  <si>
    <t>29101</t>
  </si>
  <si>
    <t>29104</t>
  </si>
  <si>
    <t>29107</t>
  </si>
  <si>
    <t>29110</t>
  </si>
  <si>
    <t>29113</t>
  </si>
  <si>
    <t>29116</t>
  </si>
  <si>
    <t>29119</t>
  </si>
  <si>
    <t>29122</t>
  </si>
  <si>
    <t>29125</t>
  </si>
  <si>
    <t>29128</t>
  </si>
  <si>
    <t>29131</t>
  </si>
  <si>
    <t>29134</t>
  </si>
  <si>
    <t>29137</t>
  </si>
  <si>
    <t>29143</t>
  </si>
  <si>
    <t>29146</t>
  </si>
  <si>
    <t>29149</t>
  </si>
  <si>
    <t>29152</t>
  </si>
  <si>
    <t>29155</t>
  </si>
  <si>
    <t>29158</t>
  </si>
  <si>
    <t>29161</t>
  </si>
  <si>
    <t>29164</t>
  </si>
  <si>
    <t>29167</t>
  </si>
  <si>
    <t>29170</t>
  </si>
  <si>
    <t>29173</t>
  </si>
  <si>
    <t>29176</t>
  </si>
  <si>
    <t>29179</t>
  </si>
  <si>
    <t>29182</t>
  </si>
  <si>
    <t>29185</t>
  </si>
  <si>
    <t>29188</t>
  </si>
  <si>
    <t>29191</t>
  </si>
  <si>
    <t>29194</t>
  </si>
  <si>
    <t>29197</t>
  </si>
  <si>
    <t>29200</t>
  </si>
  <si>
    <t>29203</t>
  </si>
  <si>
    <t>29206</t>
  </si>
  <si>
    <t>29209</t>
  </si>
  <si>
    <t>29212</t>
  </si>
  <si>
    <t>29215</t>
  </si>
  <si>
    <t>29218</t>
  </si>
  <si>
    <t>29221</t>
  </si>
  <si>
    <t>29224</t>
  </si>
  <si>
    <t>29227</t>
  </si>
  <si>
    <t>29230</t>
  </si>
  <si>
    <t>29233</t>
  </si>
  <si>
    <t>28889</t>
  </si>
  <si>
    <t>28901</t>
  </si>
  <si>
    <t>28906</t>
  </si>
  <si>
    <t>28909</t>
  </si>
  <si>
    <t>28912</t>
  </si>
  <si>
    <t>28915</t>
  </si>
  <si>
    <t>28918</t>
  </si>
  <si>
    <t>28921</t>
  </si>
  <si>
    <t>28924</t>
  </si>
  <si>
    <t>28927</t>
  </si>
  <si>
    <t>28933</t>
  </si>
  <si>
    <t>28936</t>
  </si>
  <si>
    <t>28948</t>
  </si>
  <si>
    <t>29236</t>
  </si>
  <si>
    <t>29239</t>
  </si>
  <si>
    <t>29242</t>
  </si>
  <si>
    <t>29245</t>
  </si>
  <si>
    <t>29248</t>
  </si>
  <si>
    <t>29251</t>
  </si>
  <si>
    <t>29254</t>
  </si>
  <si>
    <t>29257</t>
  </si>
  <si>
    <t>29260</t>
  </si>
  <si>
    <t>29263</t>
  </si>
  <si>
    <t>29266</t>
  </si>
  <si>
    <t>29269</t>
  </si>
  <si>
    <t>29272</t>
  </si>
  <si>
    <t>29275</t>
  </si>
  <si>
    <t>29278</t>
  </si>
  <si>
    <t>29281</t>
  </si>
  <si>
    <t>29284</t>
  </si>
  <si>
    <t>29287</t>
  </si>
  <si>
    <t>29290</t>
  </si>
  <si>
    <t>29293</t>
  </si>
  <si>
    <t>29296</t>
  </si>
  <si>
    <t>29299</t>
  </si>
  <si>
    <t>29302</t>
  </si>
  <si>
    <t>29305</t>
  </si>
  <si>
    <t>29308</t>
  </si>
  <si>
    <t>29311</t>
  </si>
  <si>
    <t>29314</t>
  </si>
  <si>
    <t>29317</t>
  </si>
  <si>
    <t>29320</t>
  </si>
  <si>
    <t>29323</t>
  </si>
  <si>
    <t>29326</t>
  </si>
  <si>
    <t>29329</t>
  </si>
  <si>
    <t>29332</t>
  </si>
  <si>
    <t>29335</t>
  </si>
  <si>
    <t>29338</t>
  </si>
  <si>
    <t>29341</t>
  </si>
  <si>
    <t>29344</t>
  </si>
  <si>
    <t>29347</t>
  </si>
  <si>
    <t>29350</t>
  </si>
  <si>
    <t>29353</t>
  </si>
  <si>
    <t>29356</t>
  </si>
  <si>
    <t>29359</t>
  </si>
  <si>
    <t>29362</t>
  </si>
  <si>
    <t>29365</t>
  </si>
  <si>
    <t>29368</t>
  </si>
  <si>
    <t>29371</t>
  </si>
  <si>
    <t>29374</t>
  </si>
  <si>
    <t>29377</t>
  </si>
  <si>
    <t>29380</t>
  </si>
  <si>
    <t>29383</t>
  </si>
  <si>
    <t>29386</t>
  </si>
  <si>
    <t>29389</t>
  </si>
  <si>
    <t>29392</t>
  </si>
  <si>
    <t>29395</t>
  </si>
  <si>
    <t>29398</t>
  </si>
  <si>
    <t>29401</t>
  </si>
  <si>
    <t>29404</t>
  </si>
  <si>
    <t>29407</t>
  </si>
  <si>
    <t>29410</t>
  </si>
  <si>
    <t>29413</t>
  </si>
  <si>
    <t>29416</t>
  </si>
  <si>
    <t>29419</t>
  </si>
  <si>
    <t>29422</t>
  </si>
  <si>
    <t>29425</t>
  </si>
  <si>
    <t>29428</t>
  </si>
  <si>
    <t>29431</t>
  </si>
  <si>
    <t>29434</t>
  </si>
  <si>
    <t>29437</t>
  </si>
  <si>
    <t>29440</t>
  </si>
  <si>
    <t>29443</t>
  </si>
  <si>
    <t>29446</t>
  </si>
  <si>
    <t>29449</t>
  </si>
  <si>
    <t>29452</t>
  </si>
  <si>
    <t>29455</t>
  </si>
  <si>
    <t>29458</t>
  </si>
  <si>
    <t>29461</t>
  </si>
  <si>
    <t>29462</t>
  </si>
  <si>
    <t>29464</t>
  </si>
  <si>
    <t>29467</t>
  </si>
  <si>
    <t>29470</t>
  </si>
  <si>
    <t>29473</t>
  </si>
  <si>
    <t>29476</t>
  </si>
  <si>
    <t>29479</t>
  </si>
  <si>
    <t>29482</t>
  </si>
  <si>
    <t>29485</t>
  </si>
  <si>
    <t>29488</t>
  </si>
  <si>
    <t>29489</t>
  </si>
  <si>
    <t>29491</t>
  </si>
  <si>
    <t>29494</t>
  </si>
  <si>
    <t>29503</t>
  </si>
  <si>
    <t>29506</t>
  </si>
  <si>
    <t>29509</t>
  </si>
  <si>
    <t>29497</t>
  </si>
  <si>
    <t>29500</t>
  </si>
  <si>
    <t>29513</t>
  </si>
  <si>
    <t>29521</t>
  </si>
  <si>
    <t>29530</t>
  </si>
  <si>
    <t>29533</t>
  </si>
  <si>
    <t>29536</t>
  </si>
  <si>
    <t>29512</t>
  </si>
  <si>
    <t>29515</t>
  </si>
  <si>
    <t>29516</t>
  </si>
  <si>
    <t>29518</t>
  </si>
  <si>
    <t>29524</t>
  </si>
  <si>
    <t>29527</t>
  </si>
  <si>
    <t>29539</t>
  </si>
  <si>
    <t>29542</t>
  </si>
  <si>
    <t>29545</t>
  </si>
  <si>
    <t>29548</t>
  </si>
  <si>
    <t>29551</t>
  </si>
  <si>
    <t>29554</t>
  </si>
  <si>
    <t>29557</t>
  </si>
  <si>
    <t>29560</t>
  </si>
  <si>
    <t>29563</t>
  </si>
  <si>
    <t>29566</t>
  </si>
  <si>
    <t>29569</t>
  </si>
  <si>
    <t>29572</t>
  </si>
  <si>
    <t>29575</t>
  </si>
  <si>
    <t>29578</t>
  </si>
  <si>
    <t>29581</t>
  </si>
  <si>
    <t>29584</t>
  </si>
  <si>
    <t>29587</t>
  </si>
  <si>
    <t>29590</t>
  </si>
  <si>
    <t>29593</t>
  </si>
  <si>
    <t>29596</t>
  </si>
  <si>
    <t>29599</t>
  </si>
  <si>
    <t>29602</t>
  </si>
  <si>
    <t>29605</t>
  </si>
  <si>
    <t>29608</t>
  </si>
  <si>
    <t>29611</t>
  </si>
  <si>
    <t>29614</t>
  </si>
  <si>
    <t>29617</t>
  </si>
  <si>
    <t>29623</t>
  </si>
  <si>
    <t>29626</t>
  </si>
  <si>
    <t>29629</t>
  </si>
  <si>
    <t>29632</t>
  </si>
  <si>
    <t>29635</t>
  </si>
  <si>
    <t>29638</t>
  </si>
  <si>
    <t>29641</t>
  </si>
  <si>
    <t>29644</t>
  </si>
  <si>
    <t>29647</t>
  </si>
  <si>
    <t>29650</t>
  </si>
  <si>
    <t>29653</t>
  </si>
  <si>
    <t>29656</t>
  </si>
  <si>
    <t>29659</t>
  </si>
  <si>
    <t>29662</t>
  </si>
  <si>
    <t>29665</t>
  </si>
  <si>
    <t>29668</t>
  </si>
  <si>
    <t>29671</t>
  </si>
  <si>
    <t>29674</t>
  </si>
  <si>
    <t>29677</t>
  </si>
  <si>
    <t>29680</t>
  </si>
  <si>
    <t>29683</t>
  </si>
  <si>
    <t>29686</t>
  </si>
  <si>
    <t>29689</t>
  </si>
  <si>
    <t>29692</t>
  </si>
  <si>
    <t>29695</t>
  </si>
  <si>
    <t>29698</t>
  </si>
  <si>
    <t>29701</t>
  </si>
  <si>
    <t>29704</t>
  </si>
  <si>
    <t>29707</t>
  </si>
  <si>
    <t>29710</t>
  </si>
  <si>
    <t>29713</t>
  </si>
  <si>
    <t>29716</t>
  </si>
  <si>
    <t>29719</t>
  </si>
  <si>
    <t>29722</t>
  </si>
  <si>
    <t>29725</t>
  </si>
  <si>
    <t>29728</t>
  </si>
  <si>
    <t>29731</t>
  </si>
  <si>
    <t>29734</t>
  </si>
  <si>
    <t>29737</t>
  </si>
  <si>
    <t>29740</t>
  </si>
  <si>
    <t>29743</t>
  </si>
  <si>
    <t>29746</t>
  </si>
  <si>
    <t>29749</t>
  </si>
  <si>
    <t>29752</t>
  </si>
  <si>
    <t>29755</t>
  </si>
  <si>
    <t>29758</t>
  </si>
  <si>
    <t>29761</t>
  </si>
  <si>
    <t>29764</t>
  </si>
  <si>
    <t>29767</t>
  </si>
  <si>
    <t>29770</t>
  </si>
  <si>
    <t>29771</t>
  </si>
  <si>
    <t>29806</t>
  </si>
  <si>
    <t>29809</t>
  </si>
  <si>
    <t>29812</t>
  </si>
  <si>
    <t>29813</t>
  </si>
  <si>
    <t>29815</t>
  </si>
  <si>
    <t>29818</t>
  </si>
  <si>
    <t>29821</t>
  </si>
  <si>
    <t>29824</t>
  </si>
  <si>
    <t>29827</t>
  </si>
  <si>
    <t>29830</t>
  </si>
  <si>
    <t>29833</t>
  </si>
  <si>
    <t>29836</t>
  </si>
  <si>
    <t>29839</t>
  </si>
  <si>
    <t>29842</t>
  </si>
  <si>
    <t>29845</t>
  </si>
  <si>
    <t>29848</t>
  </si>
  <si>
    <t>29851</t>
  </si>
  <si>
    <t>29854</t>
  </si>
  <si>
    <t>29857</t>
  </si>
  <si>
    <t>29860</t>
  </si>
  <si>
    <t>29773</t>
  </si>
  <si>
    <t>29776</t>
  </si>
  <si>
    <t>29779</t>
  </si>
  <si>
    <t>29782</t>
  </si>
  <si>
    <t>29785</t>
  </si>
  <si>
    <t>29788</t>
  </si>
  <si>
    <t>29791</t>
  </si>
  <si>
    <t>29794</t>
  </si>
  <si>
    <t>29797</t>
  </si>
  <si>
    <t>29800</t>
  </si>
  <si>
    <t>29863</t>
  </si>
  <si>
    <t>29866</t>
  </si>
  <si>
    <t>29869</t>
  </si>
  <si>
    <t>29872</t>
  </si>
  <si>
    <t>29875</t>
  </si>
  <si>
    <t>29878</t>
  </si>
  <si>
    <t>29881</t>
  </si>
  <si>
    <t>29884</t>
  </si>
  <si>
    <t>29887</t>
  </si>
  <si>
    <t>29888</t>
  </si>
  <si>
    <t>29890</t>
  </si>
  <si>
    <t>29892</t>
  </si>
  <si>
    <t>29893</t>
  </si>
  <si>
    <t>29896</t>
  </si>
  <si>
    <t>29899</t>
  </si>
  <si>
    <t>29902</t>
  </si>
  <si>
    <t>29905</t>
  </si>
  <si>
    <t>29908</t>
  </si>
  <si>
    <t>29911</t>
  </si>
  <si>
    <t>29914</t>
  </si>
  <si>
    <t>29917</t>
  </si>
  <si>
    <t>29919</t>
  </si>
  <si>
    <t>29920</t>
  </si>
  <si>
    <t>29923</t>
  </si>
  <si>
    <t>29954</t>
  </si>
  <si>
    <t>29955</t>
  </si>
  <si>
    <t>29959</t>
  </si>
  <si>
    <t>29965</t>
  </si>
  <si>
    <t>29978</t>
  </si>
  <si>
    <t>29986</t>
  </si>
  <si>
    <t>29989</t>
  </si>
  <si>
    <t>29926</t>
  </si>
  <si>
    <t>29929</t>
  </si>
  <si>
    <t>29932</t>
  </si>
  <si>
    <t>29935</t>
  </si>
  <si>
    <t>29938</t>
  </si>
  <si>
    <t>29941</t>
  </si>
  <si>
    <t>29944</t>
  </si>
  <si>
    <t>29947</t>
  </si>
  <si>
    <t>29950</t>
  </si>
  <si>
    <t>29956</t>
  </si>
  <si>
    <t>29962</t>
  </si>
  <si>
    <t>29971</t>
  </si>
  <si>
    <t>29974</t>
  </si>
  <si>
    <t>29977</t>
  </si>
  <si>
    <t>29980</t>
  </si>
  <si>
    <t>29983</t>
  </si>
  <si>
    <t>29992</t>
  </si>
  <si>
    <t>29995</t>
  </si>
  <si>
    <t>29998</t>
  </si>
  <si>
    <t>30001</t>
  </si>
  <si>
    <t>30004</t>
  </si>
  <si>
    <t>30007</t>
  </si>
  <si>
    <t>30010</t>
  </si>
  <si>
    <t>30013</t>
  </si>
  <si>
    <t>30016</t>
  </si>
  <si>
    <t>30019</t>
  </si>
  <si>
    <t>30022</t>
  </si>
  <si>
    <t>30025</t>
  </si>
  <si>
    <t>30028</t>
  </si>
  <si>
    <t>30031</t>
  </si>
  <si>
    <t>30034</t>
  </si>
  <si>
    <t>30037</t>
  </si>
  <si>
    <t>30040</t>
  </si>
  <si>
    <t>30043</t>
  </si>
  <si>
    <t>30046</t>
  </si>
  <si>
    <t>30049</t>
  </si>
  <si>
    <t>30052</t>
  </si>
  <si>
    <t>30055</t>
  </si>
  <si>
    <t>30058</t>
  </si>
  <si>
    <t>30061</t>
  </si>
  <si>
    <t>30064</t>
  </si>
  <si>
    <t>30067</t>
  </si>
  <si>
    <t>30070</t>
  </si>
  <si>
    <t>30073</t>
  </si>
  <si>
    <t>30076</t>
  </si>
  <si>
    <t>30079</t>
  </si>
  <si>
    <t>30082</t>
  </si>
  <si>
    <t>30085</t>
  </si>
  <si>
    <t>30088</t>
  </si>
  <si>
    <t>30091</t>
  </si>
  <si>
    <t>30094</t>
  </si>
  <si>
    <t>30097</t>
  </si>
  <si>
    <t>30100</t>
  </si>
  <si>
    <t>30103</t>
  </si>
  <si>
    <t>30106</t>
  </si>
  <si>
    <t>30109</t>
  </si>
  <si>
    <t>30112</t>
  </si>
  <si>
    <t>30115</t>
  </si>
  <si>
    <t>30118</t>
  </si>
  <si>
    <t>30121</t>
  </si>
  <si>
    <t>30124</t>
  </si>
  <si>
    <t>30127</t>
  </si>
  <si>
    <t>30130</t>
  </si>
  <si>
    <t>30133</t>
  </si>
  <si>
    <t>30136</t>
  </si>
  <si>
    <t>30139</t>
  </si>
  <si>
    <t>30142</t>
  </si>
  <si>
    <t>30145</t>
  </si>
  <si>
    <t>30148</t>
  </si>
  <si>
    <t>30151</t>
  </si>
  <si>
    <t>30154</t>
  </si>
  <si>
    <t>30157</t>
  </si>
  <si>
    <t>30160</t>
  </si>
  <si>
    <t>30163</t>
  </si>
  <si>
    <t>30166</t>
  </si>
  <si>
    <t>30169</t>
  </si>
  <si>
    <t>30172</t>
  </si>
  <si>
    <t>30175</t>
  </si>
  <si>
    <t>30178</t>
  </si>
  <si>
    <t>30181</t>
  </si>
  <si>
    <t>30184</t>
  </si>
  <si>
    <t>30187</t>
  </si>
  <si>
    <t>30190</t>
  </si>
  <si>
    <t>30193</t>
  </si>
  <si>
    <t>30196</t>
  </si>
  <si>
    <t>30199</t>
  </si>
  <si>
    <t>30202</t>
  </si>
  <si>
    <t>30205</t>
  </si>
  <si>
    <t>30208</t>
  </si>
  <si>
    <t>30211</t>
  </si>
  <si>
    <t>30214</t>
  </si>
  <si>
    <t>30217</t>
  </si>
  <si>
    <t>30220</t>
  </si>
  <si>
    <t>30223</t>
  </si>
  <si>
    <t>30226</t>
  </si>
  <si>
    <t>30229</t>
  </si>
  <si>
    <t>30232</t>
  </si>
  <si>
    <t>30235</t>
  </si>
  <si>
    <t>30238</t>
  </si>
  <si>
    <t>30241</t>
  </si>
  <si>
    <t>30244</t>
  </si>
  <si>
    <t>30247</t>
  </si>
  <si>
    <t>30250</t>
  </si>
  <si>
    <t>30253</t>
  </si>
  <si>
    <t>30256</t>
  </si>
  <si>
    <t>30259</t>
  </si>
  <si>
    <t>30262</t>
  </si>
  <si>
    <t>30265</t>
  </si>
  <si>
    <t>30268</t>
  </si>
  <si>
    <t>30271</t>
  </si>
  <si>
    <t>30274</t>
  </si>
  <si>
    <t>30277</t>
  </si>
  <si>
    <t>30280</t>
  </si>
  <si>
    <t>30283</t>
  </si>
  <si>
    <t>30285</t>
  </si>
  <si>
    <t>30286</t>
  </si>
  <si>
    <t>30289</t>
  </si>
  <si>
    <t>30292</t>
  </si>
  <si>
    <t>30295</t>
  </si>
  <si>
    <t>30298</t>
  </si>
  <si>
    <t>30301</t>
  </si>
  <si>
    <t>30304</t>
  </si>
  <si>
    <t>30307</t>
  </si>
  <si>
    <t>30310</t>
  </si>
  <si>
    <t>30313</t>
  </si>
  <si>
    <t>30316</t>
  </si>
  <si>
    <t>30319</t>
  </si>
  <si>
    <t>30322</t>
  </si>
  <si>
    <t>30325</t>
  </si>
  <si>
    <t>30328</t>
  </si>
  <si>
    <t>30331</t>
  </si>
  <si>
    <t>30334</t>
  </si>
  <si>
    <t>30337</t>
  </si>
  <si>
    <t>30340</t>
  </si>
  <si>
    <t>30341</t>
  </si>
  <si>
    <t>30343</t>
  </si>
  <si>
    <t>30346</t>
  </si>
  <si>
    <t>30349</t>
  </si>
  <si>
    <t>30352</t>
  </si>
  <si>
    <t>30355</t>
  </si>
  <si>
    <t>30358</t>
  </si>
  <si>
    <t>30361</t>
  </si>
  <si>
    <t>30364</t>
  </si>
  <si>
    <t>30367</t>
  </si>
  <si>
    <t>30370</t>
  </si>
  <si>
    <t>30373</t>
  </si>
  <si>
    <t>30376</t>
  </si>
  <si>
    <t>30377</t>
  </si>
  <si>
    <t>30378</t>
  </si>
  <si>
    <t>30379</t>
  </si>
  <si>
    <t>30382</t>
  </si>
  <si>
    <t>30385</t>
  </si>
  <si>
    <t>30387</t>
  </si>
  <si>
    <t>30388</t>
  </si>
  <si>
    <t>30391</t>
  </si>
  <si>
    <t>30394</t>
  </si>
  <si>
    <t>30397</t>
  </si>
  <si>
    <t>30400</t>
  </si>
  <si>
    <t>30403</t>
  </si>
  <si>
    <t>30412</t>
  </si>
  <si>
    <t>30406</t>
  </si>
  <si>
    <t>30409</t>
  </si>
  <si>
    <t>30415</t>
  </si>
  <si>
    <t>30418</t>
  </si>
  <si>
    <t>30421</t>
  </si>
  <si>
    <t>30424</t>
  </si>
  <si>
    <t>30427</t>
  </si>
  <si>
    <t>30430</t>
  </si>
  <si>
    <t>30433</t>
  </si>
  <si>
    <t>30436</t>
  </si>
  <si>
    <t>30439</t>
  </si>
  <si>
    <t>30442</t>
  </si>
  <si>
    <t>30445</t>
  </si>
  <si>
    <t>30448</t>
  </si>
  <si>
    <t>30451</t>
  </si>
  <si>
    <t>30454</t>
  </si>
  <si>
    <t>30457</t>
  </si>
  <si>
    <t>30460</t>
  </si>
  <si>
    <t>30463</t>
  </si>
  <si>
    <t>30466</t>
  </si>
  <si>
    <t>30469</t>
  </si>
  <si>
    <t>30472</t>
  </si>
  <si>
    <t>30475</t>
  </si>
  <si>
    <t>30478</t>
  </si>
  <si>
    <t>30481</t>
  </si>
  <si>
    <t>30484</t>
  </si>
  <si>
    <t>30487</t>
  </si>
  <si>
    <t>30490</t>
  </si>
  <si>
    <t>30493</t>
  </si>
  <si>
    <t>30496</t>
  </si>
  <si>
    <t>30499</t>
  </si>
  <si>
    <t>30502</t>
  </si>
  <si>
    <t>30505</t>
  </si>
  <si>
    <t>30508</t>
  </si>
  <si>
    <t>30511</t>
  </si>
  <si>
    <t>30514</t>
  </si>
  <si>
    <t>30517</t>
  </si>
  <si>
    <t>30520</t>
  </si>
  <si>
    <t>30523</t>
  </si>
  <si>
    <t>30526</t>
  </si>
  <si>
    <t>30529</t>
  </si>
  <si>
    <t>30532</t>
  </si>
  <si>
    <t>30535</t>
  </si>
  <si>
    <t>30538</t>
  </si>
  <si>
    <t>30541</t>
  </si>
  <si>
    <t>30544</t>
  </si>
  <si>
    <t>30547</t>
  </si>
  <si>
    <t>30550</t>
  </si>
  <si>
    <t>30553</t>
  </si>
  <si>
    <t>30556</t>
  </si>
  <si>
    <t>30559</t>
  </si>
  <si>
    <t>30562</t>
  </si>
  <si>
    <t>30565</t>
  </si>
  <si>
    <t>30568</t>
  </si>
  <si>
    <t>30571</t>
  </si>
  <si>
    <t>30574</t>
  </si>
  <si>
    <t>30577</t>
  </si>
  <si>
    <t>30580</t>
  </si>
  <si>
    <t>30583</t>
  </si>
  <si>
    <t>30586</t>
  </si>
  <si>
    <t>30589</t>
  </si>
  <si>
    <t>30592</t>
  </si>
  <si>
    <t>30595</t>
  </si>
  <si>
    <t>30598</t>
  </si>
  <si>
    <t>30601</t>
  </si>
  <si>
    <t>30604</t>
  </si>
  <si>
    <t>30607</t>
  </si>
  <si>
    <t>30610</t>
  </si>
  <si>
    <t>30613</t>
  </si>
  <si>
    <t>30616</t>
  </si>
  <si>
    <t>30619</t>
  </si>
  <si>
    <t>30622</t>
  </si>
  <si>
    <t>30625</t>
  </si>
  <si>
    <t>30628</t>
  </si>
  <si>
    <t>30631</t>
  </si>
  <si>
    <t>30634</t>
  </si>
  <si>
    <t>30637</t>
  </si>
  <si>
    <t>30640</t>
  </si>
  <si>
    <t>30643</t>
  </si>
  <si>
    <t>30646</t>
  </si>
  <si>
    <t>30649</t>
  </si>
  <si>
    <t>30652</t>
  </si>
  <si>
    <t>30655</t>
  </si>
  <si>
    <t>30658</t>
  </si>
  <si>
    <t>30661</t>
  </si>
  <si>
    <t>30664</t>
  </si>
  <si>
    <t>30667</t>
  </si>
  <si>
    <t>30670</t>
  </si>
  <si>
    <t>30673</t>
  </si>
  <si>
    <t>30676</t>
  </si>
  <si>
    <t>30679</t>
  </si>
  <si>
    <t>30682</t>
  </si>
  <si>
    <t>30685</t>
  </si>
  <si>
    <t>30688</t>
  </si>
  <si>
    <t>30691</t>
  </si>
  <si>
    <t>30692</t>
  </si>
  <si>
    <t>30694</t>
  </si>
  <si>
    <t>30697</t>
  </si>
  <si>
    <t>30700</t>
  </si>
  <si>
    <t>30703</t>
  </si>
  <si>
    <t>30706</t>
  </si>
  <si>
    <t>30709</t>
  </si>
  <si>
    <t>30712</t>
  </si>
  <si>
    <t>30715</t>
  </si>
  <si>
    <t>30718</t>
  </si>
  <si>
    <t>30721</t>
  </si>
  <si>
    <t>30724</t>
  </si>
  <si>
    <t>30727</t>
  </si>
  <si>
    <t>30730</t>
  </si>
  <si>
    <t>30733</t>
  </si>
  <si>
    <t>30736</t>
  </si>
  <si>
    <t>30739</t>
  </si>
  <si>
    <t>30742</t>
  </si>
  <si>
    <t>30745</t>
  </si>
  <si>
    <t>30748</t>
  </si>
  <si>
    <t>30751</t>
  </si>
  <si>
    <t>30754</t>
  </si>
  <si>
    <t>30757</t>
  </si>
  <si>
    <t>30760</t>
  </si>
  <si>
    <t>30763</t>
  </si>
  <si>
    <t>30766</t>
  </si>
  <si>
    <t>30769</t>
  </si>
  <si>
    <t>30772</t>
  </si>
  <si>
    <t>30775</t>
  </si>
  <si>
    <t>30778</t>
  </si>
  <si>
    <t>30781</t>
  </si>
  <si>
    <t>30784</t>
  </si>
  <si>
    <t>30787</t>
  </si>
  <si>
    <t>30790</t>
  </si>
  <si>
    <t>30802</t>
  </si>
  <si>
    <t>30805</t>
  </si>
  <si>
    <t>30808</t>
  </si>
  <si>
    <t>30809</t>
  </si>
  <si>
    <t>30811</t>
  </si>
  <si>
    <t>30814</t>
  </si>
  <si>
    <t>30817</t>
  </si>
  <si>
    <t>30820</t>
  </si>
  <si>
    <t>30823</t>
  </si>
  <si>
    <t>30826</t>
  </si>
  <si>
    <t>30828</t>
  </si>
  <si>
    <t>30829</t>
  </si>
  <si>
    <t>30832</t>
  </si>
  <si>
    <t>30835</t>
  </si>
  <si>
    <t>30836</t>
  </si>
  <si>
    <t>30838</t>
  </si>
  <si>
    <t>30840</t>
  </si>
  <si>
    <t>30841</t>
  </si>
  <si>
    <t>30844</t>
  </si>
  <si>
    <t>30847</t>
  </si>
  <si>
    <t>30850</t>
  </si>
  <si>
    <t>30853</t>
  </si>
  <si>
    <t>30856</t>
  </si>
  <si>
    <t>30859</t>
  </si>
  <si>
    <t>30860</t>
  </si>
  <si>
    <t>30862</t>
  </si>
  <si>
    <t>30865</t>
  </si>
  <si>
    <t>30868</t>
  </si>
  <si>
    <t>30871</t>
  </si>
  <si>
    <t>30874</t>
  </si>
  <si>
    <t>30877</t>
  </si>
  <si>
    <t>30880</t>
  </si>
  <si>
    <t>30883</t>
  </si>
  <si>
    <t>30886</t>
  </si>
  <si>
    <t>30887</t>
  </si>
  <si>
    <t>30889</t>
  </si>
  <si>
    <t>30892</t>
  </si>
  <si>
    <t>30893</t>
  </si>
  <si>
    <t>30895</t>
  </si>
  <si>
    <t>30898</t>
  </si>
  <si>
    <t>30901</t>
  </si>
  <si>
    <t>30904</t>
  </si>
  <si>
    <t>30907</t>
  </si>
  <si>
    <t>30910</t>
  </si>
  <si>
    <t>30913</t>
  </si>
  <si>
    <t>30916</t>
  </si>
  <si>
    <t>30917</t>
  </si>
  <si>
    <t>30919</t>
  </si>
  <si>
    <t>30922</t>
  </si>
  <si>
    <t>30925</t>
  </si>
  <si>
    <t>30928</t>
  </si>
  <si>
    <t>30931</t>
  </si>
  <si>
    <t>30934</t>
  </si>
  <si>
    <t>30937</t>
  </si>
  <si>
    <t>30940</t>
  </si>
  <si>
    <t>30943</t>
  </si>
  <si>
    <t>30946</t>
  </si>
  <si>
    <t>30947</t>
  </si>
  <si>
    <t>30949</t>
  </si>
  <si>
    <t>30950</t>
  </si>
  <si>
    <t>30952</t>
  </si>
  <si>
    <t>30955</t>
  </si>
  <si>
    <t>30958</t>
  </si>
  <si>
    <t>30961</t>
  </si>
  <si>
    <t>30964</t>
  </si>
  <si>
    <t>30967</t>
  </si>
  <si>
    <t>30970</t>
  </si>
  <si>
    <t>30973</t>
  </si>
  <si>
    <t>30976</t>
  </si>
  <si>
    <t>30979</t>
  </si>
  <si>
    <t>30982</t>
  </si>
  <si>
    <t>30985</t>
  </si>
  <si>
    <t>30988</t>
  </si>
  <si>
    <t>30991</t>
  </si>
  <si>
    <t>30994</t>
  </si>
  <si>
    <t>30997</t>
  </si>
  <si>
    <t>31000</t>
  </si>
  <si>
    <t>31003</t>
  </si>
  <si>
    <t>31006</t>
  </si>
  <si>
    <t>31009</t>
  </si>
  <si>
    <t>31018</t>
  </si>
  <si>
    <t>31021</t>
  </si>
  <si>
    <t>31024</t>
  </si>
  <si>
    <t>31030</t>
  </si>
  <si>
    <t>31031</t>
  </si>
  <si>
    <t>31033</t>
  </si>
  <si>
    <t>31036</t>
  </si>
  <si>
    <t>31039</t>
  </si>
  <si>
    <t>31042</t>
  </si>
  <si>
    <t>31045</t>
  </si>
  <si>
    <t>31048</t>
  </si>
  <si>
    <t>31051</t>
  </si>
  <si>
    <t>31060</t>
  </si>
  <si>
    <t>31063</t>
  </si>
  <si>
    <t>31064</t>
  </si>
  <si>
    <t>31069</t>
  </si>
  <si>
    <t>31072</t>
  </si>
  <si>
    <t>31074</t>
  </si>
  <si>
    <t>31075</t>
  </si>
  <si>
    <t>31078</t>
  </si>
  <si>
    <t>31081</t>
  </si>
  <si>
    <t>31084</t>
  </si>
  <si>
    <t>31087</t>
  </si>
  <si>
    <t>31090</t>
  </si>
  <si>
    <t>31093</t>
  </si>
  <si>
    <t>31096</t>
  </si>
  <si>
    <t>31102</t>
  </si>
  <si>
    <t>31105</t>
  </si>
  <si>
    <t>31108</t>
  </si>
  <si>
    <t>31111</t>
  </si>
  <si>
    <t>31114</t>
  </si>
  <si>
    <t>31115</t>
  </si>
  <si>
    <t>31012</t>
  </si>
  <si>
    <t>31015</t>
  </si>
  <si>
    <t>31027</t>
  </si>
  <si>
    <t>31054</t>
  </si>
  <si>
    <t>31057</t>
  </si>
  <si>
    <t>31066</t>
  </si>
  <si>
    <t>30791</t>
  </si>
  <si>
    <t>30793</t>
  </si>
  <si>
    <t>30796</t>
  </si>
  <si>
    <t>30797</t>
  </si>
  <si>
    <t>30799</t>
  </si>
  <si>
    <t>31117</t>
  </si>
  <si>
    <t>31120</t>
  </si>
  <si>
    <t>31123</t>
  </si>
  <si>
    <t>31126</t>
  </si>
  <si>
    <t>31129</t>
  </si>
  <si>
    <t>31135</t>
  </si>
  <si>
    <t>31141</t>
  </si>
  <si>
    <t>31144</t>
  </si>
  <si>
    <t>31147</t>
  </si>
  <si>
    <t>31149</t>
  </si>
  <si>
    <t>31150</t>
  </si>
  <si>
    <t>31153</t>
  </si>
  <si>
    <t>31154</t>
  </si>
  <si>
    <t>31156</t>
  </si>
  <si>
    <t>31157</t>
  </si>
  <si>
    <t>31159</t>
  </si>
  <si>
    <t>31162</t>
  </si>
  <si>
    <t>31165</t>
  </si>
  <si>
    <t>31168</t>
  </si>
  <si>
    <t>31169</t>
  </si>
  <si>
    <t>31171</t>
  </si>
  <si>
    <t>31174</t>
  </si>
  <si>
    <t>31177</t>
  </si>
  <si>
    <t>31178</t>
  </si>
  <si>
    <t>31180</t>
  </si>
  <si>
    <t>31183</t>
  </si>
  <si>
    <t>31186</t>
  </si>
  <si>
    <t>31189</t>
  </si>
  <si>
    <t>31192</t>
  </si>
  <si>
    <t>31195</t>
  </si>
  <si>
    <t>31198</t>
  </si>
  <si>
    <t>31201</t>
  </si>
  <si>
    <t>31204</t>
  </si>
  <si>
    <t>31207</t>
  </si>
  <si>
    <t>31210</t>
  </si>
  <si>
    <t>31212</t>
  </si>
  <si>
    <t>31213</t>
  </si>
  <si>
    <t>31216</t>
  </si>
  <si>
    <t>31217</t>
  </si>
  <si>
    <t>31219</t>
  </si>
  <si>
    <t>31227</t>
  </si>
  <si>
    <t>31228</t>
  </si>
  <si>
    <t>31211</t>
  </si>
  <si>
    <t>31231</t>
  </si>
  <si>
    <t>31232</t>
  </si>
  <si>
    <t>31234</t>
  </si>
  <si>
    <t>31237</t>
  </si>
  <si>
    <t>31240</t>
  </si>
  <si>
    <t>31241</t>
  </si>
  <si>
    <t>31243</t>
  </si>
  <si>
    <t>31244</t>
  </si>
  <si>
    <t>31246</t>
  </si>
  <si>
    <t>31252</t>
  </si>
  <si>
    <t>31222</t>
  </si>
  <si>
    <t>31225</t>
  </si>
  <si>
    <t>31249</t>
  </si>
  <si>
    <t>31255</t>
  </si>
  <si>
    <t>31261</t>
  </si>
  <si>
    <t>31264</t>
  </si>
  <si>
    <t>31273</t>
  </si>
  <si>
    <t>31274</t>
  </si>
  <si>
    <t>31276</t>
  </si>
  <si>
    <t>31277</t>
  </si>
  <si>
    <t>31299</t>
  </si>
  <si>
    <t>31300</t>
  </si>
  <si>
    <t>31303</t>
  </si>
  <si>
    <t>31306</t>
  </si>
  <si>
    <t>31309</t>
  </si>
  <si>
    <t>31312</t>
  </si>
  <si>
    <t>31315</t>
  </si>
  <si>
    <t>31258</t>
  </si>
  <si>
    <t>31267</t>
  </si>
  <si>
    <t>31268</t>
  </si>
  <si>
    <t>31270</t>
  </si>
  <si>
    <t>31279</t>
  </si>
  <si>
    <t>31282</t>
  </si>
  <si>
    <t>31285</t>
  </si>
  <si>
    <t>31286</t>
  </si>
  <si>
    <t>31288</t>
  </si>
  <si>
    <t>31291</t>
  </si>
  <si>
    <t>31294</t>
  </si>
  <si>
    <t>31297</t>
  </si>
  <si>
    <t>31298</t>
  </si>
  <si>
    <t>31318</t>
  </si>
  <si>
    <t>31321</t>
  </si>
  <si>
    <t>31324</t>
  </si>
  <si>
    <t>31327</t>
  </si>
  <si>
    <t>31330</t>
  </si>
  <si>
    <t>31333</t>
  </si>
  <si>
    <t>31336</t>
  </si>
  <si>
    <t>31338</t>
  </si>
  <si>
    <t>31339</t>
  </si>
  <si>
    <t>31340</t>
  </si>
  <si>
    <t>31341</t>
  </si>
  <si>
    <t>31343</t>
  </si>
  <si>
    <t>31344</t>
  </si>
  <si>
    <t>31411</t>
  </si>
  <si>
    <t>31414</t>
  </si>
  <si>
    <t>31342</t>
  </si>
  <si>
    <t>31345</t>
  </si>
  <si>
    <t>31346</t>
  </si>
  <si>
    <t>31348</t>
  </si>
  <si>
    <t>31351</t>
  </si>
  <si>
    <t>31357</t>
  </si>
  <si>
    <t>31359</t>
  </si>
  <si>
    <t>31360</t>
  </si>
  <si>
    <t>31362</t>
  </si>
  <si>
    <t>31363</t>
  </si>
  <si>
    <t>31366</t>
  </si>
  <si>
    <t>31369</t>
  </si>
  <si>
    <t>31375</t>
  </si>
  <si>
    <t>31378</t>
  </si>
  <si>
    <t>31379</t>
  </si>
  <si>
    <t>31381</t>
  </si>
  <si>
    <t>31384</t>
  </si>
  <si>
    <t>31387</t>
  </si>
  <si>
    <t>31393</t>
  </si>
  <si>
    <t>31396</t>
  </si>
  <si>
    <t>31399</t>
  </si>
  <si>
    <t>31402</t>
  </si>
  <si>
    <t>31405</t>
  </si>
  <si>
    <t>31408</t>
  </si>
  <si>
    <t>31417</t>
  </si>
  <si>
    <t>31420</t>
  </si>
  <si>
    <t>31423</t>
  </si>
  <si>
    <t>31426</t>
  </si>
  <si>
    <t>31429</t>
  </si>
  <si>
    <t>31432</t>
  </si>
  <si>
    <t>31433</t>
  </si>
  <si>
    <t>31435</t>
  </si>
  <si>
    <t>31438</t>
  </si>
  <si>
    <t>31441</t>
  </si>
  <si>
    <t>31444</t>
  </si>
  <si>
    <t>31447</t>
  </si>
  <si>
    <t>31450</t>
  </si>
  <si>
    <t>31453</t>
  </si>
  <si>
    <t>31456</t>
  </si>
  <si>
    <t>31459</t>
  </si>
  <si>
    <t>31462</t>
  </si>
  <si>
    <t>31465</t>
  </si>
  <si>
    <t>31468</t>
  </si>
  <si>
    <t>31483</t>
  </si>
  <si>
    <t>31484</t>
  </si>
  <si>
    <t>31486</t>
  </si>
  <si>
    <t>31489</t>
  </si>
  <si>
    <t>31490</t>
  </si>
  <si>
    <t>31492</t>
  </si>
  <si>
    <t>31493</t>
  </si>
  <si>
    <t>31495</t>
  </si>
  <si>
    <t>31471</t>
  </si>
  <si>
    <t>31472</t>
  </si>
  <si>
    <t>31473</t>
  </si>
  <si>
    <t>31474</t>
  </si>
  <si>
    <t>31475</t>
  </si>
  <si>
    <t>31477</t>
  </si>
  <si>
    <t>31478</t>
  </si>
  <si>
    <t>31480</t>
  </si>
  <si>
    <t>31481</t>
  </si>
  <si>
    <t>31498</t>
  </si>
  <si>
    <t>31501</t>
  </si>
  <si>
    <t>31504</t>
  </si>
  <si>
    <t>31507</t>
  </si>
  <si>
    <t>31510</t>
  </si>
  <si>
    <t>31513</t>
  </si>
  <si>
    <t>31516</t>
  </si>
  <si>
    <t>31519</t>
  </si>
  <si>
    <t>31522</t>
  </si>
  <si>
    <t>31525</t>
  </si>
  <si>
    <t>31569</t>
  </si>
  <si>
    <t>31570</t>
  </si>
  <si>
    <t>31573</t>
  </si>
  <si>
    <t>31576</t>
  </si>
  <si>
    <t>31582</t>
  </si>
  <si>
    <t>31585</t>
  </si>
  <si>
    <t>31594</t>
  </si>
  <si>
    <t>31600</t>
  </si>
  <si>
    <t>31528</t>
  </si>
  <si>
    <t>31531</t>
  </si>
  <si>
    <t>31534</t>
  </si>
  <si>
    <t>31537</t>
  </si>
  <si>
    <t>31540</t>
  </si>
  <si>
    <t>31543</t>
  </si>
  <si>
    <t>31546</t>
  </si>
  <si>
    <t>31549</t>
  </si>
  <si>
    <t>31552</t>
  </si>
  <si>
    <t>31555</t>
  </si>
  <si>
    <t>31558</t>
  </si>
  <si>
    <t>31561</t>
  </si>
  <si>
    <t>31564</t>
  </si>
  <si>
    <t>31567</t>
  </si>
  <si>
    <t>31579</t>
  </si>
  <si>
    <t>31588</t>
  </si>
  <si>
    <t>31591</t>
  </si>
  <si>
    <t>31597</t>
  </si>
  <si>
    <t>31603</t>
  </si>
  <si>
    <t>31606</t>
  </si>
  <si>
    <t>31609</t>
  </si>
  <si>
    <t>31612</t>
  </si>
  <si>
    <t>31615</t>
  </si>
  <si>
    <t>31618</t>
  </si>
  <si>
    <t>31621</t>
  </si>
  <si>
    <t>31624</t>
  </si>
  <si>
    <t>31627</t>
  </si>
  <si>
    <t>31630</t>
  </si>
  <si>
    <t>31633</t>
  </si>
  <si>
    <t>31636</t>
  </si>
  <si>
    <t>31639</t>
  </si>
  <si>
    <t>31642</t>
  </si>
  <si>
    <t>31645</t>
  </si>
  <si>
    <t>31648</t>
  </si>
  <si>
    <t>31651</t>
  </si>
  <si>
    <t>31654</t>
  </si>
  <si>
    <t>31657</t>
  </si>
  <si>
    <t>31660</t>
  </si>
  <si>
    <t>31663</t>
  </si>
  <si>
    <t>31666</t>
  </si>
  <si>
    <t>31669</t>
  </si>
  <si>
    <t>31684</t>
  </si>
  <si>
    <t>31690</t>
  </si>
  <si>
    <t>31693</t>
  </si>
  <si>
    <t>31708</t>
  </si>
  <si>
    <t>31711</t>
  </si>
  <si>
    <t>31714</t>
  </si>
  <si>
    <t>31717</t>
  </si>
  <si>
    <t>31720</t>
  </si>
  <si>
    <t>31723</t>
  </si>
  <si>
    <t>31726</t>
  </si>
  <si>
    <t>31729</t>
  </si>
  <si>
    <t>31732</t>
  </si>
  <si>
    <t>31735</t>
  </si>
  <si>
    <t>31738</t>
  </si>
  <si>
    <t>31741</t>
  </si>
  <si>
    <t>31744</t>
  </si>
  <si>
    <t>31747</t>
  </si>
  <si>
    <t>31750</t>
  </si>
  <si>
    <t>31753</t>
  </si>
  <si>
    <t>31756</t>
  </si>
  <si>
    <t>31757</t>
  </si>
  <si>
    <t>31759</t>
  </si>
  <si>
    <t>31762</t>
  </si>
  <si>
    <t>31765</t>
  </si>
  <si>
    <t>31768</t>
  </si>
  <si>
    <t>31771</t>
  </si>
  <si>
    <t>31774</t>
  </si>
  <si>
    <t>31777</t>
  </si>
  <si>
    <t>31780</t>
  </si>
  <si>
    <t>31783</t>
  </si>
  <si>
    <t>31786</t>
  </si>
  <si>
    <t>31789</t>
  </si>
  <si>
    <t>31792</t>
  </si>
  <si>
    <t>31795</t>
  </si>
  <si>
    <t>31798</t>
  </si>
  <si>
    <t>31801</t>
  </si>
  <si>
    <t>31804</t>
  </si>
  <si>
    <t>31807</t>
  </si>
  <si>
    <t>31810</t>
  </si>
  <si>
    <t>31672</t>
  </si>
  <si>
    <t>31673</t>
  </si>
  <si>
    <t>31675</t>
  </si>
  <si>
    <t>31678</t>
  </si>
  <si>
    <t>31679</t>
  </si>
  <si>
    <t>31681</t>
  </si>
  <si>
    <t>31687</t>
  </si>
  <si>
    <t>31696</t>
  </si>
  <si>
    <t>31699</t>
  </si>
  <si>
    <t>31702</t>
  </si>
  <si>
    <t>31705</t>
  </si>
  <si>
    <t>31813</t>
  </si>
  <si>
    <t>31816</t>
  </si>
  <si>
    <t>31819</t>
  </si>
  <si>
    <t>31822</t>
  </si>
  <si>
    <t>31825</t>
  </si>
  <si>
    <t>31828</t>
  </si>
  <si>
    <t>31831</t>
  </si>
  <si>
    <t>31834</t>
  </si>
  <si>
    <t>31837</t>
  </si>
  <si>
    <t>31840</t>
  </si>
  <si>
    <t>31843</t>
  </si>
  <si>
    <t>31846</t>
  </si>
  <si>
    <t>31849</t>
  </si>
  <si>
    <t>31852</t>
  </si>
  <si>
    <t>31855</t>
  </si>
  <si>
    <t>31858</t>
  </si>
  <si>
    <t>31861</t>
  </si>
  <si>
    <t>31863</t>
  </si>
  <si>
    <t>31864</t>
  </si>
  <si>
    <t>31867</t>
  </si>
  <si>
    <t>31870</t>
  </si>
  <si>
    <t>31873</t>
  </si>
  <si>
    <t>31876</t>
  </si>
  <si>
    <t>31879</t>
  </si>
  <si>
    <t>31882</t>
  </si>
  <si>
    <t>31885</t>
  </si>
  <si>
    <t>31888</t>
  </si>
  <si>
    <t>31894</t>
  </si>
  <si>
    <t>31897</t>
  </si>
  <si>
    <t>31900</t>
  </si>
  <si>
    <t>31903</t>
  </si>
  <si>
    <t>31906</t>
  </si>
  <si>
    <t>31909</t>
  </si>
  <si>
    <t>31912</t>
  </si>
  <si>
    <t>31921</t>
  </si>
  <si>
    <t>31942</t>
  </si>
  <si>
    <t>31945</t>
  </si>
  <si>
    <t>31948</t>
  </si>
  <si>
    <t>31951</t>
  </si>
  <si>
    <t>31954</t>
  </si>
  <si>
    <t>31957</t>
  </si>
  <si>
    <t>31960</t>
  </si>
  <si>
    <t>31963</t>
  </si>
  <si>
    <t>31966</t>
  </si>
  <si>
    <t>31969</t>
  </si>
  <si>
    <t>31972</t>
  </si>
  <si>
    <t>31975</t>
  </si>
  <si>
    <t>31978</t>
  </si>
  <si>
    <t>31981</t>
  </si>
  <si>
    <t>31984</t>
  </si>
  <si>
    <t>31985</t>
  </si>
  <si>
    <t>31987</t>
  </si>
  <si>
    <t>31988</t>
  </si>
  <si>
    <t>31990</t>
  </si>
  <si>
    <t>31993</t>
  </si>
  <si>
    <t>31996</t>
  </si>
  <si>
    <t>31891</t>
  </si>
  <si>
    <t>31915</t>
  </si>
  <si>
    <t>31918</t>
  </si>
  <si>
    <t>31924</t>
  </si>
  <si>
    <t>31927</t>
  </si>
  <si>
    <t>31930</t>
  </si>
  <si>
    <t>31933</t>
  </si>
  <si>
    <t>31936</t>
  </si>
  <si>
    <t>31999</t>
  </si>
  <si>
    <t>32002</t>
  </si>
  <si>
    <t>32005</t>
  </si>
  <si>
    <t>32008</t>
  </si>
  <si>
    <t>32011</t>
  </si>
  <si>
    <t>32014</t>
  </si>
  <si>
    <t>32017</t>
  </si>
  <si>
    <t>32020</t>
  </si>
  <si>
    <t>32022</t>
  </si>
  <si>
    <t>32023</t>
  </si>
  <si>
    <t>32025</t>
  </si>
  <si>
    <t>32026</t>
  </si>
  <si>
    <t>32029</t>
  </si>
  <si>
    <t>32032</t>
  </si>
  <si>
    <t>32035</t>
  </si>
  <si>
    <t>32038</t>
  </si>
  <si>
    <t>32041</t>
  </si>
  <si>
    <t>32044</t>
  </si>
  <si>
    <t>32047</t>
  </si>
  <si>
    <t>32048</t>
  </si>
  <si>
    <t>32050</t>
  </si>
  <si>
    <t>32053</t>
  </si>
  <si>
    <t>32056</t>
  </si>
  <si>
    <t>32059</t>
  </si>
  <si>
    <t>32062</t>
  </si>
  <si>
    <t>32065</t>
  </si>
  <si>
    <t>32068</t>
  </si>
  <si>
    <t>32069</t>
  </si>
  <si>
    <t>32071</t>
  </si>
  <si>
    <t>32072</t>
  </si>
  <si>
    <t>32074</t>
  </si>
  <si>
    <t>32077</t>
  </si>
  <si>
    <t>32080</t>
  </si>
  <si>
    <t>32083</t>
  </si>
  <si>
    <t>32086</t>
  </si>
  <si>
    <t>32089</t>
  </si>
  <si>
    <t>32092</t>
  </si>
  <si>
    <t>32095</t>
  </si>
  <si>
    <t>32098</t>
  </si>
  <si>
    <t>32101</t>
  </si>
  <si>
    <t>32104</t>
  </si>
  <si>
    <t>32107</t>
  </si>
  <si>
    <t>32108</t>
  </si>
  <si>
    <t>32110</t>
  </si>
  <si>
    <t>32113</t>
  </si>
  <si>
    <t>32116</t>
  </si>
  <si>
    <t>32119</t>
  </si>
  <si>
    <t>32122</t>
  </si>
  <si>
    <t>32124</t>
  </si>
  <si>
    <t>32125</t>
  </si>
  <si>
    <t>32128</t>
  </si>
  <si>
    <t>32130</t>
  </si>
  <si>
    <t>32131</t>
  </si>
  <si>
    <t>32134</t>
  </si>
  <si>
    <t>32137</t>
  </si>
  <si>
    <t>32140</t>
  </si>
  <si>
    <t>32141</t>
  </si>
  <si>
    <t>32142</t>
  </si>
  <si>
    <t>32143</t>
  </si>
  <si>
    <t>32146</t>
  </si>
  <si>
    <t>32149</t>
  </si>
  <si>
    <t>32152</t>
  </si>
  <si>
    <t>32155</t>
  </si>
  <si>
    <t>32158</t>
  </si>
  <si>
    <t>32161</t>
  </si>
  <si>
    <t>32162</t>
  </si>
  <si>
    <t>32164</t>
  </si>
  <si>
    <t>32167</t>
  </si>
  <si>
    <t>32170</t>
  </si>
  <si>
    <t>32173</t>
  </si>
  <si>
    <t>32174</t>
  </si>
  <si>
    <t>32176</t>
  </si>
  <si>
    <t>32179</t>
  </si>
  <si>
    <t>32182</t>
  </si>
  <si>
    <t>32185</t>
  </si>
  <si>
    <t>32186</t>
  </si>
  <si>
    <t>32188</t>
  </si>
  <si>
    <t>32191</t>
  </si>
  <si>
    <t>32194</t>
  </si>
  <si>
    <t>32197</t>
  </si>
  <si>
    <t>32200</t>
  </si>
  <si>
    <t>32201</t>
  </si>
  <si>
    <t>32203</t>
  </si>
  <si>
    <t>32206</t>
  </si>
  <si>
    <t>32209</t>
  </si>
  <si>
    <t>32212</t>
  </si>
  <si>
    <t>32214</t>
  </si>
  <si>
    <t>32215</t>
  </si>
  <si>
    <t>32218</t>
  </si>
  <si>
    <t>32221</t>
  </si>
  <si>
    <t>32224</t>
  </si>
  <si>
    <t>32227</t>
  </si>
  <si>
    <t>32228</t>
  </si>
  <si>
    <t>32230</t>
  </si>
  <si>
    <t>32233</t>
  </si>
  <si>
    <t>32236</t>
  </si>
  <si>
    <t>32239</t>
  </si>
  <si>
    <t>32242</t>
  </si>
  <si>
    <t>32244</t>
  </si>
  <si>
    <t>32245</t>
  </si>
  <si>
    <t>32248</t>
  </si>
  <si>
    <t>STT</t>
  </si>
  <si>
    <t>Mã  tỉnh thành</t>
  </si>
  <si>
    <t>Mã quận huyện</t>
  </si>
  <si>
    <t>Mã xã phường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</si>
</sst>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05"/>
  <sheetViews>
    <sheetView tabSelected="1" workbookViewId="0">
      <pane ySplit="1" topLeftCell="A10586" activePane="bottomLeft" state="frozen"/>
      <selection pane="bottomLeft" activeCell="I10594" sqref="I10594"/>
    </sheetView>
  </sheetViews>
  <sheetFormatPr defaultRowHeight="15" x14ac:dyDescent="0.25"/>
  <cols>
    <col min="1" max="1" width="8.5703125" style="2" bestFit="1" customWidth="1"/>
    <col min="2" max="2" width="18.5703125" style="3" bestFit="1" customWidth="1"/>
    <col min="3" max="3" width="15.28515625" bestFit="1" customWidth="1"/>
    <col min="4" max="4" width="19.42578125" style="3" bestFit="1" customWidth="1"/>
    <col min="5" max="5" width="31" bestFit="1" customWidth="1"/>
    <col min="6" max="6" width="18.7109375" style="3" bestFit="1" customWidth="1"/>
    <col min="7" max="7" width="38.28515625" bestFit="1" customWidth="1"/>
  </cols>
  <sheetData>
    <row r="1" spans="1:7" x14ac:dyDescent="0.25">
      <c r="A1" s="1" t="s">
        <v>11365</v>
      </c>
      <c r="B1" s="1" t="s">
        <v>11366</v>
      </c>
      <c r="C1" s="1" t="s">
        <v>0</v>
      </c>
      <c r="D1" s="1" t="s">
        <v>11367</v>
      </c>
      <c r="E1" s="1" t="s">
        <v>1</v>
      </c>
      <c r="F1" s="1" t="s">
        <v>11368</v>
      </c>
      <c r="G1" s="1" t="s">
        <v>2</v>
      </c>
    </row>
    <row r="2" spans="1:7" x14ac:dyDescent="0.25">
      <c r="A2" s="2">
        <v>1</v>
      </c>
      <c r="B2" s="3" t="s">
        <v>3</v>
      </c>
      <c r="C2" s="4" t="str">
        <f t="shared" ref="C2:C65" si="0">HYPERLINK("https://diaocthongthai.com/ban-do-ha-noi/","Hà Nội")</f>
        <v>Hà Nội</v>
      </c>
      <c r="D2" s="3" t="s">
        <v>66</v>
      </c>
      <c r="E2" s="4" t="str">
        <f t="shared" ref="E2:E15" si="1">HYPERLINK("https://diaocthongthai.com/ban-do-quan-ba-dinh-tp-ha-noi/","Quận Ba Đình")</f>
        <v>Quận Ba Đình</v>
      </c>
      <c r="F2" s="3" t="s">
        <v>766</v>
      </c>
      <c r="G2" s="4" t="str">
        <f>HYPERLINK("https://diaocthongthai.com/phuong-phuc-xa-quan-ba-dinh/","Phường Phúc Xá")</f>
        <v>Phường Phúc Xá</v>
      </c>
    </row>
    <row r="3" spans="1:7" x14ac:dyDescent="0.25">
      <c r="A3" s="2">
        <v>2</v>
      </c>
      <c r="B3" s="3" t="s">
        <v>3</v>
      </c>
      <c r="C3" s="4" t="str">
        <f t="shared" si="0"/>
        <v>Hà Nội</v>
      </c>
      <c r="D3" s="3" t="s">
        <v>66</v>
      </c>
      <c r="E3" s="4" t="str">
        <f t="shared" si="1"/>
        <v>Quận Ba Đình</v>
      </c>
      <c r="F3" s="3" t="s">
        <v>767</v>
      </c>
      <c r="G3" s="4" t="str">
        <f>HYPERLINK("https://diaocthongthai.com/phuong-truc-bach-quan-ba-dinh/","Phường Trúc Bạch")</f>
        <v>Phường Trúc Bạch</v>
      </c>
    </row>
    <row r="4" spans="1:7" x14ac:dyDescent="0.25">
      <c r="A4" s="2">
        <v>3</v>
      </c>
      <c r="B4" s="3" t="s">
        <v>3</v>
      </c>
      <c r="C4" s="4" t="str">
        <f t="shared" si="0"/>
        <v>Hà Nội</v>
      </c>
      <c r="D4" s="3" t="s">
        <v>66</v>
      </c>
      <c r="E4" s="4" t="str">
        <f t="shared" si="1"/>
        <v>Quận Ba Đình</v>
      </c>
      <c r="F4" s="3" t="s">
        <v>768</v>
      </c>
      <c r="G4" s="4" t="str">
        <f>HYPERLINK("https://diaocthongthai.com/phuong-vinh-phuc-quan-ba-dinh/","Phường Vĩnh Phúc")</f>
        <v>Phường Vĩnh Phúc</v>
      </c>
    </row>
    <row r="5" spans="1:7" x14ac:dyDescent="0.25">
      <c r="A5" s="2">
        <v>4</v>
      </c>
      <c r="B5" s="3" t="s">
        <v>3</v>
      </c>
      <c r="C5" s="4" t="str">
        <f t="shared" si="0"/>
        <v>Hà Nội</v>
      </c>
      <c r="D5" s="3" t="s">
        <v>66</v>
      </c>
      <c r="E5" s="4" t="str">
        <f t="shared" si="1"/>
        <v>Quận Ba Đình</v>
      </c>
      <c r="F5" s="3" t="s">
        <v>769</v>
      </c>
      <c r="G5" s="4" t="str">
        <f>HYPERLINK("https://diaocthongthai.com/phuong-cong-vi-quan-ba-dinh/","Phường Cống Vị")</f>
        <v>Phường Cống Vị</v>
      </c>
    </row>
    <row r="6" spans="1:7" x14ac:dyDescent="0.25">
      <c r="A6" s="2">
        <v>5</v>
      </c>
      <c r="B6" s="3" t="s">
        <v>3</v>
      </c>
      <c r="C6" s="4" t="str">
        <f t="shared" si="0"/>
        <v>Hà Nội</v>
      </c>
      <c r="D6" s="3" t="s">
        <v>66</v>
      </c>
      <c r="E6" s="4" t="str">
        <f t="shared" si="1"/>
        <v>Quận Ba Đình</v>
      </c>
      <c r="F6" s="3" t="s">
        <v>770</v>
      </c>
      <c r="G6" s="4" t="str">
        <f>HYPERLINK("https://diaocthongthai.com/phuong-lieu-giai-quan-ba-dinh/","Phường Liễu Giai")</f>
        <v>Phường Liễu Giai</v>
      </c>
    </row>
    <row r="7" spans="1:7" x14ac:dyDescent="0.25">
      <c r="A7" s="2">
        <v>6</v>
      </c>
      <c r="B7" s="3" t="s">
        <v>3</v>
      </c>
      <c r="C7" s="4" t="str">
        <f t="shared" si="0"/>
        <v>Hà Nội</v>
      </c>
      <c r="D7" s="3" t="s">
        <v>66</v>
      </c>
      <c r="E7" s="4" t="str">
        <f t="shared" si="1"/>
        <v>Quận Ba Đình</v>
      </c>
      <c r="F7" s="3" t="s">
        <v>771</v>
      </c>
      <c r="G7" s="4" t="str">
        <f>HYPERLINK("https://diaocthongthai.com/phuong-nguyen-trung-truc-quan-ba-dinh/","Phường Nguyễn Trung Trực")</f>
        <v>Phường Nguyễn Trung Trực</v>
      </c>
    </row>
    <row r="8" spans="1:7" x14ac:dyDescent="0.25">
      <c r="A8" s="2">
        <v>7</v>
      </c>
      <c r="B8" s="3" t="s">
        <v>3</v>
      </c>
      <c r="C8" s="4" t="str">
        <f t="shared" si="0"/>
        <v>Hà Nội</v>
      </c>
      <c r="D8" s="3" t="s">
        <v>66</v>
      </c>
      <c r="E8" s="4" t="str">
        <f t="shared" si="1"/>
        <v>Quận Ba Đình</v>
      </c>
      <c r="F8" s="3" t="s">
        <v>772</v>
      </c>
      <c r="G8" s="4" t="str">
        <f>HYPERLINK("https://diaocthongthai.com/phuong-quan-thanh-quan-ba-dinh/","Phường Quán Thánh")</f>
        <v>Phường Quán Thánh</v>
      </c>
    </row>
    <row r="9" spans="1:7" x14ac:dyDescent="0.25">
      <c r="A9" s="2">
        <v>8</v>
      </c>
      <c r="B9" s="3" t="s">
        <v>3</v>
      </c>
      <c r="C9" s="4" t="str">
        <f t="shared" si="0"/>
        <v>Hà Nội</v>
      </c>
      <c r="D9" s="3" t="s">
        <v>66</v>
      </c>
      <c r="E9" s="4" t="str">
        <f t="shared" si="1"/>
        <v>Quận Ba Đình</v>
      </c>
      <c r="F9" s="3" t="s">
        <v>773</v>
      </c>
      <c r="G9" s="4" t="str">
        <f>HYPERLINK("https://diaocthongthai.com/phuong-ngoc-ha-quan-ba-dinh/","Phường Ngọc Hà")</f>
        <v>Phường Ngọc Hà</v>
      </c>
    </row>
    <row r="10" spans="1:7" x14ac:dyDescent="0.25">
      <c r="A10" s="2">
        <v>9</v>
      </c>
      <c r="B10" s="3" t="s">
        <v>3</v>
      </c>
      <c r="C10" s="4" t="str">
        <f t="shared" si="0"/>
        <v>Hà Nội</v>
      </c>
      <c r="D10" s="3" t="s">
        <v>66</v>
      </c>
      <c r="E10" s="4" t="str">
        <f t="shared" si="1"/>
        <v>Quận Ba Đình</v>
      </c>
      <c r="F10" s="3" t="s">
        <v>774</v>
      </c>
      <c r="G10" s="4" t="str">
        <f>HYPERLINK("https://diaocthongthai.com/phuong-dien-bien-quan-ba-dinh/","Phường Điện Biên")</f>
        <v>Phường Điện Biên</v>
      </c>
    </row>
    <row r="11" spans="1:7" x14ac:dyDescent="0.25">
      <c r="A11" s="2">
        <v>10</v>
      </c>
      <c r="B11" s="3" t="s">
        <v>3</v>
      </c>
      <c r="C11" s="4" t="str">
        <f t="shared" si="0"/>
        <v>Hà Nội</v>
      </c>
      <c r="D11" s="3" t="s">
        <v>66</v>
      </c>
      <c r="E11" s="4" t="str">
        <f t="shared" si="1"/>
        <v>Quận Ba Đình</v>
      </c>
      <c r="F11" s="3" t="s">
        <v>775</v>
      </c>
      <c r="G11" s="4" t="str">
        <f>HYPERLINK("https://diaocthongthai.com/phuong-doi-can-quan-ba-dinh/","Phường Đội Cấn")</f>
        <v>Phường Đội Cấn</v>
      </c>
    </row>
    <row r="12" spans="1:7" x14ac:dyDescent="0.25">
      <c r="A12" s="2">
        <v>11</v>
      </c>
      <c r="B12" s="3" t="s">
        <v>3</v>
      </c>
      <c r="C12" s="4" t="str">
        <f t="shared" si="0"/>
        <v>Hà Nội</v>
      </c>
      <c r="D12" s="3" t="s">
        <v>66</v>
      </c>
      <c r="E12" s="4" t="str">
        <f t="shared" si="1"/>
        <v>Quận Ba Đình</v>
      </c>
      <c r="F12" s="3" t="s">
        <v>776</v>
      </c>
      <c r="G12" s="4" t="str">
        <f>HYPERLINK("https://diaocthongthai.com/phuong-ngoc-khanh-quan-ba-dinh/","Phường Ngọc Khánh")</f>
        <v>Phường Ngọc Khánh</v>
      </c>
    </row>
    <row r="13" spans="1:7" x14ac:dyDescent="0.25">
      <c r="A13" s="2">
        <v>12</v>
      </c>
      <c r="B13" s="3" t="s">
        <v>3</v>
      </c>
      <c r="C13" s="4" t="str">
        <f t="shared" si="0"/>
        <v>Hà Nội</v>
      </c>
      <c r="D13" s="3" t="s">
        <v>66</v>
      </c>
      <c r="E13" s="4" t="str">
        <f t="shared" si="1"/>
        <v>Quận Ba Đình</v>
      </c>
      <c r="F13" s="3" t="s">
        <v>777</v>
      </c>
      <c r="G13" s="4" t="str">
        <f>HYPERLINK("https://diaocthongthai.com/phuong-kim-ma-quan-ba-dinh/","Phường Kim Mã")</f>
        <v>Phường Kim Mã</v>
      </c>
    </row>
    <row r="14" spans="1:7" x14ac:dyDescent="0.25">
      <c r="A14" s="2">
        <v>13</v>
      </c>
      <c r="B14" s="3" t="s">
        <v>3</v>
      </c>
      <c r="C14" s="4" t="str">
        <f t="shared" si="0"/>
        <v>Hà Nội</v>
      </c>
      <c r="D14" s="3" t="s">
        <v>66</v>
      </c>
      <c r="E14" s="4" t="str">
        <f t="shared" si="1"/>
        <v>Quận Ba Đình</v>
      </c>
      <c r="F14" s="3" t="s">
        <v>778</v>
      </c>
      <c r="G14" s="4" t="str">
        <f>HYPERLINK("https://diaocthongthai.com/phuong-giang-vo-quan-ba-dinh/","Phường Giảng Võ")</f>
        <v>Phường Giảng Võ</v>
      </c>
    </row>
    <row r="15" spans="1:7" x14ac:dyDescent="0.25">
      <c r="A15" s="2">
        <v>14</v>
      </c>
      <c r="B15" s="3" t="s">
        <v>3</v>
      </c>
      <c r="C15" s="4" t="str">
        <f t="shared" si="0"/>
        <v>Hà Nội</v>
      </c>
      <c r="D15" s="3" t="s">
        <v>66</v>
      </c>
      <c r="E15" s="4" t="str">
        <f t="shared" si="1"/>
        <v>Quận Ba Đình</v>
      </c>
      <c r="F15" s="3" t="s">
        <v>779</v>
      </c>
      <c r="G15" s="4" t="str">
        <f>HYPERLINK("https://diaocthongthai.com/phuong-thanh-cong-quan-ba-dinh/","Phường Thành Công")</f>
        <v>Phường Thành Công</v>
      </c>
    </row>
    <row r="16" spans="1:7" x14ac:dyDescent="0.25">
      <c r="A16" s="2">
        <v>15</v>
      </c>
      <c r="B16" s="3" t="s">
        <v>3</v>
      </c>
      <c r="C16" s="4" t="str">
        <f t="shared" si="0"/>
        <v>Hà Nội</v>
      </c>
      <c r="D16" s="3" t="s">
        <v>67</v>
      </c>
      <c r="E16" s="4" t="str">
        <f t="shared" ref="E16:E33" si="2">HYPERLINK("https://diaocthongthai.com/ban-do-quan-hoan-kiem-tp-ha-noi/","Quận Hoàn Kiếm")</f>
        <v>Quận Hoàn Kiếm</v>
      </c>
      <c r="F16" s="3" t="s">
        <v>780</v>
      </c>
      <c r="G16" s="4" t="str">
        <f>HYPERLINK("https://diaocthongthai.com/phuong-phuc-tan-quan-hoan-kiem/","Phường Phúc Tân")</f>
        <v>Phường Phúc Tân</v>
      </c>
    </row>
    <row r="17" spans="1:7" x14ac:dyDescent="0.25">
      <c r="A17" s="2">
        <v>16</v>
      </c>
      <c r="B17" s="3" t="s">
        <v>3</v>
      </c>
      <c r="C17" s="4" t="str">
        <f t="shared" si="0"/>
        <v>Hà Nội</v>
      </c>
      <c r="D17" s="3" t="s">
        <v>67</v>
      </c>
      <c r="E17" s="4" t="str">
        <f t="shared" si="2"/>
        <v>Quận Hoàn Kiếm</v>
      </c>
      <c r="F17" s="3" t="s">
        <v>781</v>
      </c>
      <c r="G17" s="4" t="str">
        <f>HYPERLINK("https://diaocthongthai.com/phuong-dong-xuan-quan-hoan-kiem/","Phường Đồng Xuân")</f>
        <v>Phường Đồng Xuân</v>
      </c>
    </row>
    <row r="18" spans="1:7" x14ac:dyDescent="0.25">
      <c r="A18" s="2">
        <v>17</v>
      </c>
      <c r="B18" s="3" t="s">
        <v>3</v>
      </c>
      <c r="C18" s="4" t="str">
        <f t="shared" si="0"/>
        <v>Hà Nội</v>
      </c>
      <c r="D18" s="3" t="s">
        <v>67</v>
      </c>
      <c r="E18" s="4" t="str">
        <f t="shared" si="2"/>
        <v>Quận Hoàn Kiếm</v>
      </c>
      <c r="F18" s="3" t="s">
        <v>782</v>
      </c>
      <c r="G18" s="4" t="str">
        <f>HYPERLINK("https://diaocthongthai.com/phuong-hang-ma-quan-hoan-kiem/","Phường Hàng Mã")</f>
        <v>Phường Hàng Mã</v>
      </c>
    </row>
    <row r="19" spans="1:7" x14ac:dyDescent="0.25">
      <c r="A19" s="2">
        <v>18</v>
      </c>
      <c r="B19" s="3" t="s">
        <v>3</v>
      </c>
      <c r="C19" s="4" t="str">
        <f t="shared" si="0"/>
        <v>Hà Nội</v>
      </c>
      <c r="D19" s="3" t="s">
        <v>67</v>
      </c>
      <c r="E19" s="4" t="str">
        <f t="shared" si="2"/>
        <v>Quận Hoàn Kiếm</v>
      </c>
      <c r="F19" s="3" t="s">
        <v>783</v>
      </c>
      <c r="G19" s="4" t="str">
        <f>HYPERLINK("https://diaocthongthai.com/phuong-hang-buom-quan-hoan-kiem/","Phường Hàng Buồm")</f>
        <v>Phường Hàng Buồm</v>
      </c>
    </row>
    <row r="20" spans="1:7" x14ac:dyDescent="0.25">
      <c r="A20" s="2">
        <v>19</v>
      </c>
      <c r="B20" s="3" t="s">
        <v>3</v>
      </c>
      <c r="C20" s="4" t="str">
        <f t="shared" si="0"/>
        <v>Hà Nội</v>
      </c>
      <c r="D20" s="3" t="s">
        <v>67</v>
      </c>
      <c r="E20" s="4" t="str">
        <f t="shared" si="2"/>
        <v>Quận Hoàn Kiếm</v>
      </c>
      <c r="F20" s="3" t="s">
        <v>784</v>
      </c>
      <c r="G20" s="4" t="str">
        <f>HYPERLINK("https://diaocthongthai.com/phuong-hang-dao-quan-hoan-kiem/","Phường Hàng Đào")</f>
        <v>Phường Hàng Đào</v>
      </c>
    </row>
    <row r="21" spans="1:7" x14ac:dyDescent="0.25">
      <c r="A21" s="2">
        <v>20</v>
      </c>
      <c r="B21" s="3" t="s">
        <v>3</v>
      </c>
      <c r="C21" s="4" t="str">
        <f t="shared" si="0"/>
        <v>Hà Nội</v>
      </c>
      <c r="D21" s="3" t="s">
        <v>67</v>
      </c>
      <c r="E21" s="4" t="str">
        <f t="shared" si="2"/>
        <v>Quận Hoàn Kiếm</v>
      </c>
      <c r="F21" s="3" t="s">
        <v>785</v>
      </c>
      <c r="G21" s="4" t="str">
        <f>HYPERLINK("https://diaocthongthai.com/phuong-hang-bo-quan-hoan-kiem/","Phường Hàng Bồ")</f>
        <v>Phường Hàng Bồ</v>
      </c>
    </row>
    <row r="22" spans="1:7" x14ac:dyDescent="0.25">
      <c r="A22" s="2">
        <v>21</v>
      </c>
      <c r="B22" s="3" t="s">
        <v>3</v>
      </c>
      <c r="C22" s="4" t="str">
        <f t="shared" si="0"/>
        <v>Hà Nội</v>
      </c>
      <c r="D22" s="3" t="s">
        <v>67</v>
      </c>
      <c r="E22" s="4" t="str">
        <f t="shared" si="2"/>
        <v>Quận Hoàn Kiếm</v>
      </c>
      <c r="F22" s="3" t="s">
        <v>786</v>
      </c>
      <c r="G22" s="4" t="str">
        <f>HYPERLINK("https://diaocthongthai.com/phuong-cua-dong-quan-hoan-kiem/","Phường Cửa Đông")</f>
        <v>Phường Cửa Đông</v>
      </c>
    </row>
    <row r="23" spans="1:7" x14ac:dyDescent="0.25">
      <c r="A23" s="2">
        <v>22</v>
      </c>
      <c r="B23" s="3" t="s">
        <v>3</v>
      </c>
      <c r="C23" s="4" t="str">
        <f t="shared" si="0"/>
        <v>Hà Nội</v>
      </c>
      <c r="D23" s="3" t="s">
        <v>67</v>
      </c>
      <c r="E23" s="4" t="str">
        <f t="shared" si="2"/>
        <v>Quận Hoàn Kiếm</v>
      </c>
      <c r="F23" s="3" t="s">
        <v>787</v>
      </c>
      <c r="G23" s="4" t="str">
        <f>HYPERLINK("https://diaocthongthai.com/phuong-ly-thai-to-quan-hoan-kiem/","Phường Lý Thái Tổ")</f>
        <v>Phường Lý Thái Tổ</v>
      </c>
    </row>
    <row r="24" spans="1:7" x14ac:dyDescent="0.25">
      <c r="A24" s="2">
        <v>23</v>
      </c>
      <c r="B24" s="3" t="s">
        <v>3</v>
      </c>
      <c r="C24" s="4" t="str">
        <f t="shared" si="0"/>
        <v>Hà Nội</v>
      </c>
      <c r="D24" s="3" t="s">
        <v>67</v>
      </c>
      <c r="E24" s="4" t="str">
        <f t="shared" si="2"/>
        <v>Quận Hoàn Kiếm</v>
      </c>
      <c r="F24" s="3" t="s">
        <v>788</v>
      </c>
      <c r="G24" s="4" t="str">
        <f>HYPERLINK("https://diaocthongthai.com/phuong-hang-bac-quan-hoan-kiem/","Phường Hàng Bạc")</f>
        <v>Phường Hàng Bạc</v>
      </c>
    </row>
    <row r="25" spans="1:7" x14ac:dyDescent="0.25">
      <c r="A25" s="2">
        <v>24</v>
      </c>
      <c r="B25" s="3" t="s">
        <v>3</v>
      </c>
      <c r="C25" s="4" t="str">
        <f t="shared" si="0"/>
        <v>Hà Nội</v>
      </c>
      <c r="D25" s="3" t="s">
        <v>67</v>
      </c>
      <c r="E25" s="4" t="str">
        <f t="shared" si="2"/>
        <v>Quận Hoàn Kiếm</v>
      </c>
      <c r="F25" s="3" t="s">
        <v>789</v>
      </c>
      <c r="G25" s="4" t="str">
        <f>HYPERLINK("https://diaocthongthai.com/phuong-hang-gai-quan-hoan-kiem/","Phường Hàng Gai")</f>
        <v>Phường Hàng Gai</v>
      </c>
    </row>
    <row r="26" spans="1:7" x14ac:dyDescent="0.25">
      <c r="A26" s="2">
        <v>25</v>
      </c>
      <c r="B26" s="3" t="s">
        <v>3</v>
      </c>
      <c r="C26" s="4" t="str">
        <f t="shared" si="0"/>
        <v>Hà Nội</v>
      </c>
      <c r="D26" s="3" t="s">
        <v>67</v>
      </c>
      <c r="E26" s="4" t="str">
        <f t="shared" si="2"/>
        <v>Quận Hoàn Kiếm</v>
      </c>
      <c r="F26" s="3" t="s">
        <v>790</v>
      </c>
      <c r="G26" s="4" t="str">
        <f>HYPERLINK("https://diaocthongthai.com/phuong-chuong-duong-quan-hoan-kiem/","Phường Chương Dương")</f>
        <v>Phường Chương Dương</v>
      </c>
    </row>
    <row r="27" spans="1:7" x14ac:dyDescent="0.25">
      <c r="A27" s="2">
        <v>26</v>
      </c>
      <c r="B27" s="3" t="s">
        <v>3</v>
      </c>
      <c r="C27" s="4" t="str">
        <f t="shared" si="0"/>
        <v>Hà Nội</v>
      </c>
      <c r="D27" s="3" t="s">
        <v>67</v>
      </c>
      <c r="E27" s="4" t="str">
        <f t="shared" si="2"/>
        <v>Quận Hoàn Kiếm</v>
      </c>
      <c r="F27" s="3" t="s">
        <v>791</v>
      </c>
      <c r="G27" s="4" t="str">
        <f>HYPERLINK("https://diaocthongthai.com/phuong-hang-trong-quan-hoan-kiem/","Phường Hàng Trống")</f>
        <v>Phường Hàng Trống</v>
      </c>
    </row>
    <row r="28" spans="1:7" x14ac:dyDescent="0.25">
      <c r="A28" s="2">
        <v>27</v>
      </c>
      <c r="B28" s="3" t="s">
        <v>3</v>
      </c>
      <c r="C28" s="4" t="str">
        <f t="shared" si="0"/>
        <v>Hà Nội</v>
      </c>
      <c r="D28" s="3" t="s">
        <v>67</v>
      </c>
      <c r="E28" s="4" t="str">
        <f t="shared" si="2"/>
        <v>Quận Hoàn Kiếm</v>
      </c>
      <c r="F28" s="3" t="s">
        <v>792</v>
      </c>
      <c r="G28" s="4" t="str">
        <f>HYPERLINK("https://diaocthongthai.com/phuong-cua-nam-quan-hoan-kiem/","Phường Cửa Nam")</f>
        <v>Phường Cửa Nam</v>
      </c>
    </row>
    <row r="29" spans="1:7" x14ac:dyDescent="0.25">
      <c r="A29" s="2">
        <v>28</v>
      </c>
      <c r="B29" s="3" t="s">
        <v>3</v>
      </c>
      <c r="C29" s="4" t="str">
        <f t="shared" si="0"/>
        <v>Hà Nội</v>
      </c>
      <c r="D29" s="3" t="s">
        <v>67</v>
      </c>
      <c r="E29" s="4" t="str">
        <f t="shared" si="2"/>
        <v>Quận Hoàn Kiếm</v>
      </c>
      <c r="F29" s="3" t="s">
        <v>793</v>
      </c>
      <c r="G29" s="4" t="str">
        <f>HYPERLINK("https://diaocthongthai.com/phuong-hang-bong-quan-hoan-kiem/","Phường Hàng Bông")</f>
        <v>Phường Hàng Bông</v>
      </c>
    </row>
    <row r="30" spans="1:7" x14ac:dyDescent="0.25">
      <c r="A30" s="2">
        <v>29</v>
      </c>
      <c r="B30" s="3" t="s">
        <v>3</v>
      </c>
      <c r="C30" s="4" t="str">
        <f t="shared" si="0"/>
        <v>Hà Nội</v>
      </c>
      <c r="D30" s="3" t="s">
        <v>67</v>
      </c>
      <c r="E30" s="4" t="str">
        <f t="shared" si="2"/>
        <v>Quận Hoàn Kiếm</v>
      </c>
      <c r="F30" s="3" t="s">
        <v>794</v>
      </c>
      <c r="G30" s="4" t="str">
        <f>HYPERLINK("https://diaocthongthai.com/phuong-trang-tien-quan-hoan-kiem/","Phường Tràng Tiền")</f>
        <v>Phường Tràng Tiền</v>
      </c>
    </row>
    <row r="31" spans="1:7" x14ac:dyDescent="0.25">
      <c r="A31" s="2">
        <v>30</v>
      </c>
      <c r="B31" s="3" t="s">
        <v>3</v>
      </c>
      <c r="C31" s="4" t="str">
        <f t="shared" si="0"/>
        <v>Hà Nội</v>
      </c>
      <c r="D31" s="3" t="s">
        <v>67</v>
      </c>
      <c r="E31" s="4" t="str">
        <f t="shared" si="2"/>
        <v>Quận Hoàn Kiếm</v>
      </c>
      <c r="F31" s="3" t="s">
        <v>795</v>
      </c>
      <c r="G31" s="4" t="str">
        <f>HYPERLINK("https://diaocthongthai.com/phuong-tran-hung-dao-quan-hoan-kiem/","Phường Trần Hưng Đạo")</f>
        <v>Phường Trần Hưng Đạo</v>
      </c>
    </row>
    <row r="32" spans="1:7" x14ac:dyDescent="0.25">
      <c r="A32" s="2">
        <v>31</v>
      </c>
      <c r="B32" s="3" t="s">
        <v>3</v>
      </c>
      <c r="C32" s="4" t="str">
        <f t="shared" si="0"/>
        <v>Hà Nội</v>
      </c>
      <c r="D32" s="3" t="s">
        <v>67</v>
      </c>
      <c r="E32" s="4" t="str">
        <f t="shared" si="2"/>
        <v>Quận Hoàn Kiếm</v>
      </c>
      <c r="F32" s="3" t="s">
        <v>796</v>
      </c>
      <c r="G32" s="4" t="str">
        <f>HYPERLINK("https://diaocthongthai.com/phuong-phan-chu-trinh-quan-hoan-kiem/","Phường Phan Chu Trinh")</f>
        <v>Phường Phan Chu Trinh</v>
      </c>
    </row>
    <row r="33" spans="1:7" x14ac:dyDescent="0.25">
      <c r="A33" s="2">
        <v>32</v>
      </c>
      <c r="B33" s="3" t="s">
        <v>3</v>
      </c>
      <c r="C33" s="4" t="str">
        <f t="shared" si="0"/>
        <v>Hà Nội</v>
      </c>
      <c r="D33" s="3" t="s">
        <v>67</v>
      </c>
      <c r="E33" s="4" t="str">
        <f t="shared" si="2"/>
        <v>Quận Hoàn Kiếm</v>
      </c>
      <c r="F33" s="3" t="s">
        <v>797</v>
      </c>
      <c r="G33" s="4" t="str">
        <f>HYPERLINK("https://diaocthongthai.com/phuong-hang-bai-quan-hoan-kiem/","Phường Hàng Bài")</f>
        <v>Phường Hàng Bài</v>
      </c>
    </row>
    <row r="34" spans="1:7" x14ac:dyDescent="0.25">
      <c r="A34" s="2">
        <v>33</v>
      </c>
      <c r="B34" s="3" t="s">
        <v>3</v>
      </c>
      <c r="C34" s="4" t="str">
        <f t="shared" si="0"/>
        <v>Hà Nội</v>
      </c>
      <c r="D34" s="3" t="s">
        <v>68</v>
      </c>
      <c r="E34" s="4" t="str">
        <f t="shared" ref="E34:E41" si="3">HYPERLINK("https://diaocthongthai.com/ban-do-quan-tay-ho-tp-ha-noi/","Quận Tây Hồ")</f>
        <v>Quận Tây Hồ</v>
      </c>
      <c r="F34" s="3" t="s">
        <v>798</v>
      </c>
      <c r="G34" s="4" t="str">
        <f>HYPERLINK("https://diaocthongthai.com/phuong-phu-thuong-quan-tay-ho/","Phường Phú Thượng")</f>
        <v>Phường Phú Thượng</v>
      </c>
    </row>
    <row r="35" spans="1:7" x14ac:dyDescent="0.25">
      <c r="A35" s="2">
        <v>34</v>
      </c>
      <c r="B35" s="3" t="s">
        <v>3</v>
      </c>
      <c r="C35" s="4" t="str">
        <f t="shared" si="0"/>
        <v>Hà Nội</v>
      </c>
      <c r="D35" s="3" t="s">
        <v>68</v>
      </c>
      <c r="E35" s="4" t="str">
        <f t="shared" si="3"/>
        <v>Quận Tây Hồ</v>
      </c>
      <c r="F35" s="3" t="s">
        <v>799</v>
      </c>
      <c r="G35" s="4" t="str">
        <f>HYPERLINK("https://diaocthongthai.com/phuong-nhat-tan-quan-tay-ho/","Phường Nhật Tân")</f>
        <v>Phường Nhật Tân</v>
      </c>
    </row>
    <row r="36" spans="1:7" x14ac:dyDescent="0.25">
      <c r="A36" s="2">
        <v>35</v>
      </c>
      <c r="B36" s="3" t="s">
        <v>3</v>
      </c>
      <c r="C36" s="4" t="str">
        <f t="shared" si="0"/>
        <v>Hà Nội</v>
      </c>
      <c r="D36" s="3" t="s">
        <v>68</v>
      </c>
      <c r="E36" s="4" t="str">
        <f t="shared" si="3"/>
        <v>Quận Tây Hồ</v>
      </c>
      <c r="F36" s="3" t="s">
        <v>800</v>
      </c>
      <c r="G36" s="4" t="str">
        <f>HYPERLINK("https://diaocthongthai.com/phuong-tu-lien-quan-tay-ho/","Phường Tứ Liên")</f>
        <v>Phường Tứ Liên</v>
      </c>
    </row>
    <row r="37" spans="1:7" x14ac:dyDescent="0.25">
      <c r="A37" s="2">
        <v>36</v>
      </c>
      <c r="B37" s="3" t="s">
        <v>3</v>
      </c>
      <c r="C37" s="4" t="str">
        <f t="shared" si="0"/>
        <v>Hà Nội</v>
      </c>
      <c r="D37" s="3" t="s">
        <v>68</v>
      </c>
      <c r="E37" s="4" t="str">
        <f t="shared" si="3"/>
        <v>Quận Tây Hồ</v>
      </c>
      <c r="F37" s="3" t="s">
        <v>801</v>
      </c>
      <c r="G37" s="4" t="str">
        <f>HYPERLINK("https://diaocthongthai.com/phuong-quang-an-quan-tay-ho/","Phường Quảng An")</f>
        <v>Phường Quảng An</v>
      </c>
    </row>
    <row r="38" spans="1:7" x14ac:dyDescent="0.25">
      <c r="A38" s="2">
        <v>37</v>
      </c>
      <c r="B38" s="3" t="s">
        <v>3</v>
      </c>
      <c r="C38" s="4" t="str">
        <f t="shared" si="0"/>
        <v>Hà Nội</v>
      </c>
      <c r="D38" s="3" t="s">
        <v>68</v>
      </c>
      <c r="E38" s="4" t="str">
        <f t="shared" si="3"/>
        <v>Quận Tây Hồ</v>
      </c>
      <c r="F38" s="3" t="s">
        <v>802</v>
      </c>
      <c r="G38" s="4" t="str">
        <f>HYPERLINK("https://diaocthongthai.com/phuong-xuan-la-quan-tay-ho/","Phường Xuân La")</f>
        <v>Phường Xuân La</v>
      </c>
    </row>
    <row r="39" spans="1:7" x14ac:dyDescent="0.25">
      <c r="A39" s="2">
        <v>38</v>
      </c>
      <c r="B39" s="3" t="s">
        <v>3</v>
      </c>
      <c r="C39" s="4" t="str">
        <f t="shared" si="0"/>
        <v>Hà Nội</v>
      </c>
      <c r="D39" s="3" t="s">
        <v>68</v>
      </c>
      <c r="E39" s="4" t="str">
        <f t="shared" si="3"/>
        <v>Quận Tây Hồ</v>
      </c>
      <c r="F39" s="3" t="s">
        <v>803</v>
      </c>
      <c r="G39" s="4" t="str">
        <f>HYPERLINK("https://diaocthongthai.com/phuong-yen-phu-quan-tay-ho/","Phường Yên Phụ")</f>
        <v>Phường Yên Phụ</v>
      </c>
    </row>
    <row r="40" spans="1:7" x14ac:dyDescent="0.25">
      <c r="A40" s="2">
        <v>39</v>
      </c>
      <c r="B40" s="3" t="s">
        <v>3</v>
      </c>
      <c r="C40" s="4" t="str">
        <f t="shared" si="0"/>
        <v>Hà Nội</v>
      </c>
      <c r="D40" s="3" t="s">
        <v>68</v>
      </c>
      <c r="E40" s="4" t="str">
        <f t="shared" si="3"/>
        <v>Quận Tây Hồ</v>
      </c>
      <c r="F40" s="3" t="s">
        <v>804</v>
      </c>
      <c r="G40" s="4" t="str">
        <f>HYPERLINK("https://diaocthongthai.com/phuong-buoi-quan-tay-ho/","Phường Bưởi")</f>
        <v>Phường Bưởi</v>
      </c>
    </row>
    <row r="41" spans="1:7" x14ac:dyDescent="0.25">
      <c r="A41" s="2">
        <v>40</v>
      </c>
      <c r="B41" s="3" t="s">
        <v>3</v>
      </c>
      <c r="C41" s="4" t="str">
        <f t="shared" si="0"/>
        <v>Hà Nội</v>
      </c>
      <c r="D41" s="3" t="s">
        <v>68</v>
      </c>
      <c r="E41" s="4" t="str">
        <f t="shared" si="3"/>
        <v>Quận Tây Hồ</v>
      </c>
      <c r="F41" s="3" t="s">
        <v>805</v>
      </c>
      <c r="G41" s="4" t="str">
        <f>HYPERLINK("https://diaocthongthai.com/phuong-thuy-khue-quan-tay-ho/","Phường Thụy Khuê")</f>
        <v>Phường Thụy Khuê</v>
      </c>
    </row>
    <row r="42" spans="1:7" x14ac:dyDescent="0.25">
      <c r="A42" s="2">
        <v>41</v>
      </c>
      <c r="B42" s="3" t="s">
        <v>3</v>
      </c>
      <c r="C42" s="4" t="str">
        <f t="shared" si="0"/>
        <v>Hà Nội</v>
      </c>
      <c r="D42" s="3" t="s">
        <v>69</v>
      </c>
      <c r="E42" s="4" t="str">
        <f t="shared" ref="E42:E55" si="4">HYPERLINK("https://diaocthongthai.com/ban-do-quan-long-bien-tp-ha-noi/","Quận Long Biên")</f>
        <v>Quận Long Biên</v>
      </c>
      <c r="F42" s="3" t="s">
        <v>806</v>
      </c>
      <c r="G42" s="4" t="str">
        <f>HYPERLINK("https://diaocthongthai.com/phuong-thuong-thanh-quan-long-bien/","Phường Thượng Thanh")</f>
        <v>Phường Thượng Thanh</v>
      </c>
    </row>
    <row r="43" spans="1:7" x14ac:dyDescent="0.25">
      <c r="A43" s="2">
        <v>42</v>
      </c>
      <c r="B43" s="3" t="s">
        <v>3</v>
      </c>
      <c r="C43" s="4" t="str">
        <f t="shared" si="0"/>
        <v>Hà Nội</v>
      </c>
      <c r="D43" s="3" t="s">
        <v>69</v>
      </c>
      <c r="E43" s="4" t="str">
        <f t="shared" si="4"/>
        <v>Quận Long Biên</v>
      </c>
      <c r="F43" s="3" t="s">
        <v>807</v>
      </c>
      <c r="G43" s="4" t="str">
        <f>HYPERLINK("https://diaocthongthai.com/phuong-ngoc-thuy-quan-long-bien/","Phường Ngọc Thụy")</f>
        <v>Phường Ngọc Thụy</v>
      </c>
    </row>
    <row r="44" spans="1:7" x14ac:dyDescent="0.25">
      <c r="A44" s="2">
        <v>43</v>
      </c>
      <c r="B44" s="3" t="s">
        <v>3</v>
      </c>
      <c r="C44" s="4" t="str">
        <f t="shared" si="0"/>
        <v>Hà Nội</v>
      </c>
      <c r="D44" s="3" t="s">
        <v>69</v>
      </c>
      <c r="E44" s="4" t="str">
        <f t="shared" si="4"/>
        <v>Quận Long Biên</v>
      </c>
      <c r="F44" s="3" t="s">
        <v>808</v>
      </c>
      <c r="G44" s="4" t="str">
        <f>HYPERLINK("https://diaocthongthai.com/phuong-giang-bien-quan-long-bien/","Phường Giang Biên")</f>
        <v>Phường Giang Biên</v>
      </c>
    </row>
    <row r="45" spans="1:7" x14ac:dyDescent="0.25">
      <c r="A45" s="2">
        <v>44</v>
      </c>
      <c r="B45" s="3" t="s">
        <v>3</v>
      </c>
      <c r="C45" s="4" t="str">
        <f t="shared" si="0"/>
        <v>Hà Nội</v>
      </c>
      <c r="D45" s="3" t="s">
        <v>69</v>
      </c>
      <c r="E45" s="4" t="str">
        <f t="shared" si="4"/>
        <v>Quận Long Biên</v>
      </c>
      <c r="F45" s="3" t="s">
        <v>809</v>
      </c>
      <c r="G45" s="4" t="str">
        <f>HYPERLINK("https://diaocthongthai.com/phuong-duc-giang-quan-long-bien/","Phường Đức Giang")</f>
        <v>Phường Đức Giang</v>
      </c>
    </row>
    <row r="46" spans="1:7" x14ac:dyDescent="0.25">
      <c r="A46" s="2">
        <v>45</v>
      </c>
      <c r="B46" s="3" t="s">
        <v>3</v>
      </c>
      <c r="C46" s="4" t="str">
        <f t="shared" si="0"/>
        <v>Hà Nội</v>
      </c>
      <c r="D46" s="3" t="s">
        <v>69</v>
      </c>
      <c r="E46" s="4" t="str">
        <f t="shared" si="4"/>
        <v>Quận Long Biên</v>
      </c>
      <c r="F46" s="3" t="s">
        <v>810</v>
      </c>
      <c r="G46" s="4" t="str">
        <f>HYPERLINK("https://diaocthongthai.com/phuong-viet-hung-quan-long-bien/","Phường Việt Hưng")</f>
        <v>Phường Việt Hưng</v>
      </c>
    </row>
    <row r="47" spans="1:7" x14ac:dyDescent="0.25">
      <c r="A47" s="2">
        <v>46</v>
      </c>
      <c r="B47" s="3" t="s">
        <v>3</v>
      </c>
      <c r="C47" s="4" t="str">
        <f t="shared" si="0"/>
        <v>Hà Nội</v>
      </c>
      <c r="D47" s="3" t="s">
        <v>69</v>
      </c>
      <c r="E47" s="4" t="str">
        <f t="shared" si="4"/>
        <v>Quận Long Biên</v>
      </c>
      <c r="F47" s="3" t="s">
        <v>811</v>
      </c>
      <c r="G47" s="4" t="str">
        <f>HYPERLINK("https://diaocthongthai.com/phuong-gia-thuy-quan-long-bien/","Phường Gia Thụy")</f>
        <v>Phường Gia Thụy</v>
      </c>
    </row>
    <row r="48" spans="1:7" x14ac:dyDescent="0.25">
      <c r="A48" s="2">
        <v>47</v>
      </c>
      <c r="B48" s="3" t="s">
        <v>3</v>
      </c>
      <c r="C48" s="4" t="str">
        <f t="shared" si="0"/>
        <v>Hà Nội</v>
      </c>
      <c r="D48" s="3" t="s">
        <v>69</v>
      </c>
      <c r="E48" s="4" t="str">
        <f t="shared" si="4"/>
        <v>Quận Long Biên</v>
      </c>
      <c r="F48" s="3" t="s">
        <v>812</v>
      </c>
      <c r="G48" s="4" t="str">
        <f>HYPERLINK("https://diaocthongthai.com/phuong-ngoc-lam-quan-long-bien/","Phường Ngọc Lâm")</f>
        <v>Phường Ngọc Lâm</v>
      </c>
    </row>
    <row r="49" spans="1:7" x14ac:dyDescent="0.25">
      <c r="A49" s="2">
        <v>48</v>
      </c>
      <c r="B49" s="3" t="s">
        <v>3</v>
      </c>
      <c r="C49" s="4" t="str">
        <f t="shared" si="0"/>
        <v>Hà Nội</v>
      </c>
      <c r="D49" s="3" t="s">
        <v>69</v>
      </c>
      <c r="E49" s="4" t="str">
        <f t="shared" si="4"/>
        <v>Quận Long Biên</v>
      </c>
      <c r="F49" s="3" t="s">
        <v>813</v>
      </c>
      <c r="G49" s="4" t="str">
        <f>HYPERLINK("https://diaocthongthai.com/phuong-phuc-loi-quan-long-bien/","Phường Phúc Lợi")</f>
        <v>Phường Phúc Lợi</v>
      </c>
    </row>
    <row r="50" spans="1:7" x14ac:dyDescent="0.25">
      <c r="A50" s="2">
        <v>49</v>
      </c>
      <c r="B50" s="3" t="s">
        <v>3</v>
      </c>
      <c r="C50" s="4" t="str">
        <f t="shared" si="0"/>
        <v>Hà Nội</v>
      </c>
      <c r="D50" s="3" t="s">
        <v>69</v>
      </c>
      <c r="E50" s="4" t="str">
        <f t="shared" si="4"/>
        <v>Quận Long Biên</v>
      </c>
      <c r="F50" s="3" t="s">
        <v>814</v>
      </c>
      <c r="G50" s="4" t="str">
        <f>HYPERLINK("https://diaocthongthai.com/phuong-bo-de-quan-long-bien/","Phường Bồ Đề")</f>
        <v>Phường Bồ Đề</v>
      </c>
    </row>
    <row r="51" spans="1:7" x14ac:dyDescent="0.25">
      <c r="A51" s="2">
        <v>50</v>
      </c>
      <c r="B51" s="3" t="s">
        <v>3</v>
      </c>
      <c r="C51" s="4" t="str">
        <f t="shared" si="0"/>
        <v>Hà Nội</v>
      </c>
      <c r="D51" s="3" t="s">
        <v>69</v>
      </c>
      <c r="E51" s="4" t="str">
        <f t="shared" si="4"/>
        <v>Quận Long Biên</v>
      </c>
      <c r="F51" s="3" t="s">
        <v>815</v>
      </c>
      <c r="G51" s="4" t="str">
        <f>HYPERLINK("https://diaocthongthai.com/phuong-sai-dong-quan-long-bien/","Phường Sài Đồng")</f>
        <v>Phường Sài Đồng</v>
      </c>
    </row>
    <row r="52" spans="1:7" x14ac:dyDescent="0.25">
      <c r="A52" s="2">
        <v>51</v>
      </c>
      <c r="B52" s="3" t="s">
        <v>3</v>
      </c>
      <c r="C52" s="4" t="str">
        <f t="shared" si="0"/>
        <v>Hà Nội</v>
      </c>
      <c r="D52" s="3" t="s">
        <v>69</v>
      </c>
      <c r="E52" s="4" t="str">
        <f t="shared" si="4"/>
        <v>Quận Long Biên</v>
      </c>
      <c r="F52" s="3" t="s">
        <v>816</v>
      </c>
      <c r="G52" s="4" t="str">
        <f>HYPERLINK("https://diaocthongthai.com/phuong-long-bien-quan-long-bien/","Phường Long Biên")</f>
        <v>Phường Long Biên</v>
      </c>
    </row>
    <row r="53" spans="1:7" x14ac:dyDescent="0.25">
      <c r="A53" s="2">
        <v>52</v>
      </c>
      <c r="B53" s="3" t="s">
        <v>3</v>
      </c>
      <c r="C53" s="4" t="str">
        <f t="shared" si="0"/>
        <v>Hà Nội</v>
      </c>
      <c r="D53" s="3" t="s">
        <v>69</v>
      </c>
      <c r="E53" s="4" t="str">
        <f t="shared" si="4"/>
        <v>Quận Long Biên</v>
      </c>
      <c r="F53" s="3" t="s">
        <v>817</v>
      </c>
      <c r="G53" s="4" t="str">
        <f>HYPERLINK("https://diaocthongthai.com/phuong-thach-ban-quan-long-bien/","Phường Thạch Bàn")</f>
        <v>Phường Thạch Bàn</v>
      </c>
    </row>
    <row r="54" spans="1:7" x14ac:dyDescent="0.25">
      <c r="A54" s="2">
        <v>53</v>
      </c>
      <c r="B54" s="3" t="s">
        <v>3</v>
      </c>
      <c r="C54" s="4" t="str">
        <f t="shared" si="0"/>
        <v>Hà Nội</v>
      </c>
      <c r="D54" s="3" t="s">
        <v>69</v>
      </c>
      <c r="E54" s="4" t="str">
        <f t="shared" si="4"/>
        <v>Quận Long Biên</v>
      </c>
      <c r="F54" s="3" t="s">
        <v>818</v>
      </c>
      <c r="G54" s="4" t="str">
        <f>HYPERLINK("https://diaocthongthai.com/phuong-phuc-dong-quan-long-bien/","Phường Phúc Đồng")</f>
        <v>Phường Phúc Đồng</v>
      </c>
    </row>
    <row r="55" spans="1:7" x14ac:dyDescent="0.25">
      <c r="A55" s="2">
        <v>54</v>
      </c>
      <c r="B55" s="3" t="s">
        <v>3</v>
      </c>
      <c r="C55" s="4" t="str">
        <f t="shared" si="0"/>
        <v>Hà Nội</v>
      </c>
      <c r="D55" s="3" t="s">
        <v>69</v>
      </c>
      <c r="E55" s="4" t="str">
        <f t="shared" si="4"/>
        <v>Quận Long Biên</v>
      </c>
      <c r="F55" s="3" t="s">
        <v>819</v>
      </c>
      <c r="G55" s="4" t="str">
        <f>HYPERLINK("https://diaocthongthai.com/phuong-cu-khoi-quan-long-bien/","Phường Cự Khối")</f>
        <v>Phường Cự Khối</v>
      </c>
    </row>
    <row r="56" spans="1:7" x14ac:dyDescent="0.25">
      <c r="A56" s="2">
        <v>55</v>
      </c>
      <c r="B56" s="3" t="s">
        <v>3</v>
      </c>
      <c r="C56" s="4" t="str">
        <f t="shared" si="0"/>
        <v>Hà Nội</v>
      </c>
      <c r="D56" s="3" t="s">
        <v>70</v>
      </c>
      <c r="E56" s="4" t="str">
        <f t="shared" ref="E56:E63" si="5">HYPERLINK("https://diaocthongthai.com/ban-do-quan-cau-giay-tp-ha-noi/","Quận Cầu Giấy")</f>
        <v>Quận Cầu Giấy</v>
      </c>
      <c r="F56" s="3" t="s">
        <v>820</v>
      </c>
      <c r="G56" s="4" t="str">
        <f>HYPERLINK("https://diaocthongthai.com/phuong-nghia-do-quan-cau-giay/","Phường Nghĩa Đô")</f>
        <v>Phường Nghĩa Đô</v>
      </c>
    </row>
    <row r="57" spans="1:7" x14ac:dyDescent="0.25">
      <c r="A57" s="2">
        <v>56</v>
      </c>
      <c r="B57" s="3" t="s">
        <v>3</v>
      </c>
      <c r="C57" s="4" t="str">
        <f t="shared" si="0"/>
        <v>Hà Nội</v>
      </c>
      <c r="D57" s="3" t="s">
        <v>70</v>
      </c>
      <c r="E57" s="4" t="str">
        <f t="shared" si="5"/>
        <v>Quận Cầu Giấy</v>
      </c>
      <c r="F57" s="3" t="s">
        <v>821</v>
      </c>
      <c r="G57" s="4" t="str">
        <f>HYPERLINK("https://diaocthongthai.com/phuong-nghia-tan-quan-cau-giay/","Phường Nghĩa Tân")</f>
        <v>Phường Nghĩa Tân</v>
      </c>
    </row>
    <row r="58" spans="1:7" x14ac:dyDescent="0.25">
      <c r="A58" s="2">
        <v>57</v>
      </c>
      <c r="B58" s="3" t="s">
        <v>3</v>
      </c>
      <c r="C58" s="4" t="str">
        <f t="shared" si="0"/>
        <v>Hà Nội</v>
      </c>
      <c r="D58" s="3" t="s">
        <v>70</v>
      </c>
      <c r="E58" s="4" t="str">
        <f t="shared" si="5"/>
        <v>Quận Cầu Giấy</v>
      </c>
      <c r="F58" s="3" t="s">
        <v>822</v>
      </c>
      <c r="G58" s="4" t="str">
        <f>HYPERLINK("https://diaocthongthai.com/phuong-mai-dich-quan-cau-giay/","Phường Mai Dịch")</f>
        <v>Phường Mai Dịch</v>
      </c>
    </row>
    <row r="59" spans="1:7" x14ac:dyDescent="0.25">
      <c r="A59" s="2">
        <v>58</v>
      </c>
      <c r="B59" s="3" t="s">
        <v>3</v>
      </c>
      <c r="C59" s="4" t="str">
        <f t="shared" si="0"/>
        <v>Hà Nội</v>
      </c>
      <c r="D59" s="3" t="s">
        <v>70</v>
      </c>
      <c r="E59" s="4" t="str">
        <f t="shared" si="5"/>
        <v>Quận Cầu Giấy</v>
      </c>
      <c r="F59" s="3" t="s">
        <v>823</v>
      </c>
      <c r="G59" s="4" t="str">
        <f>HYPERLINK("https://diaocthongthai.com/phuong-dich-vong-quan-cau-giay/","Phường Dịch Vọng")</f>
        <v>Phường Dịch Vọng</v>
      </c>
    </row>
    <row r="60" spans="1:7" x14ac:dyDescent="0.25">
      <c r="A60" s="2">
        <v>59</v>
      </c>
      <c r="B60" s="3" t="s">
        <v>3</v>
      </c>
      <c r="C60" s="4" t="str">
        <f t="shared" si="0"/>
        <v>Hà Nội</v>
      </c>
      <c r="D60" s="3" t="s">
        <v>70</v>
      </c>
      <c r="E60" s="4" t="str">
        <f t="shared" si="5"/>
        <v>Quận Cầu Giấy</v>
      </c>
      <c r="F60" s="3" t="s">
        <v>824</v>
      </c>
      <c r="G60" s="4" t="str">
        <f>HYPERLINK("https://diaocthongthai.com/phuong-dich-vong-hau-quan-cau-giay/","Phường Dịch Vọng Hậu")</f>
        <v>Phường Dịch Vọng Hậu</v>
      </c>
    </row>
    <row r="61" spans="1:7" x14ac:dyDescent="0.25">
      <c r="A61" s="2">
        <v>60</v>
      </c>
      <c r="B61" s="3" t="s">
        <v>3</v>
      </c>
      <c r="C61" s="4" t="str">
        <f t="shared" si="0"/>
        <v>Hà Nội</v>
      </c>
      <c r="D61" s="3" t="s">
        <v>70</v>
      </c>
      <c r="E61" s="4" t="str">
        <f t="shared" si="5"/>
        <v>Quận Cầu Giấy</v>
      </c>
      <c r="F61" s="3" t="s">
        <v>825</v>
      </c>
      <c r="G61" s="4" t="str">
        <f>HYPERLINK("https://diaocthongthai.com/phuong-quan-hoa-quan-cau-giay/","Phường Quan Hoa")</f>
        <v>Phường Quan Hoa</v>
      </c>
    </row>
    <row r="62" spans="1:7" x14ac:dyDescent="0.25">
      <c r="A62" s="2">
        <v>61</v>
      </c>
      <c r="B62" s="3" t="s">
        <v>3</v>
      </c>
      <c r="C62" s="4" t="str">
        <f t="shared" si="0"/>
        <v>Hà Nội</v>
      </c>
      <c r="D62" s="3" t="s">
        <v>70</v>
      </c>
      <c r="E62" s="4" t="str">
        <f t="shared" si="5"/>
        <v>Quận Cầu Giấy</v>
      </c>
      <c r="F62" s="3" t="s">
        <v>826</v>
      </c>
      <c r="G62" s="4" t="str">
        <f>HYPERLINK("https://diaocthongthai.com/phuong-yen-hoa-quan-cau-giay/","Phường Yên Hoà")</f>
        <v>Phường Yên Hoà</v>
      </c>
    </row>
    <row r="63" spans="1:7" x14ac:dyDescent="0.25">
      <c r="A63" s="2">
        <v>62</v>
      </c>
      <c r="B63" s="3" t="s">
        <v>3</v>
      </c>
      <c r="C63" s="4" t="str">
        <f t="shared" si="0"/>
        <v>Hà Nội</v>
      </c>
      <c r="D63" s="3" t="s">
        <v>70</v>
      </c>
      <c r="E63" s="4" t="str">
        <f t="shared" si="5"/>
        <v>Quận Cầu Giấy</v>
      </c>
      <c r="F63" s="3" t="s">
        <v>827</v>
      </c>
      <c r="G63" s="4" t="str">
        <f>HYPERLINK("https://diaocthongthai.com/phuong-trung-hoa-quan-cau-giay/","Phường Trung Hoà")</f>
        <v>Phường Trung Hoà</v>
      </c>
    </row>
    <row r="64" spans="1:7" x14ac:dyDescent="0.25">
      <c r="A64" s="2">
        <v>63</v>
      </c>
      <c r="B64" s="3" t="s">
        <v>3</v>
      </c>
      <c r="C64" s="4" t="str">
        <f t="shared" si="0"/>
        <v>Hà Nội</v>
      </c>
      <c r="D64" s="3" t="s">
        <v>71</v>
      </c>
      <c r="E64" s="4" t="str">
        <f t="shared" ref="E64:E84" si="6">HYPERLINK("https://diaocthongthai.com/ban-do-quan-dong-da-tp-ha-noi/","Quận Đống Đa")</f>
        <v>Quận Đống Đa</v>
      </c>
      <c r="F64" s="3" t="s">
        <v>828</v>
      </c>
      <c r="G64" s="4" t="str">
        <f>HYPERLINK("https://diaocthongthai.com/phuong-cat-linh-quan-dong-da/","Phường Cát Linh")</f>
        <v>Phường Cát Linh</v>
      </c>
    </row>
    <row r="65" spans="1:7" x14ac:dyDescent="0.25">
      <c r="A65" s="2">
        <v>64</v>
      </c>
      <c r="B65" s="3" t="s">
        <v>3</v>
      </c>
      <c r="C65" s="4" t="str">
        <f t="shared" si="0"/>
        <v>Hà Nội</v>
      </c>
      <c r="D65" s="3" t="s">
        <v>71</v>
      </c>
      <c r="E65" s="4" t="str">
        <f t="shared" si="6"/>
        <v>Quận Đống Đa</v>
      </c>
      <c r="F65" s="3" t="s">
        <v>829</v>
      </c>
      <c r="G65" s="4" t="str">
        <f>HYPERLINK("https://diaocthongthai.com/phuong-van-mieu-quan-dong-da/","Phường Văn Miếu")</f>
        <v>Phường Văn Miếu</v>
      </c>
    </row>
    <row r="66" spans="1:7" x14ac:dyDescent="0.25">
      <c r="A66" s="2">
        <v>65</v>
      </c>
      <c r="B66" s="3" t="s">
        <v>3</v>
      </c>
      <c r="C66" s="4" t="str">
        <f t="shared" ref="C66:C129" si="7">HYPERLINK("https://diaocthongthai.com/ban-do-ha-noi/","Hà Nội")</f>
        <v>Hà Nội</v>
      </c>
      <c r="D66" s="3" t="s">
        <v>71</v>
      </c>
      <c r="E66" s="4" t="str">
        <f t="shared" si="6"/>
        <v>Quận Đống Đa</v>
      </c>
      <c r="F66" s="3" t="s">
        <v>830</v>
      </c>
      <c r="G66" s="4" t="str">
        <f>HYPERLINK("https://diaocthongthai.com/phuong-quoc-tu-giam-quan-dong-da/","Phường Quốc Tử Giám")</f>
        <v>Phường Quốc Tử Giám</v>
      </c>
    </row>
    <row r="67" spans="1:7" x14ac:dyDescent="0.25">
      <c r="A67" s="2">
        <v>66</v>
      </c>
      <c r="B67" s="3" t="s">
        <v>3</v>
      </c>
      <c r="C67" s="4" t="str">
        <f t="shared" si="7"/>
        <v>Hà Nội</v>
      </c>
      <c r="D67" s="3" t="s">
        <v>71</v>
      </c>
      <c r="E67" s="4" t="str">
        <f t="shared" si="6"/>
        <v>Quận Đống Đa</v>
      </c>
      <c r="F67" s="3" t="s">
        <v>831</v>
      </c>
      <c r="G67" s="4" t="str">
        <f>HYPERLINK("https://diaocthongthai.com/phuong-lang-thuong-quan-dong-da/","Phường Láng Thượng")</f>
        <v>Phường Láng Thượng</v>
      </c>
    </row>
    <row r="68" spans="1:7" x14ac:dyDescent="0.25">
      <c r="A68" s="2">
        <v>67</v>
      </c>
      <c r="B68" s="3" t="s">
        <v>3</v>
      </c>
      <c r="C68" s="4" t="str">
        <f t="shared" si="7"/>
        <v>Hà Nội</v>
      </c>
      <c r="D68" s="3" t="s">
        <v>71</v>
      </c>
      <c r="E68" s="4" t="str">
        <f t="shared" si="6"/>
        <v>Quận Đống Đa</v>
      </c>
      <c r="F68" s="3" t="s">
        <v>832</v>
      </c>
      <c r="G68" s="4" t="str">
        <f>HYPERLINK("https://diaocthongthai.com/phuong-o-cho-dua-quan-dong-da/","Phường Ô Chợ Dừa")</f>
        <v>Phường Ô Chợ Dừa</v>
      </c>
    </row>
    <row r="69" spans="1:7" x14ac:dyDescent="0.25">
      <c r="A69" s="2">
        <v>68</v>
      </c>
      <c r="B69" s="3" t="s">
        <v>3</v>
      </c>
      <c r="C69" s="4" t="str">
        <f t="shared" si="7"/>
        <v>Hà Nội</v>
      </c>
      <c r="D69" s="3" t="s">
        <v>71</v>
      </c>
      <c r="E69" s="4" t="str">
        <f t="shared" si="6"/>
        <v>Quận Đống Đa</v>
      </c>
      <c r="F69" s="3" t="s">
        <v>833</v>
      </c>
      <c r="G69" s="4" t="str">
        <f>HYPERLINK("https://diaocthongthai.com/phuong-van-chuong-quan-dong-da/","Phường Văn Chương")</f>
        <v>Phường Văn Chương</v>
      </c>
    </row>
    <row r="70" spans="1:7" x14ac:dyDescent="0.25">
      <c r="A70" s="2">
        <v>69</v>
      </c>
      <c r="B70" s="3" t="s">
        <v>3</v>
      </c>
      <c r="C70" s="4" t="str">
        <f t="shared" si="7"/>
        <v>Hà Nội</v>
      </c>
      <c r="D70" s="3" t="s">
        <v>71</v>
      </c>
      <c r="E70" s="4" t="str">
        <f t="shared" si="6"/>
        <v>Quận Đống Đa</v>
      </c>
      <c r="F70" s="3" t="s">
        <v>834</v>
      </c>
      <c r="G70" s="4" t="str">
        <f>HYPERLINK("https://diaocthongthai.com/phuong-hang-bot-quan-dong-da/","Phường Hàng Bột")</f>
        <v>Phường Hàng Bột</v>
      </c>
    </row>
    <row r="71" spans="1:7" x14ac:dyDescent="0.25">
      <c r="A71" s="2">
        <v>70</v>
      </c>
      <c r="B71" s="3" t="s">
        <v>3</v>
      </c>
      <c r="C71" s="4" t="str">
        <f t="shared" si="7"/>
        <v>Hà Nội</v>
      </c>
      <c r="D71" s="3" t="s">
        <v>71</v>
      </c>
      <c r="E71" s="4" t="str">
        <f t="shared" si="6"/>
        <v>Quận Đống Đa</v>
      </c>
      <c r="F71" s="3" t="s">
        <v>835</v>
      </c>
      <c r="G71" s="4" t="str">
        <f>HYPERLINK("https://diaocthongthai.com/phuong-lang-ha-quan-dong-da/","Phường Láng Hạ")</f>
        <v>Phường Láng Hạ</v>
      </c>
    </row>
    <row r="72" spans="1:7" x14ac:dyDescent="0.25">
      <c r="A72" s="2">
        <v>71</v>
      </c>
      <c r="B72" s="3" t="s">
        <v>3</v>
      </c>
      <c r="C72" s="4" t="str">
        <f t="shared" si="7"/>
        <v>Hà Nội</v>
      </c>
      <c r="D72" s="3" t="s">
        <v>71</v>
      </c>
      <c r="E72" s="4" t="str">
        <f t="shared" si="6"/>
        <v>Quận Đống Đa</v>
      </c>
      <c r="F72" s="3" t="s">
        <v>836</v>
      </c>
      <c r="G72" s="4" t="str">
        <f>HYPERLINK("https://diaocthongthai.com/phuong-kham-thien-quan-dong-da/","Phường Khâm Thiên")</f>
        <v>Phường Khâm Thiên</v>
      </c>
    </row>
    <row r="73" spans="1:7" x14ac:dyDescent="0.25">
      <c r="A73" s="2">
        <v>72</v>
      </c>
      <c r="B73" s="3" t="s">
        <v>3</v>
      </c>
      <c r="C73" s="4" t="str">
        <f t="shared" si="7"/>
        <v>Hà Nội</v>
      </c>
      <c r="D73" s="3" t="s">
        <v>71</v>
      </c>
      <c r="E73" s="4" t="str">
        <f t="shared" si="6"/>
        <v>Quận Đống Đa</v>
      </c>
      <c r="F73" s="3" t="s">
        <v>837</v>
      </c>
      <c r="G73" s="4" t="str">
        <f>HYPERLINK("https://diaocthongthai.com/phuong-tho-quan-quan-dong-da/","Phường Thổ Quan")</f>
        <v>Phường Thổ Quan</v>
      </c>
    </row>
    <row r="74" spans="1:7" x14ac:dyDescent="0.25">
      <c r="A74" s="2">
        <v>73</v>
      </c>
      <c r="B74" s="3" t="s">
        <v>3</v>
      </c>
      <c r="C74" s="4" t="str">
        <f t="shared" si="7"/>
        <v>Hà Nội</v>
      </c>
      <c r="D74" s="3" t="s">
        <v>71</v>
      </c>
      <c r="E74" s="4" t="str">
        <f t="shared" si="6"/>
        <v>Quận Đống Đa</v>
      </c>
      <c r="F74" s="3" t="s">
        <v>838</v>
      </c>
      <c r="G74" s="4" t="str">
        <f>HYPERLINK("https://diaocthongthai.com/phuong-nam-dong-quan-dong-da/","Phường Nam Đồng")</f>
        <v>Phường Nam Đồng</v>
      </c>
    </row>
    <row r="75" spans="1:7" x14ac:dyDescent="0.25">
      <c r="A75" s="2">
        <v>74</v>
      </c>
      <c r="B75" s="3" t="s">
        <v>3</v>
      </c>
      <c r="C75" s="4" t="str">
        <f t="shared" si="7"/>
        <v>Hà Nội</v>
      </c>
      <c r="D75" s="3" t="s">
        <v>71</v>
      </c>
      <c r="E75" s="4" t="str">
        <f t="shared" si="6"/>
        <v>Quận Đống Đa</v>
      </c>
      <c r="F75" s="3" t="s">
        <v>839</v>
      </c>
      <c r="G75" s="4" t="str">
        <f>HYPERLINK("https://diaocthongthai.com/phuong-trung-phung-quan-dong-da/","Phường Trung Phụng")</f>
        <v>Phường Trung Phụng</v>
      </c>
    </row>
    <row r="76" spans="1:7" x14ac:dyDescent="0.25">
      <c r="A76" s="2">
        <v>75</v>
      </c>
      <c r="B76" s="3" t="s">
        <v>3</v>
      </c>
      <c r="C76" s="4" t="str">
        <f t="shared" si="7"/>
        <v>Hà Nội</v>
      </c>
      <c r="D76" s="3" t="s">
        <v>71</v>
      </c>
      <c r="E76" s="4" t="str">
        <f t="shared" si="6"/>
        <v>Quận Đống Đa</v>
      </c>
      <c r="F76" s="3" t="s">
        <v>840</v>
      </c>
      <c r="G76" s="4" t="str">
        <f>HYPERLINK("https://diaocthongthai.com/phuong-quang-trung-quan-dong-da/","Phường Quang Trung")</f>
        <v>Phường Quang Trung</v>
      </c>
    </row>
    <row r="77" spans="1:7" x14ac:dyDescent="0.25">
      <c r="A77" s="2">
        <v>76</v>
      </c>
      <c r="B77" s="3" t="s">
        <v>3</v>
      </c>
      <c r="C77" s="4" t="str">
        <f t="shared" si="7"/>
        <v>Hà Nội</v>
      </c>
      <c r="D77" s="3" t="s">
        <v>71</v>
      </c>
      <c r="E77" s="4" t="str">
        <f t="shared" si="6"/>
        <v>Quận Đống Đa</v>
      </c>
      <c r="F77" s="3" t="s">
        <v>841</v>
      </c>
      <c r="G77" s="4" t="str">
        <f>HYPERLINK("https://diaocthongthai.com/phuong-trung-liet-quan-dong-da/","Phường Trung Liệt")</f>
        <v>Phường Trung Liệt</v>
      </c>
    </row>
    <row r="78" spans="1:7" x14ac:dyDescent="0.25">
      <c r="A78" s="2">
        <v>77</v>
      </c>
      <c r="B78" s="3" t="s">
        <v>3</v>
      </c>
      <c r="C78" s="4" t="str">
        <f t="shared" si="7"/>
        <v>Hà Nội</v>
      </c>
      <c r="D78" s="3" t="s">
        <v>71</v>
      </c>
      <c r="E78" s="4" t="str">
        <f t="shared" si="6"/>
        <v>Quận Đống Đa</v>
      </c>
      <c r="F78" s="3" t="s">
        <v>842</v>
      </c>
      <c r="G78" s="4" t="str">
        <f>HYPERLINK("https://diaocthongthai.com/phuong-phuong-lien-quan-dong-da/","Phường Phương Liên")</f>
        <v>Phường Phương Liên</v>
      </c>
    </row>
    <row r="79" spans="1:7" x14ac:dyDescent="0.25">
      <c r="A79" s="2">
        <v>78</v>
      </c>
      <c r="B79" s="3" t="s">
        <v>3</v>
      </c>
      <c r="C79" s="4" t="str">
        <f t="shared" si="7"/>
        <v>Hà Nội</v>
      </c>
      <c r="D79" s="3" t="s">
        <v>71</v>
      </c>
      <c r="E79" s="4" t="str">
        <f t="shared" si="6"/>
        <v>Quận Đống Đa</v>
      </c>
      <c r="F79" s="3" t="s">
        <v>843</v>
      </c>
      <c r="G79" s="4" t="str">
        <f>HYPERLINK("https://diaocthongthai.com/phuong-thinh-quang-quan-dong-da/","Phường Thịnh Quang")</f>
        <v>Phường Thịnh Quang</v>
      </c>
    </row>
    <row r="80" spans="1:7" x14ac:dyDescent="0.25">
      <c r="A80" s="2">
        <v>79</v>
      </c>
      <c r="B80" s="3" t="s">
        <v>3</v>
      </c>
      <c r="C80" s="4" t="str">
        <f t="shared" si="7"/>
        <v>Hà Nội</v>
      </c>
      <c r="D80" s="3" t="s">
        <v>71</v>
      </c>
      <c r="E80" s="4" t="str">
        <f t="shared" si="6"/>
        <v>Quận Đống Đa</v>
      </c>
      <c r="F80" s="3" t="s">
        <v>844</v>
      </c>
      <c r="G80" s="4" t="str">
        <f>HYPERLINK("https://diaocthongthai.com/phuong-trung-tu-quan-dong-da/","Phường Trung Tự")</f>
        <v>Phường Trung Tự</v>
      </c>
    </row>
    <row r="81" spans="1:7" x14ac:dyDescent="0.25">
      <c r="A81" s="2">
        <v>80</v>
      </c>
      <c r="B81" s="3" t="s">
        <v>3</v>
      </c>
      <c r="C81" s="4" t="str">
        <f t="shared" si="7"/>
        <v>Hà Nội</v>
      </c>
      <c r="D81" s="3" t="s">
        <v>71</v>
      </c>
      <c r="E81" s="4" t="str">
        <f t="shared" si="6"/>
        <v>Quận Đống Đa</v>
      </c>
      <c r="F81" s="3" t="s">
        <v>845</v>
      </c>
      <c r="G81" s="4" t="str">
        <f>HYPERLINK("https://diaocthongthai.com/phuong-kim-lien-quan-dong-da/","Phường Kim Liên")</f>
        <v>Phường Kim Liên</v>
      </c>
    </row>
    <row r="82" spans="1:7" x14ac:dyDescent="0.25">
      <c r="A82" s="2">
        <v>81</v>
      </c>
      <c r="B82" s="3" t="s">
        <v>3</v>
      </c>
      <c r="C82" s="4" t="str">
        <f t="shared" si="7"/>
        <v>Hà Nội</v>
      </c>
      <c r="D82" s="3" t="s">
        <v>71</v>
      </c>
      <c r="E82" s="4" t="str">
        <f t="shared" si="6"/>
        <v>Quận Đống Đa</v>
      </c>
      <c r="F82" s="3" t="s">
        <v>846</v>
      </c>
      <c r="G82" s="4" t="str">
        <f>HYPERLINK("https://diaocthongthai.com/phuong-phuong-mai-quan-dong-da/","Phường Phương Mai")</f>
        <v>Phường Phương Mai</v>
      </c>
    </row>
    <row r="83" spans="1:7" x14ac:dyDescent="0.25">
      <c r="A83" s="2">
        <v>82</v>
      </c>
      <c r="B83" s="3" t="s">
        <v>3</v>
      </c>
      <c r="C83" s="4" t="str">
        <f t="shared" si="7"/>
        <v>Hà Nội</v>
      </c>
      <c r="D83" s="3" t="s">
        <v>71</v>
      </c>
      <c r="E83" s="4" t="str">
        <f t="shared" si="6"/>
        <v>Quận Đống Đa</v>
      </c>
      <c r="F83" s="3" t="s">
        <v>847</v>
      </c>
      <c r="G83" s="4" t="str">
        <f>HYPERLINK("https://diaocthongthai.com/phuong-nga-tu-so-quan-dong-da/","Phường Ngã Tư Sở")</f>
        <v>Phường Ngã Tư Sở</v>
      </c>
    </row>
    <row r="84" spans="1:7" x14ac:dyDescent="0.25">
      <c r="A84" s="2">
        <v>83</v>
      </c>
      <c r="B84" s="3" t="s">
        <v>3</v>
      </c>
      <c r="C84" s="4" t="str">
        <f t="shared" si="7"/>
        <v>Hà Nội</v>
      </c>
      <c r="D84" s="3" t="s">
        <v>71</v>
      </c>
      <c r="E84" s="4" t="str">
        <f t="shared" si="6"/>
        <v>Quận Đống Đa</v>
      </c>
      <c r="F84" s="3" t="s">
        <v>848</v>
      </c>
      <c r="G84" s="4" t="str">
        <f>HYPERLINK("https://diaocthongthai.com/phuong-khuong-thuong-quan-dong-da/","Phường Khương Thượng")</f>
        <v>Phường Khương Thượng</v>
      </c>
    </row>
    <row r="85" spans="1:7" x14ac:dyDescent="0.25">
      <c r="A85" s="2">
        <v>84</v>
      </c>
      <c r="B85" s="3" t="s">
        <v>3</v>
      </c>
      <c r="C85" s="4" t="str">
        <f t="shared" si="7"/>
        <v>Hà Nội</v>
      </c>
      <c r="D85" s="3" t="s">
        <v>72</v>
      </c>
      <c r="E85" s="4" t="str">
        <f t="shared" ref="E85:E102" si="8">HYPERLINK("https://diaocthongthai.com/ban-do-quan-hai-ba-trung-tp-ha-noi/","Quận Hai Bà Trưng")</f>
        <v>Quận Hai Bà Trưng</v>
      </c>
      <c r="F85" s="3" t="s">
        <v>849</v>
      </c>
      <c r="G85" s="4" t="str">
        <f>HYPERLINK("https://diaocthongthai.com/phuong-nguyen-du-quan-hai-ba-trung/","Phường Nguyễn Du")</f>
        <v>Phường Nguyễn Du</v>
      </c>
    </row>
    <row r="86" spans="1:7" x14ac:dyDescent="0.25">
      <c r="A86" s="2">
        <v>85</v>
      </c>
      <c r="B86" s="3" t="s">
        <v>3</v>
      </c>
      <c r="C86" s="4" t="str">
        <f t="shared" si="7"/>
        <v>Hà Nội</v>
      </c>
      <c r="D86" s="3" t="s">
        <v>72</v>
      </c>
      <c r="E86" s="4" t="str">
        <f t="shared" si="8"/>
        <v>Quận Hai Bà Trưng</v>
      </c>
      <c r="F86" s="3" t="s">
        <v>850</v>
      </c>
      <c r="G86" s="4" t="str">
        <f>HYPERLINK("https://diaocthongthai.com/phuong-bach-dang-quan-hai-ba-trung/","Phường Bạch Đằng")</f>
        <v>Phường Bạch Đằng</v>
      </c>
    </row>
    <row r="87" spans="1:7" x14ac:dyDescent="0.25">
      <c r="A87" s="2">
        <v>86</v>
      </c>
      <c r="B87" s="3" t="s">
        <v>3</v>
      </c>
      <c r="C87" s="4" t="str">
        <f t="shared" si="7"/>
        <v>Hà Nội</v>
      </c>
      <c r="D87" s="3" t="s">
        <v>72</v>
      </c>
      <c r="E87" s="4" t="str">
        <f t="shared" si="8"/>
        <v>Quận Hai Bà Trưng</v>
      </c>
      <c r="F87" s="3" t="s">
        <v>851</v>
      </c>
      <c r="G87" s="4" t="str">
        <f>HYPERLINK("https://diaocthongthai.com/phuong-pham-dinh-ho-quan-hai-ba-trung/","Phường Phạm Đình Hổ")</f>
        <v>Phường Phạm Đình Hổ</v>
      </c>
    </row>
    <row r="88" spans="1:7" x14ac:dyDescent="0.25">
      <c r="A88" s="2">
        <v>87</v>
      </c>
      <c r="B88" s="3" t="s">
        <v>3</v>
      </c>
      <c r="C88" s="4" t="str">
        <f t="shared" si="7"/>
        <v>Hà Nội</v>
      </c>
      <c r="D88" s="3" t="s">
        <v>72</v>
      </c>
      <c r="E88" s="4" t="str">
        <f t="shared" si="8"/>
        <v>Quận Hai Bà Trưng</v>
      </c>
      <c r="F88" s="3" t="s">
        <v>852</v>
      </c>
      <c r="G88" s="4" t="str">
        <f>HYPERLINK("https://diaocthongthai.com/phuong-le-dai-hanh-quan-hai-ba-trung/","Phường Lê Đại Hành")</f>
        <v>Phường Lê Đại Hành</v>
      </c>
    </row>
    <row r="89" spans="1:7" x14ac:dyDescent="0.25">
      <c r="A89" s="2">
        <v>88</v>
      </c>
      <c r="B89" s="3" t="s">
        <v>3</v>
      </c>
      <c r="C89" s="4" t="str">
        <f t="shared" si="7"/>
        <v>Hà Nội</v>
      </c>
      <c r="D89" s="3" t="s">
        <v>72</v>
      </c>
      <c r="E89" s="4" t="str">
        <f t="shared" si="8"/>
        <v>Quận Hai Bà Trưng</v>
      </c>
      <c r="F89" s="3" t="s">
        <v>853</v>
      </c>
      <c r="G89" s="4" t="str">
        <f>HYPERLINK("https://diaocthongthai.com/phuong-dong-nhan-quan-hai-ba-trung/","Phường Đồng Nhân")</f>
        <v>Phường Đồng Nhân</v>
      </c>
    </row>
    <row r="90" spans="1:7" x14ac:dyDescent="0.25">
      <c r="A90" s="2">
        <v>89</v>
      </c>
      <c r="B90" s="3" t="s">
        <v>3</v>
      </c>
      <c r="C90" s="4" t="str">
        <f t="shared" si="7"/>
        <v>Hà Nội</v>
      </c>
      <c r="D90" s="3" t="s">
        <v>72</v>
      </c>
      <c r="E90" s="4" t="str">
        <f t="shared" si="8"/>
        <v>Quận Hai Bà Trưng</v>
      </c>
      <c r="F90" s="3" t="s">
        <v>854</v>
      </c>
      <c r="G90" s="4" t="str">
        <f>HYPERLINK("https://diaocthongthai.com/phuong-pho-hue-quan-hai-ba-trung/","Phường Phố Huế")</f>
        <v>Phường Phố Huế</v>
      </c>
    </row>
    <row r="91" spans="1:7" x14ac:dyDescent="0.25">
      <c r="A91" s="2">
        <v>90</v>
      </c>
      <c r="B91" s="3" t="s">
        <v>3</v>
      </c>
      <c r="C91" s="4" t="str">
        <f t="shared" si="7"/>
        <v>Hà Nội</v>
      </c>
      <c r="D91" s="3" t="s">
        <v>72</v>
      </c>
      <c r="E91" s="4" t="str">
        <f t="shared" si="8"/>
        <v>Quận Hai Bà Trưng</v>
      </c>
      <c r="F91" s="3" t="s">
        <v>855</v>
      </c>
      <c r="G91" s="4" t="str">
        <f>HYPERLINK("https://diaocthongthai.com/phuong-dong-mac-quan-hai-ba-trung/","Phường Đống Mác")</f>
        <v>Phường Đống Mác</v>
      </c>
    </row>
    <row r="92" spans="1:7" x14ac:dyDescent="0.25">
      <c r="A92" s="2">
        <v>91</v>
      </c>
      <c r="B92" s="3" t="s">
        <v>3</v>
      </c>
      <c r="C92" s="4" t="str">
        <f t="shared" si="7"/>
        <v>Hà Nội</v>
      </c>
      <c r="D92" s="3" t="s">
        <v>72</v>
      </c>
      <c r="E92" s="4" t="str">
        <f t="shared" si="8"/>
        <v>Quận Hai Bà Trưng</v>
      </c>
      <c r="F92" s="3" t="s">
        <v>856</v>
      </c>
      <c r="G92" s="4" t="str">
        <f>HYPERLINK("https://diaocthongthai.com/phuong-thanh-luong-quan-hai-ba-trung/","Phường Thanh Lương")</f>
        <v>Phường Thanh Lương</v>
      </c>
    </row>
    <row r="93" spans="1:7" x14ac:dyDescent="0.25">
      <c r="A93" s="2">
        <v>92</v>
      </c>
      <c r="B93" s="3" t="s">
        <v>3</v>
      </c>
      <c r="C93" s="4" t="str">
        <f t="shared" si="7"/>
        <v>Hà Nội</v>
      </c>
      <c r="D93" s="3" t="s">
        <v>72</v>
      </c>
      <c r="E93" s="4" t="str">
        <f t="shared" si="8"/>
        <v>Quận Hai Bà Trưng</v>
      </c>
      <c r="F93" s="3" t="s">
        <v>857</v>
      </c>
      <c r="G93" s="4" t="str">
        <f>HYPERLINK("https://diaocthongthai.com/phuong-thanh-nhan-quan-hai-ba-trung/","Phường Thanh Nhàn")</f>
        <v>Phường Thanh Nhàn</v>
      </c>
    </row>
    <row r="94" spans="1:7" x14ac:dyDescent="0.25">
      <c r="A94" s="2">
        <v>93</v>
      </c>
      <c r="B94" s="3" t="s">
        <v>3</v>
      </c>
      <c r="C94" s="4" t="str">
        <f t="shared" si="7"/>
        <v>Hà Nội</v>
      </c>
      <c r="D94" s="3" t="s">
        <v>72</v>
      </c>
      <c r="E94" s="4" t="str">
        <f t="shared" si="8"/>
        <v>Quận Hai Bà Trưng</v>
      </c>
      <c r="F94" s="3" t="s">
        <v>858</v>
      </c>
      <c r="G94" s="4" t="str">
        <f>HYPERLINK("https://diaocthongthai.com/phuong-cau-den-quan-hai-ba-trung/","Phường Cầu Dền")</f>
        <v>Phường Cầu Dền</v>
      </c>
    </row>
    <row r="95" spans="1:7" x14ac:dyDescent="0.25">
      <c r="A95" s="2">
        <v>94</v>
      </c>
      <c r="B95" s="3" t="s">
        <v>3</v>
      </c>
      <c r="C95" s="4" t="str">
        <f t="shared" si="7"/>
        <v>Hà Nội</v>
      </c>
      <c r="D95" s="3" t="s">
        <v>72</v>
      </c>
      <c r="E95" s="4" t="str">
        <f t="shared" si="8"/>
        <v>Quận Hai Bà Trưng</v>
      </c>
      <c r="F95" s="3" t="s">
        <v>859</v>
      </c>
      <c r="G95" s="4" t="str">
        <f>HYPERLINK("https://diaocthongthai.com/phuong-bach-khoa-quan-hai-ba-trung/","Phường Bách Khoa")</f>
        <v>Phường Bách Khoa</v>
      </c>
    </row>
    <row r="96" spans="1:7" x14ac:dyDescent="0.25">
      <c r="A96" s="2">
        <v>95</v>
      </c>
      <c r="B96" s="3" t="s">
        <v>3</v>
      </c>
      <c r="C96" s="4" t="str">
        <f t="shared" si="7"/>
        <v>Hà Nội</v>
      </c>
      <c r="D96" s="3" t="s">
        <v>72</v>
      </c>
      <c r="E96" s="4" t="str">
        <f t="shared" si="8"/>
        <v>Quận Hai Bà Trưng</v>
      </c>
      <c r="F96" s="3" t="s">
        <v>860</v>
      </c>
      <c r="G96" s="4" t="str">
        <f>HYPERLINK("https://diaocthongthai.com/phuong-dong-tam-quan-hai-ba-trung/","Phường Đồng Tâm")</f>
        <v>Phường Đồng Tâm</v>
      </c>
    </row>
    <row r="97" spans="1:7" x14ac:dyDescent="0.25">
      <c r="A97" s="2">
        <v>96</v>
      </c>
      <c r="B97" s="3" t="s">
        <v>3</v>
      </c>
      <c r="C97" s="4" t="str">
        <f t="shared" si="7"/>
        <v>Hà Nội</v>
      </c>
      <c r="D97" s="3" t="s">
        <v>72</v>
      </c>
      <c r="E97" s="4" t="str">
        <f t="shared" si="8"/>
        <v>Quận Hai Bà Trưng</v>
      </c>
      <c r="F97" s="3" t="s">
        <v>861</v>
      </c>
      <c r="G97" s="4" t="str">
        <f>HYPERLINK("https://diaocthongthai.com/phuong-vinh-tuy-quan-hai-ba-trung/","Phường Vĩnh Tuy")</f>
        <v>Phường Vĩnh Tuy</v>
      </c>
    </row>
    <row r="98" spans="1:7" x14ac:dyDescent="0.25">
      <c r="A98" s="2">
        <v>97</v>
      </c>
      <c r="B98" s="3" t="s">
        <v>3</v>
      </c>
      <c r="C98" s="4" t="str">
        <f t="shared" si="7"/>
        <v>Hà Nội</v>
      </c>
      <c r="D98" s="3" t="s">
        <v>72</v>
      </c>
      <c r="E98" s="4" t="str">
        <f t="shared" si="8"/>
        <v>Quận Hai Bà Trưng</v>
      </c>
      <c r="F98" s="3" t="s">
        <v>862</v>
      </c>
      <c r="G98" s="4" t="str">
        <f>HYPERLINK("https://diaocthongthai.com/phuong-bach-mai-quan-hai-ba-trung/","Phường Bạch Mai")</f>
        <v>Phường Bạch Mai</v>
      </c>
    </row>
    <row r="99" spans="1:7" x14ac:dyDescent="0.25">
      <c r="A99" s="2">
        <v>98</v>
      </c>
      <c r="B99" s="3" t="s">
        <v>3</v>
      </c>
      <c r="C99" s="4" t="str">
        <f t="shared" si="7"/>
        <v>Hà Nội</v>
      </c>
      <c r="D99" s="3" t="s">
        <v>72</v>
      </c>
      <c r="E99" s="4" t="str">
        <f t="shared" si="8"/>
        <v>Quận Hai Bà Trưng</v>
      </c>
      <c r="F99" s="3" t="s">
        <v>863</v>
      </c>
      <c r="G99" s="4" t="str">
        <f>HYPERLINK("https://diaocthongthai.com/phuong-quynh-mai-quan-hai-ba-trung/","Phường Quỳnh Mai")</f>
        <v>Phường Quỳnh Mai</v>
      </c>
    </row>
    <row r="100" spans="1:7" x14ac:dyDescent="0.25">
      <c r="A100" s="2">
        <v>99</v>
      </c>
      <c r="B100" s="3" t="s">
        <v>3</v>
      </c>
      <c r="C100" s="4" t="str">
        <f t="shared" si="7"/>
        <v>Hà Nội</v>
      </c>
      <c r="D100" s="3" t="s">
        <v>72</v>
      </c>
      <c r="E100" s="4" t="str">
        <f t="shared" si="8"/>
        <v>Quận Hai Bà Trưng</v>
      </c>
      <c r="F100" s="3" t="s">
        <v>864</v>
      </c>
      <c r="G100" s="4" t="str">
        <f>HYPERLINK("https://diaocthongthai.com/phuong-quynh-loi-quan-hai-ba-trung/","Phường Quỳnh Lôi")</f>
        <v>Phường Quỳnh Lôi</v>
      </c>
    </row>
    <row r="101" spans="1:7" x14ac:dyDescent="0.25">
      <c r="A101" s="2">
        <v>100</v>
      </c>
      <c r="B101" s="3" t="s">
        <v>3</v>
      </c>
      <c r="C101" s="4" t="str">
        <f t="shared" si="7"/>
        <v>Hà Nội</v>
      </c>
      <c r="D101" s="3" t="s">
        <v>72</v>
      </c>
      <c r="E101" s="4" t="str">
        <f t="shared" si="8"/>
        <v>Quận Hai Bà Trưng</v>
      </c>
      <c r="F101" s="3" t="s">
        <v>865</v>
      </c>
      <c r="G101" s="4" t="str">
        <f>HYPERLINK("https://diaocthongthai.com/phuong-minh-khai-quan-hai-ba-trung/","Phường Minh Khai")</f>
        <v>Phường Minh Khai</v>
      </c>
    </row>
    <row r="102" spans="1:7" x14ac:dyDescent="0.25">
      <c r="A102" s="2">
        <v>101</v>
      </c>
      <c r="B102" s="3" t="s">
        <v>3</v>
      </c>
      <c r="C102" s="4" t="str">
        <f t="shared" si="7"/>
        <v>Hà Nội</v>
      </c>
      <c r="D102" s="3" t="s">
        <v>72</v>
      </c>
      <c r="E102" s="4" t="str">
        <f t="shared" si="8"/>
        <v>Quận Hai Bà Trưng</v>
      </c>
      <c r="F102" s="3" t="s">
        <v>866</v>
      </c>
      <c r="G102" s="4" t="str">
        <f>HYPERLINK("https://diaocthongthai.com/phuong-truong-dinh-quan-hai-ba-trung/","Phường Trương Định")</f>
        <v>Phường Trương Định</v>
      </c>
    </row>
    <row r="103" spans="1:7" x14ac:dyDescent="0.25">
      <c r="A103" s="2">
        <v>102</v>
      </c>
      <c r="B103" s="3" t="s">
        <v>3</v>
      </c>
      <c r="C103" s="4" t="str">
        <f t="shared" si="7"/>
        <v>Hà Nội</v>
      </c>
      <c r="D103" s="3" t="s">
        <v>73</v>
      </c>
      <c r="E103" s="4" t="str">
        <f t="shared" ref="E103:E116" si="9">HYPERLINK("https://diaocthongthai.com/ban-do-quan-hoang-mai-tp-ha-noi/","Quận Hoàng Mai")</f>
        <v>Quận Hoàng Mai</v>
      </c>
      <c r="F103" s="3" t="s">
        <v>867</v>
      </c>
      <c r="G103" s="4" t="str">
        <f>HYPERLINK("https://diaocthongthai.com/phuong-thanh-tri-quan-hoang-mai/","Phường Thanh Trì")</f>
        <v>Phường Thanh Trì</v>
      </c>
    </row>
    <row r="104" spans="1:7" x14ac:dyDescent="0.25">
      <c r="A104" s="2">
        <v>103</v>
      </c>
      <c r="B104" s="3" t="s">
        <v>3</v>
      </c>
      <c r="C104" s="4" t="str">
        <f t="shared" si="7"/>
        <v>Hà Nội</v>
      </c>
      <c r="D104" s="3" t="s">
        <v>73</v>
      </c>
      <c r="E104" s="4" t="str">
        <f t="shared" si="9"/>
        <v>Quận Hoàng Mai</v>
      </c>
      <c r="F104" s="3" t="s">
        <v>868</v>
      </c>
      <c r="G104" s="4" t="str">
        <f>HYPERLINK("https://diaocthongthai.com/phuong-vinh-hung-quan-hoang-mai/","Phường Vĩnh Hưng")</f>
        <v>Phường Vĩnh Hưng</v>
      </c>
    </row>
    <row r="105" spans="1:7" x14ac:dyDescent="0.25">
      <c r="A105" s="2">
        <v>104</v>
      </c>
      <c r="B105" s="3" t="s">
        <v>3</v>
      </c>
      <c r="C105" s="4" t="str">
        <f t="shared" si="7"/>
        <v>Hà Nội</v>
      </c>
      <c r="D105" s="3" t="s">
        <v>73</v>
      </c>
      <c r="E105" s="4" t="str">
        <f t="shared" si="9"/>
        <v>Quận Hoàng Mai</v>
      </c>
      <c r="F105" s="3" t="s">
        <v>869</v>
      </c>
      <c r="G105" s="4" t="str">
        <f>HYPERLINK("https://diaocthongthai.com/phuong-dinh-cong-quan-hoang-mai/","Phường Định Công")</f>
        <v>Phường Định Công</v>
      </c>
    </row>
    <row r="106" spans="1:7" x14ac:dyDescent="0.25">
      <c r="A106" s="2">
        <v>105</v>
      </c>
      <c r="B106" s="3" t="s">
        <v>3</v>
      </c>
      <c r="C106" s="4" t="str">
        <f t="shared" si="7"/>
        <v>Hà Nội</v>
      </c>
      <c r="D106" s="3" t="s">
        <v>73</v>
      </c>
      <c r="E106" s="4" t="str">
        <f t="shared" si="9"/>
        <v>Quận Hoàng Mai</v>
      </c>
      <c r="F106" s="3" t="s">
        <v>870</v>
      </c>
      <c r="G106" s="4" t="str">
        <f>HYPERLINK("https://diaocthongthai.com/phuong-mai-dong-quan-hoang-mai/","Phường Mai Động")</f>
        <v>Phường Mai Động</v>
      </c>
    </row>
    <row r="107" spans="1:7" x14ac:dyDescent="0.25">
      <c r="A107" s="2">
        <v>106</v>
      </c>
      <c r="B107" s="3" t="s">
        <v>3</v>
      </c>
      <c r="C107" s="4" t="str">
        <f t="shared" si="7"/>
        <v>Hà Nội</v>
      </c>
      <c r="D107" s="3" t="s">
        <v>73</v>
      </c>
      <c r="E107" s="4" t="str">
        <f t="shared" si="9"/>
        <v>Quận Hoàng Mai</v>
      </c>
      <c r="F107" s="3" t="s">
        <v>871</v>
      </c>
      <c r="G107" s="4" t="str">
        <f>HYPERLINK("https://diaocthongthai.com/phuong-tuong-mai-quan-hoang-mai/","Phường Tương Mai")</f>
        <v>Phường Tương Mai</v>
      </c>
    </row>
    <row r="108" spans="1:7" x14ac:dyDescent="0.25">
      <c r="A108" s="2">
        <v>107</v>
      </c>
      <c r="B108" s="3" t="s">
        <v>3</v>
      </c>
      <c r="C108" s="4" t="str">
        <f t="shared" si="7"/>
        <v>Hà Nội</v>
      </c>
      <c r="D108" s="3" t="s">
        <v>73</v>
      </c>
      <c r="E108" s="4" t="str">
        <f t="shared" si="9"/>
        <v>Quận Hoàng Mai</v>
      </c>
      <c r="F108" s="3" t="s">
        <v>872</v>
      </c>
      <c r="G108" s="4" t="str">
        <f>HYPERLINK("https://diaocthongthai.com/phuong-dai-kim-quan-hoang-mai/","Phường Đại Kim")</f>
        <v>Phường Đại Kim</v>
      </c>
    </row>
    <row r="109" spans="1:7" x14ac:dyDescent="0.25">
      <c r="A109" s="2">
        <v>108</v>
      </c>
      <c r="B109" s="3" t="s">
        <v>3</v>
      </c>
      <c r="C109" s="4" t="str">
        <f t="shared" si="7"/>
        <v>Hà Nội</v>
      </c>
      <c r="D109" s="3" t="s">
        <v>73</v>
      </c>
      <c r="E109" s="4" t="str">
        <f t="shared" si="9"/>
        <v>Quận Hoàng Mai</v>
      </c>
      <c r="F109" s="3" t="s">
        <v>873</v>
      </c>
      <c r="G109" s="4" t="str">
        <f>HYPERLINK("https://diaocthongthai.com/phuong-tan-mai-quan-hoang-mai/","Phường Tân Mai")</f>
        <v>Phường Tân Mai</v>
      </c>
    </row>
    <row r="110" spans="1:7" x14ac:dyDescent="0.25">
      <c r="A110" s="2">
        <v>109</v>
      </c>
      <c r="B110" s="3" t="s">
        <v>3</v>
      </c>
      <c r="C110" s="4" t="str">
        <f t="shared" si="7"/>
        <v>Hà Nội</v>
      </c>
      <c r="D110" s="3" t="s">
        <v>73</v>
      </c>
      <c r="E110" s="4" t="str">
        <f t="shared" si="9"/>
        <v>Quận Hoàng Mai</v>
      </c>
      <c r="F110" s="3" t="s">
        <v>874</v>
      </c>
      <c r="G110" s="4" t="str">
        <f>HYPERLINK("https://diaocthongthai.com/phuong-hoang-van-thu-quan-hoang-mai/","Phường Hoàng Văn Thụ")</f>
        <v>Phường Hoàng Văn Thụ</v>
      </c>
    </row>
    <row r="111" spans="1:7" x14ac:dyDescent="0.25">
      <c r="A111" s="2">
        <v>110</v>
      </c>
      <c r="B111" s="3" t="s">
        <v>3</v>
      </c>
      <c r="C111" s="4" t="str">
        <f t="shared" si="7"/>
        <v>Hà Nội</v>
      </c>
      <c r="D111" s="3" t="s">
        <v>73</v>
      </c>
      <c r="E111" s="4" t="str">
        <f t="shared" si="9"/>
        <v>Quận Hoàng Mai</v>
      </c>
      <c r="F111" s="3" t="s">
        <v>875</v>
      </c>
      <c r="G111" s="4" t="str">
        <f>HYPERLINK("https://diaocthongthai.com/phuong-giap-bat-quan-hoang-mai/","Phường Giáp Bát")</f>
        <v>Phường Giáp Bát</v>
      </c>
    </row>
    <row r="112" spans="1:7" x14ac:dyDescent="0.25">
      <c r="A112" s="2">
        <v>111</v>
      </c>
      <c r="B112" s="3" t="s">
        <v>3</v>
      </c>
      <c r="C112" s="4" t="str">
        <f t="shared" si="7"/>
        <v>Hà Nội</v>
      </c>
      <c r="D112" s="3" t="s">
        <v>73</v>
      </c>
      <c r="E112" s="4" t="str">
        <f t="shared" si="9"/>
        <v>Quận Hoàng Mai</v>
      </c>
      <c r="F112" s="3" t="s">
        <v>876</v>
      </c>
      <c r="G112" s="4" t="str">
        <f>HYPERLINK("https://diaocthongthai.com/phuong-linh-nam-quan-hoang-mai/","Phường Lĩnh Nam")</f>
        <v>Phường Lĩnh Nam</v>
      </c>
    </row>
    <row r="113" spans="1:7" x14ac:dyDescent="0.25">
      <c r="A113" s="2">
        <v>112</v>
      </c>
      <c r="B113" s="3" t="s">
        <v>3</v>
      </c>
      <c r="C113" s="4" t="str">
        <f t="shared" si="7"/>
        <v>Hà Nội</v>
      </c>
      <c r="D113" s="3" t="s">
        <v>73</v>
      </c>
      <c r="E113" s="4" t="str">
        <f t="shared" si="9"/>
        <v>Quận Hoàng Mai</v>
      </c>
      <c r="F113" s="3" t="s">
        <v>877</v>
      </c>
      <c r="G113" s="4" t="str">
        <f>HYPERLINK("https://diaocthongthai.com/phuong-thinh-liet-quan-hoang-mai/","Phường Thịnh Liệt")</f>
        <v>Phường Thịnh Liệt</v>
      </c>
    </row>
    <row r="114" spans="1:7" x14ac:dyDescent="0.25">
      <c r="A114" s="2">
        <v>113</v>
      </c>
      <c r="B114" s="3" t="s">
        <v>3</v>
      </c>
      <c r="C114" s="4" t="str">
        <f t="shared" si="7"/>
        <v>Hà Nội</v>
      </c>
      <c r="D114" s="3" t="s">
        <v>73</v>
      </c>
      <c r="E114" s="4" t="str">
        <f t="shared" si="9"/>
        <v>Quận Hoàng Mai</v>
      </c>
      <c r="F114" s="3" t="s">
        <v>878</v>
      </c>
      <c r="G114" s="4" t="str">
        <f>HYPERLINK("https://diaocthongthai.com/phuong-tran-phu-quan-hoang-mai/","Phường Trần Phú")</f>
        <v>Phường Trần Phú</v>
      </c>
    </row>
    <row r="115" spans="1:7" x14ac:dyDescent="0.25">
      <c r="A115" s="2">
        <v>114</v>
      </c>
      <c r="B115" s="3" t="s">
        <v>3</v>
      </c>
      <c r="C115" s="4" t="str">
        <f t="shared" si="7"/>
        <v>Hà Nội</v>
      </c>
      <c r="D115" s="3" t="s">
        <v>73</v>
      </c>
      <c r="E115" s="4" t="str">
        <f t="shared" si="9"/>
        <v>Quận Hoàng Mai</v>
      </c>
      <c r="F115" s="3" t="s">
        <v>879</v>
      </c>
      <c r="G115" s="4" t="str">
        <f>HYPERLINK("https://diaocthongthai.com/phuong-hoang-liet-quan-hoang-mai/","Phường Hoàng Liệt")</f>
        <v>Phường Hoàng Liệt</v>
      </c>
    </row>
    <row r="116" spans="1:7" x14ac:dyDescent="0.25">
      <c r="A116" s="2">
        <v>115</v>
      </c>
      <c r="B116" s="3" t="s">
        <v>3</v>
      </c>
      <c r="C116" s="4" t="str">
        <f t="shared" si="7"/>
        <v>Hà Nội</v>
      </c>
      <c r="D116" s="3" t="s">
        <v>73</v>
      </c>
      <c r="E116" s="4" t="str">
        <f t="shared" si="9"/>
        <v>Quận Hoàng Mai</v>
      </c>
      <c r="F116" s="3" t="s">
        <v>880</v>
      </c>
      <c r="G116" s="4" t="str">
        <f>HYPERLINK("https://diaocthongthai.com/phuong-yen-so-quan-hoang-mai/","Phường Yên Sở")</f>
        <v>Phường Yên Sở</v>
      </c>
    </row>
    <row r="117" spans="1:7" x14ac:dyDescent="0.25">
      <c r="A117" s="2">
        <v>116</v>
      </c>
      <c r="B117" s="3" t="s">
        <v>3</v>
      </c>
      <c r="C117" s="4" t="str">
        <f t="shared" si="7"/>
        <v>Hà Nội</v>
      </c>
      <c r="D117" s="3" t="s">
        <v>74</v>
      </c>
      <c r="E117" s="4" t="str">
        <f t="shared" ref="E117:E127" si="10">HYPERLINK("https://diaocthongthai.com/ban-do-quan-thanh-xuan-tp-ha-noi/","Quận Thanh Xuân")</f>
        <v>Quận Thanh Xuân</v>
      </c>
      <c r="F117" s="3" t="s">
        <v>881</v>
      </c>
      <c r="G117" s="4" t="str">
        <f>HYPERLINK("https://diaocthongthai.com/phuong-nhan-chinh-quan-thanh-xuan/","Phường Nhân Chính")</f>
        <v>Phường Nhân Chính</v>
      </c>
    </row>
    <row r="118" spans="1:7" x14ac:dyDescent="0.25">
      <c r="A118" s="2">
        <v>117</v>
      </c>
      <c r="B118" s="3" t="s">
        <v>3</v>
      </c>
      <c r="C118" s="4" t="str">
        <f t="shared" si="7"/>
        <v>Hà Nội</v>
      </c>
      <c r="D118" s="3" t="s">
        <v>74</v>
      </c>
      <c r="E118" s="4" t="str">
        <f t="shared" si="10"/>
        <v>Quận Thanh Xuân</v>
      </c>
      <c r="F118" s="3" t="s">
        <v>882</v>
      </c>
      <c r="G118" s="4" t="str">
        <f>HYPERLINK("https://diaocthongthai.com/phuong-thuong-dinh-quan-thanh-xuan/","Phường Thượng Đình")</f>
        <v>Phường Thượng Đình</v>
      </c>
    </row>
    <row r="119" spans="1:7" x14ac:dyDescent="0.25">
      <c r="A119" s="2">
        <v>118</v>
      </c>
      <c r="B119" s="3" t="s">
        <v>3</v>
      </c>
      <c r="C119" s="4" t="str">
        <f t="shared" si="7"/>
        <v>Hà Nội</v>
      </c>
      <c r="D119" s="3" t="s">
        <v>74</v>
      </c>
      <c r="E119" s="4" t="str">
        <f t="shared" si="10"/>
        <v>Quận Thanh Xuân</v>
      </c>
      <c r="F119" s="3" t="s">
        <v>883</v>
      </c>
      <c r="G119" s="4" t="str">
        <f>HYPERLINK("https://diaocthongthai.com/phuong-khuong-trung-quan-thanh-xuan/","Phường Khương Trung")</f>
        <v>Phường Khương Trung</v>
      </c>
    </row>
    <row r="120" spans="1:7" x14ac:dyDescent="0.25">
      <c r="A120" s="2">
        <v>119</v>
      </c>
      <c r="B120" s="3" t="s">
        <v>3</v>
      </c>
      <c r="C120" s="4" t="str">
        <f t="shared" si="7"/>
        <v>Hà Nội</v>
      </c>
      <c r="D120" s="3" t="s">
        <v>74</v>
      </c>
      <c r="E120" s="4" t="str">
        <f t="shared" si="10"/>
        <v>Quận Thanh Xuân</v>
      </c>
      <c r="F120" s="3" t="s">
        <v>884</v>
      </c>
      <c r="G120" s="4" t="str">
        <f>HYPERLINK("https://diaocthongthai.com/phuong-khuong-mai-quan-thanh-xuan/","Phường Khương Mai")</f>
        <v>Phường Khương Mai</v>
      </c>
    </row>
    <row r="121" spans="1:7" x14ac:dyDescent="0.25">
      <c r="A121" s="2">
        <v>120</v>
      </c>
      <c r="B121" s="3" t="s">
        <v>3</v>
      </c>
      <c r="C121" s="4" t="str">
        <f t="shared" si="7"/>
        <v>Hà Nội</v>
      </c>
      <c r="D121" s="3" t="s">
        <v>74</v>
      </c>
      <c r="E121" s="4" t="str">
        <f t="shared" si="10"/>
        <v>Quận Thanh Xuân</v>
      </c>
      <c r="F121" s="3" t="s">
        <v>885</v>
      </c>
      <c r="G121" s="4" t="str">
        <f>HYPERLINK("https://diaocthongthai.com/phuong-thanh-xuan-trung-quan-thanh-xuan/","Phường Thanh Xuân Trung")</f>
        <v>Phường Thanh Xuân Trung</v>
      </c>
    </row>
    <row r="122" spans="1:7" x14ac:dyDescent="0.25">
      <c r="A122" s="2">
        <v>121</v>
      </c>
      <c r="B122" s="3" t="s">
        <v>3</v>
      </c>
      <c r="C122" s="4" t="str">
        <f t="shared" si="7"/>
        <v>Hà Nội</v>
      </c>
      <c r="D122" s="3" t="s">
        <v>74</v>
      </c>
      <c r="E122" s="4" t="str">
        <f t="shared" si="10"/>
        <v>Quận Thanh Xuân</v>
      </c>
      <c r="F122" s="3" t="s">
        <v>886</v>
      </c>
      <c r="G122" s="4" t="str">
        <f>HYPERLINK("https://diaocthongthai.com/phuong-phuong-liet-quan-thanh-xuan/","Phường Phương Liệt")</f>
        <v>Phường Phương Liệt</v>
      </c>
    </row>
    <row r="123" spans="1:7" x14ac:dyDescent="0.25">
      <c r="A123" s="2">
        <v>122</v>
      </c>
      <c r="B123" s="3" t="s">
        <v>3</v>
      </c>
      <c r="C123" s="4" t="str">
        <f t="shared" si="7"/>
        <v>Hà Nội</v>
      </c>
      <c r="D123" s="3" t="s">
        <v>74</v>
      </c>
      <c r="E123" s="4" t="str">
        <f t="shared" si="10"/>
        <v>Quận Thanh Xuân</v>
      </c>
      <c r="F123" s="3" t="s">
        <v>887</v>
      </c>
      <c r="G123" s="4" t="str">
        <f>HYPERLINK("https://diaocthongthai.com/phuong-ha-dinh-quan-thanh-xuan/","Phường Hạ Đình")</f>
        <v>Phường Hạ Đình</v>
      </c>
    </row>
    <row r="124" spans="1:7" x14ac:dyDescent="0.25">
      <c r="A124" s="2">
        <v>123</v>
      </c>
      <c r="B124" s="3" t="s">
        <v>3</v>
      </c>
      <c r="C124" s="4" t="str">
        <f t="shared" si="7"/>
        <v>Hà Nội</v>
      </c>
      <c r="D124" s="3" t="s">
        <v>74</v>
      </c>
      <c r="E124" s="4" t="str">
        <f t="shared" si="10"/>
        <v>Quận Thanh Xuân</v>
      </c>
      <c r="F124" s="3" t="s">
        <v>888</v>
      </c>
      <c r="G124" s="4" t="str">
        <f>HYPERLINK("https://diaocthongthai.com/phuong-khuong-dinh-quan-thanh-xuan/","Phường Khương Đình")</f>
        <v>Phường Khương Đình</v>
      </c>
    </row>
    <row r="125" spans="1:7" x14ac:dyDescent="0.25">
      <c r="A125" s="2">
        <v>124</v>
      </c>
      <c r="B125" s="3" t="s">
        <v>3</v>
      </c>
      <c r="C125" s="4" t="str">
        <f t="shared" si="7"/>
        <v>Hà Nội</v>
      </c>
      <c r="D125" s="3" t="s">
        <v>74</v>
      </c>
      <c r="E125" s="4" t="str">
        <f t="shared" si="10"/>
        <v>Quận Thanh Xuân</v>
      </c>
      <c r="F125" s="3" t="s">
        <v>889</v>
      </c>
      <c r="G125" s="4" t="str">
        <f>HYPERLINK("https://diaocthongthai.com/phuong-thanh-xuan-bac-quan-thanh-xuan/","Phường Thanh Xuân Bắc")</f>
        <v>Phường Thanh Xuân Bắc</v>
      </c>
    </row>
    <row r="126" spans="1:7" x14ac:dyDescent="0.25">
      <c r="A126" s="2">
        <v>125</v>
      </c>
      <c r="B126" s="3" t="s">
        <v>3</v>
      </c>
      <c r="C126" s="4" t="str">
        <f t="shared" si="7"/>
        <v>Hà Nội</v>
      </c>
      <c r="D126" s="3" t="s">
        <v>74</v>
      </c>
      <c r="E126" s="4" t="str">
        <f t="shared" si="10"/>
        <v>Quận Thanh Xuân</v>
      </c>
      <c r="F126" s="3" t="s">
        <v>890</v>
      </c>
      <c r="G126" s="4" t="str">
        <f>HYPERLINK("https://diaocthongthai.com/phuong-thanh-xuan-nam-quan-thanh-xuan/","Phường Thanh Xuân Nam")</f>
        <v>Phường Thanh Xuân Nam</v>
      </c>
    </row>
    <row r="127" spans="1:7" x14ac:dyDescent="0.25">
      <c r="A127" s="2">
        <v>126</v>
      </c>
      <c r="B127" s="3" t="s">
        <v>3</v>
      </c>
      <c r="C127" s="4" t="str">
        <f t="shared" si="7"/>
        <v>Hà Nội</v>
      </c>
      <c r="D127" s="3" t="s">
        <v>74</v>
      </c>
      <c r="E127" s="4" t="str">
        <f t="shared" si="10"/>
        <v>Quận Thanh Xuân</v>
      </c>
      <c r="F127" s="3" t="s">
        <v>891</v>
      </c>
      <c r="G127" s="4" t="str">
        <f>HYPERLINK("https://diaocthongthai.com/phuong-kim-giang-quan-thanh-xuan/","Phường Kim Giang")</f>
        <v>Phường Kim Giang</v>
      </c>
    </row>
    <row r="128" spans="1:7" x14ac:dyDescent="0.25">
      <c r="A128" s="2">
        <v>127</v>
      </c>
      <c r="B128" s="3" t="s">
        <v>3</v>
      </c>
      <c r="C128" s="4" t="str">
        <f t="shared" si="7"/>
        <v>Hà Nội</v>
      </c>
      <c r="D128" s="3" t="s">
        <v>75</v>
      </c>
      <c r="E128" s="4" t="str">
        <f t="shared" ref="E128:E153" si="11">HYPERLINK("https://diaocthongthai.com/ban-do-huyen-soc-son-tp-ha-noi/","Huyện Sóc Sơn")</f>
        <v>Huyện Sóc Sơn</v>
      </c>
      <c r="F128" s="3" t="s">
        <v>892</v>
      </c>
      <c r="G128" s="4" t="str">
        <f>HYPERLINK("https://diaocthongthai.com/thi-tran-soc-son-soc-son/","Thị trấn Sóc Sơn")</f>
        <v>Thị trấn Sóc Sơn</v>
      </c>
    </row>
    <row r="129" spans="1:7" x14ac:dyDescent="0.25">
      <c r="A129" s="2">
        <v>128</v>
      </c>
      <c r="B129" s="3" t="s">
        <v>3</v>
      </c>
      <c r="C129" s="4" t="str">
        <f t="shared" si="7"/>
        <v>Hà Nội</v>
      </c>
      <c r="D129" s="3" t="s">
        <v>75</v>
      </c>
      <c r="E129" s="4" t="str">
        <f t="shared" si="11"/>
        <v>Huyện Sóc Sơn</v>
      </c>
      <c r="F129" s="3" t="s">
        <v>893</v>
      </c>
      <c r="G129" s="4" t="str">
        <f>HYPERLINK("https://diaocthongthai.com/xa-bac-son-soc-son/","Xã Bắc Sơn")</f>
        <v>Xã Bắc Sơn</v>
      </c>
    </row>
    <row r="130" spans="1:7" x14ac:dyDescent="0.25">
      <c r="A130" s="2">
        <v>129</v>
      </c>
      <c r="B130" s="3" t="s">
        <v>3</v>
      </c>
      <c r="C130" s="4" t="str">
        <f t="shared" ref="C130:C193" si="12">HYPERLINK("https://diaocthongthai.com/ban-do-ha-noi/","Hà Nội")</f>
        <v>Hà Nội</v>
      </c>
      <c r="D130" s="3" t="s">
        <v>75</v>
      </c>
      <c r="E130" s="4" t="str">
        <f t="shared" si="11"/>
        <v>Huyện Sóc Sơn</v>
      </c>
      <c r="F130" s="3" t="s">
        <v>894</v>
      </c>
      <c r="G130" s="4" t="str">
        <f>HYPERLINK("https://diaocthongthai.com/xa-minh-tri-soc-son/","Xã Minh Trí")</f>
        <v>Xã Minh Trí</v>
      </c>
    </row>
    <row r="131" spans="1:7" x14ac:dyDescent="0.25">
      <c r="A131" s="2">
        <v>130</v>
      </c>
      <c r="B131" s="3" t="s">
        <v>3</v>
      </c>
      <c r="C131" s="4" t="str">
        <f t="shared" si="12"/>
        <v>Hà Nội</v>
      </c>
      <c r="D131" s="3" t="s">
        <v>75</v>
      </c>
      <c r="E131" s="4" t="str">
        <f t="shared" si="11"/>
        <v>Huyện Sóc Sơn</v>
      </c>
      <c r="F131" s="3" t="s">
        <v>895</v>
      </c>
      <c r="G131" s="4" t="str">
        <f>HYPERLINK("https://diaocthongthai.com/xa-hong-ky-soc-son/","Xã Hồng Kỳ")</f>
        <v>Xã Hồng Kỳ</v>
      </c>
    </row>
    <row r="132" spans="1:7" x14ac:dyDescent="0.25">
      <c r="A132" s="2">
        <v>131</v>
      </c>
      <c r="B132" s="3" t="s">
        <v>3</v>
      </c>
      <c r="C132" s="4" t="str">
        <f t="shared" si="12"/>
        <v>Hà Nội</v>
      </c>
      <c r="D132" s="3" t="s">
        <v>75</v>
      </c>
      <c r="E132" s="4" t="str">
        <f t="shared" si="11"/>
        <v>Huyện Sóc Sơn</v>
      </c>
      <c r="F132" s="3" t="s">
        <v>896</v>
      </c>
      <c r="G132" s="4" t="str">
        <f>HYPERLINK("https://diaocthongthai.com/xa-nam-son-soc-son/","Xã Nam Sơn")</f>
        <v>Xã Nam Sơn</v>
      </c>
    </row>
    <row r="133" spans="1:7" x14ac:dyDescent="0.25">
      <c r="A133" s="2">
        <v>132</v>
      </c>
      <c r="B133" s="3" t="s">
        <v>3</v>
      </c>
      <c r="C133" s="4" t="str">
        <f t="shared" si="12"/>
        <v>Hà Nội</v>
      </c>
      <c r="D133" s="3" t="s">
        <v>75</v>
      </c>
      <c r="E133" s="4" t="str">
        <f t="shared" si="11"/>
        <v>Huyện Sóc Sơn</v>
      </c>
      <c r="F133" s="3" t="s">
        <v>897</v>
      </c>
      <c r="G133" s="4" t="str">
        <f>HYPERLINK("https://diaocthongthai.com/xa-trung-gia-soc-son/","Xã Trung Giã")</f>
        <v>Xã Trung Giã</v>
      </c>
    </row>
    <row r="134" spans="1:7" x14ac:dyDescent="0.25">
      <c r="A134" s="2">
        <v>133</v>
      </c>
      <c r="B134" s="3" t="s">
        <v>3</v>
      </c>
      <c r="C134" s="4" t="str">
        <f t="shared" si="12"/>
        <v>Hà Nội</v>
      </c>
      <c r="D134" s="3" t="s">
        <v>75</v>
      </c>
      <c r="E134" s="4" t="str">
        <f t="shared" si="11"/>
        <v>Huyện Sóc Sơn</v>
      </c>
      <c r="F134" s="3" t="s">
        <v>898</v>
      </c>
      <c r="G134" s="4" t="str">
        <f>HYPERLINK("https://diaocthongthai.com/xa-tan-hung-soc-son/","Xã Tân Hưng")</f>
        <v>Xã Tân Hưng</v>
      </c>
    </row>
    <row r="135" spans="1:7" x14ac:dyDescent="0.25">
      <c r="A135" s="2">
        <v>134</v>
      </c>
      <c r="B135" s="3" t="s">
        <v>3</v>
      </c>
      <c r="C135" s="4" t="str">
        <f t="shared" si="12"/>
        <v>Hà Nội</v>
      </c>
      <c r="D135" s="3" t="s">
        <v>75</v>
      </c>
      <c r="E135" s="4" t="str">
        <f t="shared" si="11"/>
        <v>Huyện Sóc Sơn</v>
      </c>
      <c r="F135" s="3" t="s">
        <v>899</v>
      </c>
      <c r="G135" s="4" t="str">
        <f>HYPERLINK("https://diaocthongthai.com/xa-minh-phu-soc-son/","Xã Minh Phú")</f>
        <v>Xã Minh Phú</v>
      </c>
    </row>
    <row r="136" spans="1:7" x14ac:dyDescent="0.25">
      <c r="A136" s="2">
        <v>135</v>
      </c>
      <c r="B136" s="3" t="s">
        <v>3</v>
      </c>
      <c r="C136" s="4" t="str">
        <f t="shared" si="12"/>
        <v>Hà Nội</v>
      </c>
      <c r="D136" s="3" t="s">
        <v>75</v>
      </c>
      <c r="E136" s="4" t="str">
        <f t="shared" si="11"/>
        <v>Huyện Sóc Sơn</v>
      </c>
      <c r="F136" s="3" t="s">
        <v>900</v>
      </c>
      <c r="G136" s="4" t="str">
        <f>HYPERLINK("https://diaocthongthai.com/xa-phu-linh-soc-son/","Xã Phù Linh")</f>
        <v>Xã Phù Linh</v>
      </c>
    </row>
    <row r="137" spans="1:7" x14ac:dyDescent="0.25">
      <c r="A137" s="2">
        <v>136</v>
      </c>
      <c r="B137" s="3" t="s">
        <v>3</v>
      </c>
      <c r="C137" s="4" t="str">
        <f t="shared" si="12"/>
        <v>Hà Nội</v>
      </c>
      <c r="D137" s="3" t="s">
        <v>75</v>
      </c>
      <c r="E137" s="4" t="str">
        <f t="shared" si="11"/>
        <v>Huyện Sóc Sơn</v>
      </c>
      <c r="F137" s="3" t="s">
        <v>901</v>
      </c>
      <c r="G137" s="4" t="str">
        <f>HYPERLINK("https://diaocthongthai.com/xa-bac-phu-soc-son/","Xã Bắc Phú")</f>
        <v>Xã Bắc Phú</v>
      </c>
    </row>
    <row r="138" spans="1:7" x14ac:dyDescent="0.25">
      <c r="A138" s="2">
        <v>137</v>
      </c>
      <c r="B138" s="3" t="s">
        <v>3</v>
      </c>
      <c r="C138" s="4" t="str">
        <f t="shared" si="12"/>
        <v>Hà Nội</v>
      </c>
      <c r="D138" s="3" t="s">
        <v>75</v>
      </c>
      <c r="E138" s="4" t="str">
        <f t="shared" si="11"/>
        <v>Huyện Sóc Sơn</v>
      </c>
      <c r="F138" s="3" t="s">
        <v>902</v>
      </c>
      <c r="G138" s="4" t="str">
        <f>HYPERLINK("https://diaocthongthai.com/xa-tan-minh-soc-son/","Xã Tân Minh")</f>
        <v>Xã Tân Minh</v>
      </c>
    </row>
    <row r="139" spans="1:7" x14ac:dyDescent="0.25">
      <c r="A139" s="2">
        <v>138</v>
      </c>
      <c r="B139" s="3" t="s">
        <v>3</v>
      </c>
      <c r="C139" s="4" t="str">
        <f t="shared" si="12"/>
        <v>Hà Nội</v>
      </c>
      <c r="D139" s="3" t="s">
        <v>75</v>
      </c>
      <c r="E139" s="4" t="str">
        <f t="shared" si="11"/>
        <v>Huyện Sóc Sơn</v>
      </c>
      <c r="F139" s="3" t="s">
        <v>903</v>
      </c>
      <c r="G139" s="4" t="str">
        <f>HYPERLINK("https://diaocthongthai.com/xa-quang-tien-soc-son/","Xã Quang Tiến")</f>
        <v>Xã Quang Tiến</v>
      </c>
    </row>
    <row r="140" spans="1:7" x14ac:dyDescent="0.25">
      <c r="A140" s="2">
        <v>139</v>
      </c>
      <c r="B140" s="3" t="s">
        <v>3</v>
      </c>
      <c r="C140" s="4" t="str">
        <f t="shared" si="12"/>
        <v>Hà Nội</v>
      </c>
      <c r="D140" s="3" t="s">
        <v>75</v>
      </c>
      <c r="E140" s="4" t="str">
        <f t="shared" si="11"/>
        <v>Huyện Sóc Sơn</v>
      </c>
      <c r="F140" s="3" t="s">
        <v>904</v>
      </c>
      <c r="G140" s="4" t="str">
        <f>HYPERLINK("https://diaocthongthai.com/xa-hien-ninh-soc-son/","Xã Hiền Ninh")</f>
        <v>Xã Hiền Ninh</v>
      </c>
    </row>
    <row r="141" spans="1:7" x14ac:dyDescent="0.25">
      <c r="A141" s="2">
        <v>140</v>
      </c>
      <c r="B141" s="3" t="s">
        <v>3</v>
      </c>
      <c r="C141" s="4" t="str">
        <f t="shared" si="12"/>
        <v>Hà Nội</v>
      </c>
      <c r="D141" s="3" t="s">
        <v>75</v>
      </c>
      <c r="E141" s="4" t="str">
        <f t="shared" si="11"/>
        <v>Huyện Sóc Sơn</v>
      </c>
      <c r="F141" s="3" t="s">
        <v>905</v>
      </c>
      <c r="G141" s="4" t="str">
        <f>HYPERLINK("https://diaocthongthai.com/xa-tan-dan-soc-son/","Xã Tân Dân")</f>
        <v>Xã Tân Dân</v>
      </c>
    </row>
    <row r="142" spans="1:7" x14ac:dyDescent="0.25">
      <c r="A142" s="2">
        <v>141</v>
      </c>
      <c r="B142" s="3" t="s">
        <v>3</v>
      </c>
      <c r="C142" s="4" t="str">
        <f t="shared" si="12"/>
        <v>Hà Nội</v>
      </c>
      <c r="D142" s="3" t="s">
        <v>75</v>
      </c>
      <c r="E142" s="4" t="str">
        <f t="shared" si="11"/>
        <v>Huyện Sóc Sơn</v>
      </c>
      <c r="F142" s="3" t="s">
        <v>906</v>
      </c>
      <c r="G142" s="4" t="str">
        <f>HYPERLINK("https://diaocthongthai.com/xa-tien-duoc-soc-son/","Xã Tiên Dược")</f>
        <v>Xã Tiên Dược</v>
      </c>
    </row>
    <row r="143" spans="1:7" x14ac:dyDescent="0.25">
      <c r="A143" s="2">
        <v>142</v>
      </c>
      <c r="B143" s="3" t="s">
        <v>3</v>
      </c>
      <c r="C143" s="4" t="str">
        <f t="shared" si="12"/>
        <v>Hà Nội</v>
      </c>
      <c r="D143" s="3" t="s">
        <v>75</v>
      </c>
      <c r="E143" s="4" t="str">
        <f t="shared" si="11"/>
        <v>Huyện Sóc Sơn</v>
      </c>
      <c r="F143" s="3" t="s">
        <v>907</v>
      </c>
      <c r="G143" s="4" t="str">
        <f>HYPERLINK("https://diaocthongthai.com/xa-viet-long-soc-son/","Xã Việt Long")</f>
        <v>Xã Việt Long</v>
      </c>
    </row>
    <row r="144" spans="1:7" x14ac:dyDescent="0.25">
      <c r="A144" s="2">
        <v>143</v>
      </c>
      <c r="B144" s="3" t="s">
        <v>3</v>
      </c>
      <c r="C144" s="4" t="str">
        <f t="shared" si="12"/>
        <v>Hà Nội</v>
      </c>
      <c r="D144" s="3" t="s">
        <v>75</v>
      </c>
      <c r="E144" s="4" t="str">
        <f t="shared" si="11"/>
        <v>Huyện Sóc Sơn</v>
      </c>
      <c r="F144" s="3" t="s">
        <v>908</v>
      </c>
      <c r="G144" s="4" t="str">
        <f>HYPERLINK("https://diaocthongthai.com/xa-xuan-giang-soc-son/","Xã Xuân Giang")</f>
        <v>Xã Xuân Giang</v>
      </c>
    </row>
    <row r="145" spans="1:7" x14ac:dyDescent="0.25">
      <c r="A145" s="2">
        <v>144</v>
      </c>
      <c r="B145" s="3" t="s">
        <v>3</v>
      </c>
      <c r="C145" s="4" t="str">
        <f t="shared" si="12"/>
        <v>Hà Nội</v>
      </c>
      <c r="D145" s="3" t="s">
        <v>75</v>
      </c>
      <c r="E145" s="4" t="str">
        <f t="shared" si="11"/>
        <v>Huyện Sóc Sơn</v>
      </c>
      <c r="F145" s="3" t="s">
        <v>909</v>
      </c>
      <c r="G145" s="4" t="str">
        <f>HYPERLINK("https://diaocthongthai.com/xa-mai-dinh-soc-son/","Xã Mai Đình")</f>
        <v>Xã Mai Đình</v>
      </c>
    </row>
    <row r="146" spans="1:7" x14ac:dyDescent="0.25">
      <c r="A146" s="2">
        <v>145</v>
      </c>
      <c r="B146" s="3" t="s">
        <v>3</v>
      </c>
      <c r="C146" s="4" t="str">
        <f t="shared" si="12"/>
        <v>Hà Nội</v>
      </c>
      <c r="D146" s="3" t="s">
        <v>75</v>
      </c>
      <c r="E146" s="4" t="str">
        <f t="shared" si="11"/>
        <v>Huyện Sóc Sơn</v>
      </c>
      <c r="F146" s="3" t="s">
        <v>910</v>
      </c>
      <c r="G146" s="4" t="str">
        <f>HYPERLINK("https://diaocthongthai.com/xa-duc-hoa-soc-son/","Xã Đức Hoà")</f>
        <v>Xã Đức Hoà</v>
      </c>
    </row>
    <row r="147" spans="1:7" x14ac:dyDescent="0.25">
      <c r="A147" s="2">
        <v>146</v>
      </c>
      <c r="B147" s="3" t="s">
        <v>3</v>
      </c>
      <c r="C147" s="4" t="str">
        <f t="shared" si="12"/>
        <v>Hà Nội</v>
      </c>
      <c r="D147" s="3" t="s">
        <v>75</v>
      </c>
      <c r="E147" s="4" t="str">
        <f t="shared" si="11"/>
        <v>Huyện Sóc Sơn</v>
      </c>
      <c r="F147" s="3" t="s">
        <v>911</v>
      </c>
      <c r="G147" s="4" t="str">
        <f>HYPERLINK("https://diaocthongthai.com/xa-thanh-xuan-soc-son/","Xã Thanh Xuân")</f>
        <v>Xã Thanh Xuân</v>
      </c>
    </row>
    <row r="148" spans="1:7" x14ac:dyDescent="0.25">
      <c r="A148" s="2">
        <v>147</v>
      </c>
      <c r="B148" s="3" t="s">
        <v>3</v>
      </c>
      <c r="C148" s="4" t="str">
        <f t="shared" si="12"/>
        <v>Hà Nội</v>
      </c>
      <c r="D148" s="3" t="s">
        <v>75</v>
      </c>
      <c r="E148" s="4" t="str">
        <f t="shared" si="11"/>
        <v>Huyện Sóc Sơn</v>
      </c>
      <c r="F148" s="3" t="s">
        <v>912</v>
      </c>
      <c r="G148" s="4" t="str">
        <f>HYPERLINK("https://diaocthongthai.com/xa-dong-xuan-soc-son/","Xã Đông Xuân")</f>
        <v>Xã Đông Xuân</v>
      </c>
    </row>
    <row r="149" spans="1:7" x14ac:dyDescent="0.25">
      <c r="A149" s="2">
        <v>148</v>
      </c>
      <c r="B149" s="3" t="s">
        <v>3</v>
      </c>
      <c r="C149" s="4" t="str">
        <f t="shared" si="12"/>
        <v>Hà Nội</v>
      </c>
      <c r="D149" s="3" t="s">
        <v>75</v>
      </c>
      <c r="E149" s="4" t="str">
        <f t="shared" si="11"/>
        <v>Huyện Sóc Sơn</v>
      </c>
      <c r="F149" s="3" t="s">
        <v>913</v>
      </c>
      <c r="G149" s="4" t="str">
        <f>HYPERLINK("https://diaocthongthai.com/xa-kim-lu-soc-son/","Xã Kim Lũ")</f>
        <v>Xã Kim Lũ</v>
      </c>
    </row>
    <row r="150" spans="1:7" x14ac:dyDescent="0.25">
      <c r="A150" s="2">
        <v>149</v>
      </c>
      <c r="B150" s="3" t="s">
        <v>3</v>
      </c>
      <c r="C150" s="4" t="str">
        <f t="shared" si="12"/>
        <v>Hà Nội</v>
      </c>
      <c r="D150" s="3" t="s">
        <v>75</v>
      </c>
      <c r="E150" s="4" t="str">
        <f t="shared" si="11"/>
        <v>Huyện Sóc Sơn</v>
      </c>
      <c r="F150" s="3" t="s">
        <v>914</v>
      </c>
      <c r="G150" s="4" t="str">
        <f>HYPERLINK("https://diaocthongthai.com/xa-phu-cuong-soc-son/","Xã Phú Cường")</f>
        <v>Xã Phú Cường</v>
      </c>
    </row>
    <row r="151" spans="1:7" x14ac:dyDescent="0.25">
      <c r="A151" s="2">
        <v>150</v>
      </c>
      <c r="B151" s="3" t="s">
        <v>3</v>
      </c>
      <c r="C151" s="4" t="str">
        <f t="shared" si="12"/>
        <v>Hà Nội</v>
      </c>
      <c r="D151" s="3" t="s">
        <v>75</v>
      </c>
      <c r="E151" s="4" t="str">
        <f t="shared" si="11"/>
        <v>Huyện Sóc Sơn</v>
      </c>
      <c r="F151" s="3" t="s">
        <v>915</v>
      </c>
      <c r="G151" s="4" t="str">
        <f>HYPERLINK("https://diaocthongthai.com/xa-phu-minh-soc-son/","Xã Phú Minh")</f>
        <v>Xã Phú Minh</v>
      </c>
    </row>
    <row r="152" spans="1:7" x14ac:dyDescent="0.25">
      <c r="A152" s="2">
        <v>151</v>
      </c>
      <c r="B152" s="3" t="s">
        <v>3</v>
      </c>
      <c r="C152" s="4" t="str">
        <f t="shared" si="12"/>
        <v>Hà Nội</v>
      </c>
      <c r="D152" s="3" t="s">
        <v>75</v>
      </c>
      <c r="E152" s="4" t="str">
        <f t="shared" si="11"/>
        <v>Huyện Sóc Sơn</v>
      </c>
      <c r="F152" s="3" t="s">
        <v>916</v>
      </c>
      <c r="G152" s="4" t="str">
        <f>HYPERLINK("https://diaocthongthai.com/xa-phu-lo-soc-son/","Xã Phù Lỗ")</f>
        <v>Xã Phù Lỗ</v>
      </c>
    </row>
    <row r="153" spans="1:7" x14ac:dyDescent="0.25">
      <c r="A153" s="2">
        <v>152</v>
      </c>
      <c r="B153" s="3" t="s">
        <v>3</v>
      </c>
      <c r="C153" s="4" t="str">
        <f t="shared" si="12"/>
        <v>Hà Nội</v>
      </c>
      <c r="D153" s="3" t="s">
        <v>75</v>
      </c>
      <c r="E153" s="4" t="str">
        <f t="shared" si="11"/>
        <v>Huyện Sóc Sơn</v>
      </c>
      <c r="F153" s="3" t="s">
        <v>917</v>
      </c>
      <c r="G153" s="4" t="str">
        <f>HYPERLINK("https://diaocthongthai.com/xa-xuan-thu-soc-son/","Xã Xuân Thu")</f>
        <v>Xã Xuân Thu</v>
      </c>
    </row>
    <row r="154" spans="1:7" x14ac:dyDescent="0.25">
      <c r="A154" s="2">
        <v>153</v>
      </c>
      <c r="B154" s="3" t="s">
        <v>3</v>
      </c>
      <c r="C154" s="4" t="str">
        <f t="shared" si="12"/>
        <v>Hà Nội</v>
      </c>
      <c r="D154" s="3" t="s">
        <v>76</v>
      </c>
      <c r="E154" s="4" t="str">
        <f t="shared" ref="E154:E177" si="13">HYPERLINK("https://diaocthongthai.com/ban-do-huyen-dong-anh-tp-ha-noi/","Huyện Đông Anh")</f>
        <v>Huyện Đông Anh</v>
      </c>
      <c r="F154" s="3" t="s">
        <v>918</v>
      </c>
      <c r="G154" s="4" t="str">
        <f>HYPERLINK("https://diaocthongthai.com/thi-tran-dong-anh-dong-anh/","Thị trấn Đông Anh")</f>
        <v>Thị trấn Đông Anh</v>
      </c>
    </row>
    <row r="155" spans="1:7" x14ac:dyDescent="0.25">
      <c r="A155" s="2">
        <v>154</v>
      </c>
      <c r="B155" s="3" t="s">
        <v>3</v>
      </c>
      <c r="C155" s="4" t="str">
        <f t="shared" si="12"/>
        <v>Hà Nội</v>
      </c>
      <c r="D155" s="3" t="s">
        <v>76</v>
      </c>
      <c r="E155" s="4" t="str">
        <f t="shared" si="13"/>
        <v>Huyện Đông Anh</v>
      </c>
      <c r="F155" s="3" t="s">
        <v>919</v>
      </c>
      <c r="G155" s="4" t="str">
        <f>HYPERLINK("https://diaocthongthai.com/xa-xuan-non-dong-anh/","Xã Xuân Nộn")</f>
        <v>Xã Xuân Nộn</v>
      </c>
    </row>
    <row r="156" spans="1:7" x14ac:dyDescent="0.25">
      <c r="A156" s="2">
        <v>155</v>
      </c>
      <c r="B156" s="3" t="s">
        <v>3</v>
      </c>
      <c r="C156" s="4" t="str">
        <f t="shared" si="12"/>
        <v>Hà Nội</v>
      </c>
      <c r="D156" s="3" t="s">
        <v>76</v>
      </c>
      <c r="E156" s="4" t="str">
        <f t="shared" si="13"/>
        <v>Huyện Đông Anh</v>
      </c>
      <c r="F156" s="3" t="s">
        <v>920</v>
      </c>
      <c r="G156" s="4" t="str">
        <f>HYPERLINK("https://diaocthongthai.com/xa-thuy-lam-dong-anh/","Xã Thuỵ Lâm")</f>
        <v>Xã Thuỵ Lâm</v>
      </c>
    </row>
    <row r="157" spans="1:7" x14ac:dyDescent="0.25">
      <c r="A157" s="2">
        <v>156</v>
      </c>
      <c r="B157" s="3" t="s">
        <v>3</v>
      </c>
      <c r="C157" s="4" t="str">
        <f t="shared" si="12"/>
        <v>Hà Nội</v>
      </c>
      <c r="D157" s="3" t="s">
        <v>76</v>
      </c>
      <c r="E157" s="4" t="str">
        <f t="shared" si="13"/>
        <v>Huyện Đông Anh</v>
      </c>
      <c r="F157" s="3" t="s">
        <v>921</v>
      </c>
      <c r="G157" s="4" t="str">
        <f>HYPERLINK("https://diaocthongthai.com/xa-bac-hong-dong-anh/","Xã Bắc Hồng")</f>
        <v>Xã Bắc Hồng</v>
      </c>
    </row>
    <row r="158" spans="1:7" x14ac:dyDescent="0.25">
      <c r="A158" s="2">
        <v>157</v>
      </c>
      <c r="B158" s="3" t="s">
        <v>3</v>
      </c>
      <c r="C158" s="4" t="str">
        <f t="shared" si="12"/>
        <v>Hà Nội</v>
      </c>
      <c r="D158" s="3" t="s">
        <v>76</v>
      </c>
      <c r="E158" s="4" t="str">
        <f t="shared" si="13"/>
        <v>Huyện Đông Anh</v>
      </c>
      <c r="F158" s="3" t="s">
        <v>922</v>
      </c>
      <c r="G158" s="4" t="str">
        <f>HYPERLINK("https://diaocthongthai.com/xa-nguyen-khe-dong-anh/","Xã Nguyên Khê")</f>
        <v>Xã Nguyên Khê</v>
      </c>
    </row>
    <row r="159" spans="1:7" x14ac:dyDescent="0.25">
      <c r="A159" s="2">
        <v>158</v>
      </c>
      <c r="B159" s="3" t="s">
        <v>3</v>
      </c>
      <c r="C159" s="4" t="str">
        <f t="shared" si="12"/>
        <v>Hà Nội</v>
      </c>
      <c r="D159" s="3" t="s">
        <v>76</v>
      </c>
      <c r="E159" s="4" t="str">
        <f t="shared" si="13"/>
        <v>Huyện Đông Anh</v>
      </c>
      <c r="F159" s="3" t="s">
        <v>923</v>
      </c>
      <c r="G159" s="4" t="str">
        <f>HYPERLINK("https://diaocthongthai.com/xa-nam-hong-dong-anh/","Xã Nam Hồng")</f>
        <v>Xã Nam Hồng</v>
      </c>
    </row>
    <row r="160" spans="1:7" x14ac:dyDescent="0.25">
      <c r="A160" s="2">
        <v>159</v>
      </c>
      <c r="B160" s="3" t="s">
        <v>3</v>
      </c>
      <c r="C160" s="4" t="str">
        <f t="shared" si="12"/>
        <v>Hà Nội</v>
      </c>
      <c r="D160" s="3" t="s">
        <v>76</v>
      </c>
      <c r="E160" s="4" t="str">
        <f t="shared" si="13"/>
        <v>Huyện Đông Anh</v>
      </c>
      <c r="F160" s="3" t="s">
        <v>924</v>
      </c>
      <c r="G160" s="4" t="str">
        <f>HYPERLINK("https://diaocthongthai.com/xa-tien-duong-dong-anh/","Xã Tiên Dương")</f>
        <v>Xã Tiên Dương</v>
      </c>
    </row>
    <row r="161" spans="1:7" x14ac:dyDescent="0.25">
      <c r="A161" s="2">
        <v>160</v>
      </c>
      <c r="B161" s="3" t="s">
        <v>3</v>
      </c>
      <c r="C161" s="4" t="str">
        <f t="shared" si="12"/>
        <v>Hà Nội</v>
      </c>
      <c r="D161" s="3" t="s">
        <v>76</v>
      </c>
      <c r="E161" s="4" t="str">
        <f t="shared" si="13"/>
        <v>Huyện Đông Anh</v>
      </c>
      <c r="F161" s="3" t="s">
        <v>925</v>
      </c>
      <c r="G161" s="4" t="str">
        <f>HYPERLINK("https://diaocthongthai.com/xa-van-ha-dong-anh/","Xã Vân Hà")</f>
        <v>Xã Vân Hà</v>
      </c>
    </row>
    <row r="162" spans="1:7" x14ac:dyDescent="0.25">
      <c r="A162" s="2">
        <v>161</v>
      </c>
      <c r="B162" s="3" t="s">
        <v>3</v>
      </c>
      <c r="C162" s="4" t="str">
        <f t="shared" si="12"/>
        <v>Hà Nội</v>
      </c>
      <c r="D162" s="3" t="s">
        <v>76</v>
      </c>
      <c r="E162" s="4" t="str">
        <f t="shared" si="13"/>
        <v>Huyện Đông Anh</v>
      </c>
      <c r="F162" s="3" t="s">
        <v>926</v>
      </c>
      <c r="G162" s="4" t="str">
        <f>HYPERLINK("https://diaocthongthai.com/xa-uy-no-dong-anh/","Xã Uy Nỗ")</f>
        <v>Xã Uy Nỗ</v>
      </c>
    </row>
    <row r="163" spans="1:7" x14ac:dyDescent="0.25">
      <c r="A163" s="2">
        <v>162</v>
      </c>
      <c r="B163" s="3" t="s">
        <v>3</v>
      </c>
      <c r="C163" s="4" t="str">
        <f t="shared" si="12"/>
        <v>Hà Nội</v>
      </c>
      <c r="D163" s="3" t="s">
        <v>76</v>
      </c>
      <c r="E163" s="4" t="str">
        <f t="shared" si="13"/>
        <v>Huyện Đông Anh</v>
      </c>
      <c r="F163" s="3" t="s">
        <v>927</v>
      </c>
      <c r="G163" s="4" t="str">
        <f>HYPERLINK("https://diaocthongthai.com/xa-van-noi-dong-anh/","Xã Vân Nội")</f>
        <v>Xã Vân Nội</v>
      </c>
    </row>
    <row r="164" spans="1:7" x14ac:dyDescent="0.25">
      <c r="A164" s="2">
        <v>163</v>
      </c>
      <c r="B164" s="3" t="s">
        <v>3</v>
      </c>
      <c r="C164" s="4" t="str">
        <f t="shared" si="12"/>
        <v>Hà Nội</v>
      </c>
      <c r="D164" s="3" t="s">
        <v>76</v>
      </c>
      <c r="E164" s="4" t="str">
        <f t="shared" si="13"/>
        <v>Huyện Đông Anh</v>
      </c>
      <c r="F164" s="3" t="s">
        <v>928</v>
      </c>
      <c r="G164" s="4" t="str">
        <f>HYPERLINK("https://diaocthongthai.com/xa-lien-ha-dong-anh/","Xã Liên Hà")</f>
        <v>Xã Liên Hà</v>
      </c>
    </row>
    <row r="165" spans="1:7" x14ac:dyDescent="0.25">
      <c r="A165" s="2">
        <v>164</v>
      </c>
      <c r="B165" s="3" t="s">
        <v>3</v>
      </c>
      <c r="C165" s="4" t="str">
        <f t="shared" si="12"/>
        <v>Hà Nội</v>
      </c>
      <c r="D165" s="3" t="s">
        <v>76</v>
      </c>
      <c r="E165" s="4" t="str">
        <f t="shared" si="13"/>
        <v>Huyện Đông Anh</v>
      </c>
      <c r="F165" s="3" t="s">
        <v>929</v>
      </c>
      <c r="G165" s="4" t="str">
        <f>HYPERLINK("https://diaocthongthai.com/xa-viet-hung-dong-anh/","Xã Việt Hùng")</f>
        <v>Xã Việt Hùng</v>
      </c>
    </row>
    <row r="166" spans="1:7" x14ac:dyDescent="0.25">
      <c r="A166" s="2">
        <v>165</v>
      </c>
      <c r="B166" s="3" t="s">
        <v>3</v>
      </c>
      <c r="C166" s="4" t="str">
        <f t="shared" si="12"/>
        <v>Hà Nội</v>
      </c>
      <c r="D166" s="3" t="s">
        <v>76</v>
      </c>
      <c r="E166" s="4" t="str">
        <f t="shared" si="13"/>
        <v>Huyện Đông Anh</v>
      </c>
      <c r="F166" s="3" t="s">
        <v>930</v>
      </c>
      <c r="G166" s="4" t="str">
        <f>HYPERLINK("https://diaocthongthai.com/xa-kim-no-dong-anh/","Xã Kim Nỗ")</f>
        <v>Xã Kim Nỗ</v>
      </c>
    </row>
    <row r="167" spans="1:7" x14ac:dyDescent="0.25">
      <c r="A167" s="2">
        <v>166</v>
      </c>
      <c r="B167" s="3" t="s">
        <v>3</v>
      </c>
      <c r="C167" s="4" t="str">
        <f t="shared" si="12"/>
        <v>Hà Nội</v>
      </c>
      <c r="D167" s="3" t="s">
        <v>76</v>
      </c>
      <c r="E167" s="4" t="str">
        <f t="shared" si="13"/>
        <v>Huyện Đông Anh</v>
      </c>
      <c r="F167" s="3" t="s">
        <v>931</v>
      </c>
      <c r="G167" s="4" t="str">
        <f>HYPERLINK("https://diaocthongthai.com/xa-kim-chung-dong-anh/","Xã Kim Chung")</f>
        <v>Xã Kim Chung</v>
      </c>
    </row>
    <row r="168" spans="1:7" x14ac:dyDescent="0.25">
      <c r="A168" s="2">
        <v>167</v>
      </c>
      <c r="B168" s="3" t="s">
        <v>3</v>
      </c>
      <c r="C168" s="4" t="str">
        <f t="shared" si="12"/>
        <v>Hà Nội</v>
      </c>
      <c r="D168" s="3" t="s">
        <v>76</v>
      </c>
      <c r="E168" s="4" t="str">
        <f t="shared" si="13"/>
        <v>Huyện Đông Anh</v>
      </c>
      <c r="F168" s="3" t="s">
        <v>932</v>
      </c>
      <c r="G168" s="4" t="str">
        <f>HYPERLINK("https://diaocthongthai.com/xa-duc-tu-dong-anh/","Xã Dục Tú")</f>
        <v>Xã Dục Tú</v>
      </c>
    </row>
    <row r="169" spans="1:7" x14ac:dyDescent="0.25">
      <c r="A169" s="2">
        <v>168</v>
      </c>
      <c r="B169" s="3" t="s">
        <v>3</v>
      </c>
      <c r="C169" s="4" t="str">
        <f t="shared" si="12"/>
        <v>Hà Nội</v>
      </c>
      <c r="D169" s="3" t="s">
        <v>76</v>
      </c>
      <c r="E169" s="4" t="str">
        <f t="shared" si="13"/>
        <v>Huyện Đông Anh</v>
      </c>
      <c r="F169" s="3" t="s">
        <v>933</v>
      </c>
      <c r="G169" s="4" t="str">
        <f>HYPERLINK("https://diaocthongthai.com/xa-dai-mach-dong-anh/","Xã Đại Mạch")</f>
        <v>Xã Đại Mạch</v>
      </c>
    </row>
    <row r="170" spans="1:7" x14ac:dyDescent="0.25">
      <c r="A170" s="2">
        <v>169</v>
      </c>
      <c r="B170" s="3" t="s">
        <v>3</v>
      </c>
      <c r="C170" s="4" t="str">
        <f t="shared" si="12"/>
        <v>Hà Nội</v>
      </c>
      <c r="D170" s="3" t="s">
        <v>76</v>
      </c>
      <c r="E170" s="4" t="str">
        <f t="shared" si="13"/>
        <v>Huyện Đông Anh</v>
      </c>
      <c r="F170" s="3" t="s">
        <v>934</v>
      </c>
      <c r="G170" s="4" t="str">
        <f>HYPERLINK("https://diaocthongthai.com/xa-vinh-ngoc-dong-anh/","Xã Vĩnh Ngọc")</f>
        <v>Xã Vĩnh Ngọc</v>
      </c>
    </row>
    <row r="171" spans="1:7" x14ac:dyDescent="0.25">
      <c r="A171" s="2">
        <v>170</v>
      </c>
      <c r="B171" s="3" t="s">
        <v>3</v>
      </c>
      <c r="C171" s="4" t="str">
        <f t="shared" si="12"/>
        <v>Hà Nội</v>
      </c>
      <c r="D171" s="3" t="s">
        <v>76</v>
      </c>
      <c r="E171" s="4" t="str">
        <f t="shared" si="13"/>
        <v>Huyện Đông Anh</v>
      </c>
      <c r="F171" s="3" t="s">
        <v>935</v>
      </c>
      <c r="G171" s="4" t="str">
        <f>HYPERLINK("https://diaocthongthai.com/xa-co-loa-dong-anh/","Xã Cổ Loa")</f>
        <v>Xã Cổ Loa</v>
      </c>
    </row>
    <row r="172" spans="1:7" x14ac:dyDescent="0.25">
      <c r="A172" s="2">
        <v>171</v>
      </c>
      <c r="B172" s="3" t="s">
        <v>3</v>
      </c>
      <c r="C172" s="4" t="str">
        <f t="shared" si="12"/>
        <v>Hà Nội</v>
      </c>
      <c r="D172" s="3" t="s">
        <v>76</v>
      </c>
      <c r="E172" s="4" t="str">
        <f t="shared" si="13"/>
        <v>Huyện Đông Anh</v>
      </c>
      <c r="F172" s="3" t="s">
        <v>936</v>
      </c>
      <c r="G172" s="4" t="str">
        <f>HYPERLINK("https://diaocthongthai.com/xa-hai-boi-dong-anh/","Xã Hải Bối")</f>
        <v>Xã Hải Bối</v>
      </c>
    </row>
    <row r="173" spans="1:7" x14ac:dyDescent="0.25">
      <c r="A173" s="2">
        <v>172</v>
      </c>
      <c r="B173" s="3" t="s">
        <v>3</v>
      </c>
      <c r="C173" s="4" t="str">
        <f t="shared" si="12"/>
        <v>Hà Nội</v>
      </c>
      <c r="D173" s="3" t="s">
        <v>76</v>
      </c>
      <c r="E173" s="4" t="str">
        <f t="shared" si="13"/>
        <v>Huyện Đông Anh</v>
      </c>
      <c r="F173" s="3" t="s">
        <v>937</v>
      </c>
      <c r="G173" s="4" t="str">
        <f>HYPERLINK("https://diaocthongthai.com/xa-xuan-canh-dong-anh/","Xã Xuân Canh")</f>
        <v>Xã Xuân Canh</v>
      </c>
    </row>
    <row r="174" spans="1:7" x14ac:dyDescent="0.25">
      <c r="A174" s="2">
        <v>173</v>
      </c>
      <c r="B174" s="3" t="s">
        <v>3</v>
      </c>
      <c r="C174" s="4" t="str">
        <f t="shared" si="12"/>
        <v>Hà Nội</v>
      </c>
      <c r="D174" s="3" t="s">
        <v>76</v>
      </c>
      <c r="E174" s="4" t="str">
        <f t="shared" si="13"/>
        <v>Huyện Đông Anh</v>
      </c>
      <c r="F174" s="3" t="s">
        <v>938</v>
      </c>
      <c r="G174" s="4" t="str">
        <f>HYPERLINK("https://diaocthongthai.com/xa-vong-la-dong-anh/","Xã Võng La")</f>
        <v>Xã Võng La</v>
      </c>
    </row>
    <row r="175" spans="1:7" x14ac:dyDescent="0.25">
      <c r="A175" s="2">
        <v>174</v>
      </c>
      <c r="B175" s="3" t="s">
        <v>3</v>
      </c>
      <c r="C175" s="4" t="str">
        <f t="shared" si="12"/>
        <v>Hà Nội</v>
      </c>
      <c r="D175" s="3" t="s">
        <v>76</v>
      </c>
      <c r="E175" s="4" t="str">
        <f t="shared" si="13"/>
        <v>Huyện Đông Anh</v>
      </c>
      <c r="F175" s="3" t="s">
        <v>939</v>
      </c>
      <c r="G175" s="4" t="str">
        <f>HYPERLINK("https://diaocthongthai.com/xa-tam-xa-dong-anh/","Xã Tàm Xá")</f>
        <v>Xã Tàm Xá</v>
      </c>
    </row>
    <row r="176" spans="1:7" x14ac:dyDescent="0.25">
      <c r="A176" s="2">
        <v>175</v>
      </c>
      <c r="B176" s="3" t="s">
        <v>3</v>
      </c>
      <c r="C176" s="4" t="str">
        <f t="shared" si="12"/>
        <v>Hà Nội</v>
      </c>
      <c r="D176" s="3" t="s">
        <v>76</v>
      </c>
      <c r="E176" s="4" t="str">
        <f t="shared" si="13"/>
        <v>Huyện Đông Anh</v>
      </c>
      <c r="F176" s="3" t="s">
        <v>940</v>
      </c>
      <c r="G176" s="4" t="str">
        <f>HYPERLINK("https://diaocthongthai.com/xa-mai-lam-dong-anh/","Xã Mai Lâm")</f>
        <v>Xã Mai Lâm</v>
      </c>
    </row>
    <row r="177" spans="1:7" x14ac:dyDescent="0.25">
      <c r="A177" s="2">
        <v>176</v>
      </c>
      <c r="B177" s="3" t="s">
        <v>3</v>
      </c>
      <c r="C177" s="4" t="str">
        <f t="shared" si="12"/>
        <v>Hà Nội</v>
      </c>
      <c r="D177" s="3" t="s">
        <v>76</v>
      </c>
      <c r="E177" s="4" t="str">
        <f t="shared" si="13"/>
        <v>Huyện Đông Anh</v>
      </c>
      <c r="F177" s="3" t="s">
        <v>941</v>
      </c>
      <c r="G177" s="4" t="str">
        <f>HYPERLINK("https://diaocthongthai.com/xa-dong-hoi-dong-anh/","Xã Đông Hội")</f>
        <v>Xã Đông Hội</v>
      </c>
    </row>
    <row r="178" spans="1:7" x14ac:dyDescent="0.25">
      <c r="A178" s="2">
        <v>177</v>
      </c>
      <c r="B178" s="3" t="s">
        <v>3</v>
      </c>
      <c r="C178" s="4" t="str">
        <f t="shared" si="12"/>
        <v>Hà Nội</v>
      </c>
      <c r="D178" s="3" t="s">
        <v>77</v>
      </c>
      <c r="E178" s="4" t="str">
        <f t="shared" ref="E178:E199" si="14">HYPERLINK("https://diaocthongthai.com/ban-do-huyen-gia-lam-tp-ha-noi/","Huyện Gia Lâm")</f>
        <v>Huyện Gia Lâm</v>
      </c>
      <c r="F178" s="3" t="s">
        <v>942</v>
      </c>
      <c r="G178" s="4" t="str">
        <f>HYPERLINK("https://diaocthongthai.com/thi-tran-yen-vien-gia-lam/","Thị trấn Yên Viên")</f>
        <v>Thị trấn Yên Viên</v>
      </c>
    </row>
    <row r="179" spans="1:7" x14ac:dyDescent="0.25">
      <c r="A179" s="2">
        <v>178</v>
      </c>
      <c r="B179" s="3" t="s">
        <v>3</v>
      </c>
      <c r="C179" s="4" t="str">
        <f t="shared" si="12"/>
        <v>Hà Nội</v>
      </c>
      <c r="D179" s="3" t="s">
        <v>77</v>
      </c>
      <c r="E179" s="4" t="str">
        <f t="shared" si="14"/>
        <v>Huyện Gia Lâm</v>
      </c>
      <c r="F179" s="3" t="s">
        <v>943</v>
      </c>
      <c r="G179" s="4" t="str">
        <f>HYPERLINK("https://diaocthongthai.com/xa-yen-thuong-gia-lam/","Xã Yên Thường")</f>
        <v>Xã Yên Thường</v>
      </c>
    </row>
    <row r="180" spans="1:7" x14ac:dyDescent="0.25">
      <c r="A180" s="2">
        <v>179</v>
      </c>
      <c r="B180" s="3" t="s">
        <v>3</v>
      </c>
      <c r="C180" s="4" t="str">
        <f t="shared" si="12"/>
        <v>Hà Nội</v>
      </c>
      <c r="D180" s="3" t="s">
        <v>77</v>
      </c>
      <c r="E180" s="4" t="str">
        <f t="shared" si="14"/>
        <v>Huyện Gia Lâm</v>
      </c>
      <c r="F180" s="3" t="s">
        <v>944</v>
      </c>
      <c r="G180" s="4" t="str">
        <f>HYPERLINK("https://diaocthongthai.com/xa-yen-vien-gia-lam/","Xã Yên Viên")</f>
        <v>Xã Yên Viên</v>
      </c>
    </row>
    <row r="181" spans="1:7" x14ac:dyDescent="0.25">
      <c r="A181" s="2">
        <v>180</v>
      </c>
      <c r="B181" s="3" t="s">
        <v>3</v>
      </c>
      <c r="C181" s="4" t="str">
        <f t="shared" si="12"/>
        <v>Hà Nội</v>
      </c>
      <c r="D181" s="3" t="s">
        <v>77</v>
      </c>
      <c r="E181" s="4" t="str">
        <f t="shared" si="14"/>
        <v>Huyện Gia Lâm</v>
      </c>
      <c r="F181" s="3" t="s">
        <v>945</v>
      </c>
      <c r="G181" s="4" t="str">
        <f>HYPERLINK("https://diaocthongthai.com/xa-ninh-hiep-gia-lam/","Xã Ninh Hiệp")</f>
        <v>Xã Ninh Hiệp</v>
      </c>
    </row>
    <row r="182" spans="1:7" x14ac:dyDescent="0.25">
      <c r="A182" s="2">
        <v>181</v>
      </c>
      <c r="B182" s="3" t="s">
        <v>3</v>
      </c>
      <c r="C182" s="4" t="str">
        <f t="shared" si="12"/>
        <v>Hà Nội</v>
      </c>
      <c r="D182" s="3" t="s">
        <v>77</v>
      </c>
      <c r="E182" s="4" t="str">
        <f t="shared" si="14"/>
        <v>Huyện Gia Lâm</v>
      </c>
      <c r="F182" s="3" t="s">
        <v>946</v>
      </c>
      <c r="G182" s="4" t="str">
        <f>HYPERLINK("https://diaocthongthai.com/xa-dinh-xuyen-gia-lam/","Xã Đình Xuyên")</f>
        <v>Xã Đình Xuyên</v>
      </c>
    </row>
    <row r="183" spans="1:7" x14ac:dyDescent="0.25">
      <c r="A183" s="2">
        <v>182</v>
      </c>
      <c r="B183" s="3" t="s">
        <v>3</v>
      </c>
      <c r="C183" s="4" t="str">
        <f t="shared" si="12"/>
        <v>Hà Nội</v>
      </c>
      <c r="D183" s="3" t="s">
        <v>77</v>
      </c>
      <c r="E183" s="4" t="str">
        <f t="shared" si="14"/>
        <v>Huyện Gia Lâm</v>
      </c>
      <c r="F183" s="3" t="s">
        <v>947</v>
      </c>
      <c r="G183" s="4" t="str">
        <f>HYPERLINK("https://diaocthongthai.com/xa-duong-ha-gia-lam/","Xã Dương Hà")</f>
        <v>Xã Dương Hà</v>
      </c>
    </row>
    <row r="184" spans="1:7" x14ac:dyDescent="0.25">
      <c r="A184" s="2">
        <v>183</v>
      </c>
      <c r="B184" s="3" t="s">
        <v>3</v>
      </c>
      <c r="C184" s="4" t="str">
        <f t="shared" si="12"/>
        <v>Hà Nội</v>
      </c>
      <c r="D184" s="3" t="s">
        <v>77</v>
      </c>
      <c r="E184" s="4" t="str">
        <f t="shared" si="14"/>
        <v>Huyện Gia Lâm</v>
      </c>
      <c r="F184" s="3" t="s">
        <v>948</v>
      </c>
      <c r="G184" s="4" t="str">
        <f>HYPERLINK("https://diaocthongthai.com/xa-phu-dong-gia-lam/","Xã Phù Đổng")</f>
        <v>Xã Phù Đổng</v>
      </c>
    </row>
    <row r="185" spans="1:7" x14ac:dyDescent="0.25">
      <c r="A185" s="2">
        <v>184</v>
      </c>
      <c r="B185" s="3" t="s">
        <v>3</v>
      </c>
      <c r="C185" s="4" t="str">
        <f t="shared" si="12"/>
        <v>Hà Nội</v>
      </c>
      <c r="D185" s="3" t="s">
        <v>77</v>
      </c>
      <c r="E185" s="4" t="str">
        <f t="shared" si="14"/>
        <v>Huyện Gia Lâm</v>
      </c>
      <c r="F185" s="3" t="s">
        <v>949</v>
      </c>
      <c r="G185" s="4" t="str">
        <f>HYPERLINK("https://diaocthongthai.com/xa-trung-mau-gia-lam/","Xã Trung Mầu")</f>
        <v>Xã Trung Mầu</v>
      </c>
    </row>
    <row r="186" spans="1:7" x14ac:dyDescent="0.25">
      <c r="A186" s="2">
        <v>185</v>
      </c>
      <c r="B186" s="3" t="s">
        <v>3</v>
      </c>
      <c r="C186" s="4" t="str">
        <f t="shared" si="12"/>
        <v>Hà Nội</v>
      </c>
      <c r="D186" s="3" t="s">
        <v>77</v>
      </c>
      <c r="E186" s="4" t="str">
        <f t="shared" si="14"/>
        <v>Huyện Gia Lâm</v>
      </c>
      <c r="F186" s="3" t="s">
        <v>950</v>
      </c>
      <c r="G186" s="4" t="str">
        <f>HYPERLINK("https://diaocthongthai.com/xa-le-chi-gia-lam/","Xã Lệ Chi")</f>
        <v>Xã Lệ Chi</v>
      </c>
    </row>
    <row r="187" spans="1:7" x14ac:dyDescent="0.25">
      <c r="A187" s="2">
        <v>186</v>
      </c>
      <c r="B187" s="3" t="s">
        <v>3</v>
      </c>
      <c r="C187" s="4" t="str">
        <f t="shared" si="12"/>
        <v>Hà Nội</v>
      </c>
      <c r="D187" s="3" t="s">
        <v>77</v>
      </c>
      <c r="E187" s="4" t="str">
        <f t="shared" si="14"/>
        <v>Huyện Gia Lâm</v>
      </c>
      <c r="F187" s="3" t="s">
        <v>951</v>
      </c>
      <c r="G187" s="4" t="str">
        <f>HYPERLINK("https://diaocthongthai.com/xa-co-bi-gia-lam/","Xã Cổ Bi")</f>
        <v>Xã Cổ Bi</v>
      </c>
    </row>
    <row r="188" spans="1:7" x14ac:dyDescent="0.25">
      <c r="A188" s="2">
        <v>187</v>
      </c>
      <c r="B188" s="3" t="s">
        <v>3</v>
      </c>
      <c r="C188" s="4" t="str">
        <f t="shared" si="12"/>
        <v>Hà Nội</v>
      </c>
      <c r="D188" s="3" t="s">
        <v>77</v>
      </c>
      <c r="E188" s="4" t="str">
        <f t="shared" si="14"/>
        <v>Huyện Gia Lâm</v>
      </c>
      <c r="F188" s="3" t="s">
        <v>952</v>
      </c>
      <c r="G188" s="4" t="str">
        <f>HYPERLINK("https://diaocthongthai.com/xa-dang-xa-gia-lam/","Xã Đặng Xá")</f>
        <v>Xã Đặng Xá</v>
      </c>
    </row>
    <row r="189" spans="1:7" x14ac:dyDescent="0.25">
      <c r="A189" s="2">
        <v>188</v>
      </c>
      <c r="B189" s="3" t="s">
        <v>3</v>
      </c>
      <c r="C189" s="4" t="str">
        <f t="shared" si="12"/>
        <v>Hà Nội</v>
      </c>
      <c r="D189" s="3" t="s">
        <v>77</v>
      </c>
      <c r="E189" s="4" t="str">
        <f t="shared" si="14"/>
        <v>Huyện Gia Lâm</v>
      </c>
      <c r="F189" s="3" t="s">
        <v>953</v>
      </c>
      <c r="G189" s="4" t="str">
        <f>HYPERLINK("https://diaocthongthai.com/xa-phu-thi-gia-lam/","Xã Phú Thị")</f>
        <v>Xã Phú Thị</v>
      </c>
    </row>
    <row r="190" spans="1:7" x14ac:dyDescent="0.25">
      <c r="A190" s="2">
        <v>189</v>
      </c>
      <c r="B190" s="3" t="s">
        <v>3</v>
      </c>
      <c r="C190" s="4" t="str">
        <f t="shared" si="12"/>
        <v>Hà Nội</v>
      </c>
      <c r="D190" s="3" t="s">
        <v>77</v>
      </c>
      <c r="E190" s="4" t="str">
        <f t="shared" si="14"/>
        <v>Huyện Gia Lâm</v>
      </c>
      <c r="F190" s="3" t="s">
        <v>954</v>
      </c>
      <c r="G190" s="4" t="str">
        <f>HYPERLINK("https://diaocthongthai.com/xa-kim-son-gia-lam/","Xã Kim Sơn")</f>
        <v>Xã Kim Sơn</v>
      </c>
    </row>
    <row r="191" spans="1:7" x14ac:dyDescent="0.25">
      <c r="A191" s="2">
        <v>190</v>
      </c>
      <c r="B191" s="3" t="s">
        <v>3</v>
      </c>
      <c r="C191" s="4" t="str">
        <f t="shared" si="12"/>
        <v>Hà Nội</v>
      </c>
      <c r="D191" s="3" t="s">
        <v>77</v>
      </c>
      <c r="E191" s="4" t="str">
        <f t="shared" si="14"/>
        <v>Huyện Gia Lâm</v>
      </c>
      <c r="F191" s="3" t="s">
        <v>955</v>
      </c>
      <c r="G191" s="4" t="str">
        <f>HYPERLINK("https://diaocthongthai.com/thi-tran-trau-quy-gia-lam/","Thị trấn Trâu Quỳ")</f>
        <v>Thị trấn Trâu Quỳ</v>
      </c>
    </row>
    <row r="192" spans="1:7" x14ac:dyDescent="0.25">
      <c r="A192" s="2">
        <v>191</v>
      </c>
      <c r="B192" s="3" t="s">
        <v>3</v>
      </c>
      <c r="C192" s="4" t="str">
        <f t="shared" si="12"/>
        <v>Hà Nội</v>
      </c>
      <c r="D192" s="3" t="s">
        <v>77</v>
      </c>
      <c r="E192" s="4" t="str">
        <f t="shared" si="14"/>
        <v>Huyện Gia Lâm</v>
      </c>
      <c r="F192" s="3" t="s">
        <v>956</v>
      </c>
      <c r="G192" s="4" t="str">
        <f>HYPERLINK("https://diaocthongthai.com/xa-duong-quang-gia-lam/","Xã Dương Quang")</f>
        <v>Xã Dương Quang</v>
      </c>
    </row>
    <row r="193" spans="1:7" x14ac:dyDescent="0.25">
      <c r="A193" s="2">
        <v>192</v>
      </c>
      <c r="B193" s="3" t="s">
        <v>3</v>
      </c>
      <c r="C193" s="4" t="str">
        <f t="shared" si="12"/>
        <v>Hà Nội</v>
      </c>
      <c r="D193" s="3" t="s">
        <v>77</v>
      </c>
      <c r="E193" s="4" t="str">
        <f t="shared" si="14"/>
        <v>Huyện Gia Lâm</v>
      </c>
      <c r="F193" s="3" t="s">
        <v>957</v>
      </c>
      <c r="G193" s="4" t="str">
        <f>HYPERLINK("https://diaocthongthai.com/xa-duong-xa-gia-lam/","Xã Dương Xá")</f>
        <v>Xã Dương Xá</v>
      </c>
    </row>
    <row r="194" spans="1:7" x14ac:dyDescent="0.25">
      <c r="A194" s="2">
        <v>193</v>
      </c>
      <c r="B194" s="3" t="s">
        <v>3</v>
      </c>
      <c r="C194" s="4" t="str">
        <f t="shared" ref="C194:C257" si="15">HYPERLINK("https://diaocthongthai.com/ban-do-ha-noi/","Hà Nội")</f>
        <v>Hà Nội</v>
      </c>
      <c r="D194" s="3" t="s">
        <v>77</v>
      </c>
      <c r="E194" s="4" t="str">
        <f t="shared" si="14"/>
        <v>Huyện Gia Lâm</v>
      </c>
      <c r="F194" s="3" t="s">
        <v>958</v>
      </c>
      <c r="G194" s="4" t="str">
        <f>HYPERLINK("https://diaocthongthai.com/xa-dong-du-gia-lam/","Xã Đông Dư")</f>
        <v>Xã Đông Dư</v>
      </c>
    </row>
    <row r="195" spans="1:7" x14ac:dyDescent="0.25">
      <c r="A195" s="2">
        <v>194</v>
      </c>
      <c r="B195" s="3" t="s">
        <v>3</v>
      </c>
      <c r="C195" s="4" t="str">
        <f t="shared" si="15"/>
        <v>Hà Nội</v>
      </c>
      <c r="D195" s="3" t="s">
        <v>77</v>
      </c>
      <c r="E195" s="4" t="str">
        <f t="shared" si="14"/>
        <v>Huyện Gia Lâm</v>
      </c>
      <c r="F195" s="3" t="s">
        <v>959</v>
      </c>
      <c r="G195" s="4" t="str">
        <f>HYPERLINK("https://diaocthongthai.com/xa-da-ton-gia-lam/","Xã Đa Tốn")</f>
        <v>Xã Đa Tốn</v>
      </c>
    </row>
    <row r="196" spans="1:7" x14ac:dyDescent="0.25">
      <c r="A196" s="2">
        <v>195</v>
      </c>
      <c r="B196" s="3" t="s">
        <v>3</v>
      </c>
      <c r="C196" s="4" t="str">
        <f t="shared" si="15"/>
        <v>Hà Nội</v>
      </c>
      <c r="D196" s="3" t="s">
        <v>77</v>
      </c>
      <c r="E196" s="4" t="str">
        <f t="shared" si="14"/>
        <v>Huyện Gia Lâm</v>
      </c>
      <c r="F196" s="3" t="s">
        <v>960</v>
      </c>
      <c r="G196" s="4" t="str">
        <f>HYPERLINK("https://diaocthongthai.com/xa-kieu-ky-gia-lam/","Xã Kiêu Kỵ")</f>
        <v>Xã Kiêu Kỵ</v>
      </c>
    </row>
    <row r="197" spans="1:7" x14ac:dyDescent="0.25">
      <c r="A197" s="2">
        <v>196</v>
      </c>
      <c r="B197" s="3" t="s">
        <v>3</v>
      </c>
      <c r="C197" s="4" t="str">
        <f t="shared" si="15"/>
        <v>Hà Nội</v>
      </c>
      <c r="D197" s="3" t="s">
        <v>77</v>
      </c>
      <c r="E197" s="4" t="str">
        <f t="shared" si="14"/>
        <v>Huyện Gia Lâm</v>
      </c>
      <c r="F197" s="3" t="s">
        <v>961</v>
      </c>
      <c r="G197" s="4" t="str">
        <f>HYPERLINK("https://diaocthongthai.com/xa-bat-trang-gia-lam/","Xã Bát Tràng")</f>
        <v>Xã Bát Tràng</v>
      </c>
    </row>
    <row r="198" spans="1:7" x14ac:dyDescent="0.25">
      <c r="A198" s="2">
        <v>197</v>
      </c>
      <c r="B198" s="3" t="s">
        <v>3</v>
      </c>
      <c r="C198" s="4" t="str">
        <f t="shared" si="15"/>
        <v>Hà Nội</v>
      </c>
      <c r="D198" s="3" t="s">
        <v>77</v>
      </c>
      <c r="E198" s="4" t="str">
        <f t="shared" si="14"/>
        <v>Huyện Gia Lâm</v>
      </c>
      <c r="F198" s="3" t="s">
        <v>962</v>
      </c>
      <c r="G198" s="4" t="str">
        <f>HYPERLINK("https://diaocthongthai.com/xa-kim-lan-gia-lam/","Xã Kim Lan")</f>
        <v>Xã Kim Lan</v>
      </c>
    </row>
    <row r="199" spans="1:7" x14ac:dyDescent="0.25">
      <c r="A199" s="2">
        <v>198</v>
      </c>
      <c r="B199" s="3" t="s">
        <v>3</v>
      </c>
      <c r="C199" s="4" t="str">
        <f t="shared" si="15"/>
        <v>Hà Nội</v>
      </c>
      <c r="D199" s="3" t="s">
        <v>77</v>
      </c>
      <c r="E199" s="4" t="str">
        <f t="shared" si="14"/>
        <v>Huyện Gia Lâm</v>
      </c>
      <c r="F199" s="3" t="s">
        <v>963</v>
      </c>
      <c r="G199" s="4" t="str">
        <f>HYPERLINK("https://diaocthongthai.com/xa-van-duc-gia-lam/","Xã Văn Đức")</f>
        <v>Xã Văn Đức</v>
      </c>
    </row>
    <row r="200" spans="1:7" x14ac:dyDescent="0.25">
      <c r="A200" s="2">
        <v>199</v>
      </c>
      <c r="B200" s="3" t="s">
        <v>3</v>
      </c>
      <c r="C200" s="4" t="str">
        <f t="shared" si="15"/>
        <v>Hà Nội</v>
      </c>
      <c r="D200" s="3" t="s">
        <v>78</v>
      </c>
      <c r="E200" s="4" t="str">
        <f t="shared" ref="E200:E209" si="16">HYPERLINK("https://diaocthongthai.com/ban-do-quan-nam-tu-liem-tp-ha-noi/","Quận Nam Từ Liêm")</f>
        <v>Quận Nam Từ Liêm</v>
      </c>
      <c r="F200" s="3" t="s">
        <v>964</v>
      </c>
      <c r="G200" s="4" t="str">
        <f>HYPERLINK("https://diaocthongthai.com/phuong-cau-dien-quan-nam-tu-liem/","Phường Cầu Diễn")</f>
        <v>Phường Cầu Diễn</v>
      </c>
    </row>
    <row r="201" spans="1:7" x14ac:dyDescent="0.25">
      <c r="A201" s="2">
        <v>200</v>
      </c>
      <c r="B201" s="3" t="s">
        <v>3</v>
      </c>
      <c r="C201" s="4" t="str">
        <f t="shared" si="15"/>
        <v>Hà Nội</v>
      </c>
      <c r="D201" s="3" t="s">
        <v>78</v>
      </c>
      <c r="E201" s="4" t="str">
        <f t="shared" si="16"/>
        <v>Quận Nam Từ Liêm</v>
      </c>
      <c r="F201" s="3" t="s">
        <v>965</v>
      </c>
      <c r="G201" s="4" t="str">
        <f>HYPERLINK("https://diaocthongthai.com/phuong-xuan-phuong-quan-nam-tu-liem/","Phường Xuân Phương")</f>
        <v>Phường Xuân Phương</v>
      </c>
    </row>
    <row r="202" spans="1:7" x14ac:dyDescent="0.25">
      <c r="A202" s="2">
        <v>201</v>
      </c>
      <c r="B202" s="3" t="s">
        <v>3</v>
      </c>
      <c r="C202" s="4" t="str">
        <f t="shared" si="15"/>
        <v>Hà Nội</v>
      </c>
      <c r="D202" s="3" t="s">
        <v>78</v>
      </c>
      <c r="E202" s="4" t="str">
        <f t="shared" si="16"/>
        <v>Quận Nam Từ Liêm</v>
      </c>
      <c r="F202" s="3" t="s">
        <v>966</v>
      </c>
      <c r="G202" s="4" t="str">
        <f>HYPERLINK("https://diaocthongthai.com/phuong-phuong-canh-quan-nam-tu-liem/","Phường Phương Canh")</f>
        <v>Phường Phương Canh</v>
      </c>
    </row>
    <row r="203" spans="1:7" x14ac:dyDescent="0.25">
      <c r="A203" s="2">
        <v>202</v>
      </c>
      <c r="B203" s="3" t="s">
        <v>3</v>
      </c>
      <c r="C203" s="4" t="str">
        <f t="shared" si="15"/>
        <v>Hà Nội</v>
      </c>
      <c r="D203" s="3" t="s">
        <v>78</v>
      </c>
      <c r="E203" s="4" t="str">
        <f t="shared" si="16"/>
        <v>Quận Nam Từ Liêm</v>
      </c>
      <c r="F203" s="3" t="s">
        <v>967</v>
      </c>
      <c r="G203" s="4" t="str">
        <f>HYPERLINK("https://diaocthongthai.com/phuong-my-dinh-1-quan-nam-tu-liem/","Phường Mỹ Đình 1")</f>
        <v>Phường Mỹ Đình 1</v>
      </c>
    </row>
    <row r="204" spans="1:7" x14ac:dyDescent="0.25">
      <c r="A204" s="2">
        <v>203</v>
      </c>
      <c r="B204" s="3" t="s">
        <v>3</v>
      </c>
      <c r="C204" s="4" t="str">
        <f t="shared" si="15"/>
        <v>Hà Nội</v>
      </c>
      <c r="D204" s="3" t="s">
        <v>78</v>
      </c>
      <c r="E204" s="4" t="str">
        <f t="shared" si="16"/>
        <v>Quận Nam Từ Liêm</v>
      </c>
      <c r="F204" s="3" t="s">
        <v>968</v>
      </c>
      <c r="G204" s="4" t="str">
        <f>HYPERLINK("https://diaocthongthai.com/phuong-my-dinh-2-quan-nam-tu-liem/","Phường Mỹ Đình 2")</f>
        <v>Phường Mỹ Đình 2</v>
      </c>
    </row>
    <row r="205" spans="1:7" x14ac:dyDescent="0.25">
      <c r="A205" s="2">
        <v>204</v>
      </c>
      <c r="B205" s="3" t="s">
        <v>3</v>
      </c>
      <c r="C205" s="4" t="str">
        <f t="shared" si="15"/>
        <v>Hà Nội</v>
      </c>
      <c r="D205" s="3" t="s">
        <v>78</v>
      </c>
      <c r="E205" s="4" t="str">
        <f t="shared" si="16"/>
        <v>Quận Nam Từ Liêm</v>
      </c>
      <c r="F205" s="3" t="s">
        <v>969</v>
      </c>
      <c r="G205" s="4" t="str">
        <f>HYPERLINK("https://diaocthongthai.com/phuong-tay-mo-quan-nam-tu-liem/","Phường Tây Mỗ")</f>
        <v>Phường Tây Mỗ</v>
      </c>
    </row>
    <row r="206" spans="1:7" x14ac:dyDescent="0.25">
      <c r="A206" s="2">
        <v>205</v>
      </c>
      <c r="B206" s="3" t="s">
        <v>3</v>
      </c>
      <c r="C206" s="4" t="str">
        <f t="shared" si="15"/>
        <v>Hà Nội</v>
      </c>
      <c r="D206" s="3" t="s">
        <v>78</v>
      </c>
      <c r="E206" s="4" t="str">
        <f t="shared" si="16"/>
        <v>Quận Nam Từ Liêm</v>
      </c>
      <c r="F206" s="3" t="s">
        <v>970</v>
      </c>
      <c r="G206" s="4" t="str">
        <f>HYPERLINK("https://diaocthongthai.com/phuong-me-tri-quan-nam-tu-liem/","Phường Mễ Trì")</f>
        <v>Phường Mễ Trì</v>
      </c>
    </row>
    <row r="207" spans="1:7" x14ac:dyDescent="0.25">
      <c r="A207" s="2">
        <v>206</v>
      </c>
      <c r="B207" s="3" t="s">
        <v>3</v>
      </c>
      <c r="C207" s="4" t="str">
        <f t="shared" si="15"/>
        <v>Hà Nội</v>
      </c>
      <c r="D207" s="3" t="s">
        <v>78</v>
      </c>
      <c r="E207" s="4" t="str">
        <f t="shared" si="16"/>
        <v>Quận Nam Từ Liêm</v>
      </c>
      <c r="F207" s="3" t="s">
        <v>971</v>
      </c>
      <c r="G207" s="4" t="str">
        <f>HYPERLINK("https://diaocthongthai.com/phuong-phu-do-quan-nam-tu-liem/","Phường Phú Đô")</f>
        <v>Phường Phú Đô</v>
      </c>
    </row>
    <row r="208" spans="1:7" x14ac:dyDescent="0.25">
      <c r="A208" s="2">
        <v>207</v>
      </c>
      <c r="B208" s="3" t="s">
        <v>3</v>
      </c>
      <c r="C208" s="4" t="str">
        <f t="shared" si="15"/>
        <v>Hà Nội</v>
      </c>
      <c r="D208" s="3" t="s">
        <v>78</v>
      </c>
      <c r="E208" s="4" t="str">
        <f t="shared" si="16"/>
        <v>Quận Nam Từ Liêm</v>
      </c>
      <c r="F208" s="3" t="s">
        <v>972</v>
      </c>
      <c r="G208" s="4" t="str">
        <f>HYPERLINK("https://diaocthongthai.com/phuong-dai-mo-quan-nam-tu-liem/","Phường Đại Mỗ")</f>
        <v>Phường Đại Mỗ</v>
      </c>
    </row>
    <row r="209" spans="1:7" x14ac:dyDescent="0.25">
      <c r="A209" s="2">
        <v>208</v>
      </c>
      <c r="B209" s="3" t="s">
        <v>3</v>
      </c>
      <c r="C209" s="4" t="str">
        <f t="shared" si="15"/>
        <v>Hà Nội</v>
      </c>
      <c r="D209" s="3" t="s">
        <v>78</v>
      </c>
      <c r="E209" s="4" t="str">
        <f t="shared" si="16"/>
        <v>Quận Nam Từ Liêm</v>
      </c>
      <c r="F209" s="3" t="s">
        <v>973</v>
      </c>
      <c r="G209" s="4" t="str">
        <f>HYPERLINK("https://diaocthongthai.com/phuong-trung-van-quan-nam-tu-liem/","Phường Trung Văn")</f>
        <v>Phường Trung Văn</v>
      </c>
    </row>
    <row r="210" spans="1:7" x14ac:dyDescent="0.25">
      <c r="A210" s="2">
        <v>209</v>
      </c>
      <c r="B210" s="3" t="s">
        <v>3</v>
      </c>
      <c r="C210" s="4" t="str">
        <f t="shared" si="15"/>
        <v>Hà Nội</v>
      </c>
      <c r="D210" s="3" t="s">
        <v>79</v>
      </c>
      <c r="E210" s="4" t="str">
        <f t="shared" ref="E210:E225" si="17">HYPERLINK("https://diaocthongthai.com/ban-do-huyen-thanh-tri-tp-ha-noi/","Huyện Thanh Trì")</f>
        <v>Huyện Thanh Trì</v>
      </c>
      <c r="F210" s="3" t="s">
        <v>974</v>
      </c>
      <c r="G210" s="4" t="str">
        <f>HYPERLINK("https://diaocthongthai.com/thi-tran-van-dien-thanh-tri-ha-noi/","Thị trấn Văn Điển")</f>
        <v>Thị trấn Văn Điển</v>
      </c>
    </row>
    <row r="211" spans="1:7" x14ac:dyDescent="0.25">
      <c r="A211" s="2">
        <v>210</v>
      </c>
      <c r="B211" s="3" t="s">
        <v>3</v>
      </c>
      <c r="C211" s="4" t="str">
        <f t="shared" si="15"/>
        <v>Hà Nội</v>
      </c>
      <c r="D211" s="3" t="s">
        <v>79</v>
      </c>
      <c r="E211" s="4" t="str">
        <f t="shared" si="17"/>
        <v>Huyện Thanh Trì</v>
      </c>
      <c r="F211" s="3" t="s">
        <v>975</v>
      </c>
      <c r="G211" s="4" t="str">
        <f>HYPERLINK("https://diaocthongthai.com/xa-tan-trieu-thanh-tri-ha-noi/","Xã Tân Triều")</f>
        <v>Xã Tân Triều</v>
      </c>
    </row>
    <row r="212" spans="1:7" x14ac:dyDescent="0.25">
      <c r="A212" s="2">
        <v>211</v>
      </c>
      <c r="B212" s="3" t="s">
        <v>3</v>
      </c>
      <c r="C212" s="4" t="str">
        <f t="shared" si="15"/>
        <v>Hà Nội</v>
      </c>
      <c r="D212" s="3" t="s">
        <v>79</v>
      </c>
      <c r="E212" s="4" t="str">
        <f t="shared" si="17"/>
        <v>Huyện Thanh Trì</v>
      </c>
      <c r="F212" s="3" t="s">
        <v>976</v>
      </c>
      <c r="G212" s="4" t="str">
        <f>HYPERLINK("https://diaocthongthai.com/xa-thanh-liet-thanh-tri-ha-noi/","Xã Thanh Liệt")</f>
        <v>Xã Thanh Liệt</v>
      </c>
    </row>
    <row r="213" spans="1:7" x14ac:dyDescent="0.25">
      <c r="A213" s="2">
        <v>212</v>
      </c>
      <c r="B213" s="3" t="s">
        <v>3</v>
      </c>
      <c r="C213" s="4" t="str">
        <f t="shared" si="15"/>
        <v>Hà Nội</v>
      </c>
      <c r="D213" s="3" t="s">
        <v>79</v>
      </c>
      <c r="E213" s="4" t="str">
        <f t="shared" si="17"/>
        <v>Huyện Thanh Trì</v>
      </c>
      <c r="F213" s="3" t="s">
        <v>977</v>
      </c>
      <c r="G213" s="4" t="str">
        <f>HYPERLINK("https://diaocthongthai.com/xa-ta-thanh-oai-thanh-tri-ha-noi/","Xã Tả Thanh Oai")</f>
        <v>Xã Tả Thanh Oai</v>
      </c>
    </row>
    <row r="214" spans="1:7" x14ac:dyDescent="0.25">
      <c r="A214" s="2">
        <v>213</v>
      </c>
      <c r="B214" s="3" t="s">
        <v>3</v>
      </c>
      <c r="C214" s="4" t="str">
        <f t="shared" si="15"/>
        <v>Hà Nội</v>
      </c>
      <c r="D214" s="3" t="s">
        <v>79</v>
      </c>
      <c r="E214" s="4" t="str">
        <f t="shared" si="17"/>
        <v>Huyện Thanh Trì</v>
      </c>
      <c r="F214" s="3" t="s">
        <v>978</v>
      </c>
      <c r="G214" s="4" t="str">
        <f>HYPERLINK("https://diaocthongthai.com/xa-huu-hoa-thanh-tri-ha-noi/","Xã Hữu Hoà")</f>
        <v>Xã Hữu Hoà</v>
      </c>
    </row>
    <row r="215" spans="1:7" x14ac:dyDescent="0.25">
      <c r="A215" s="2">
        <v>214</v>
      </c>
      <c r="B215" s="3" t="s">
        <v>3</v>
      </c>
      <c r="C215" s="4" t="str">
        <f t="shared" si="15"/>
        <v>Hà Nội</v>
      </c>
      <c r="D215" s="3" t="s">
        <v>79</v>
      </c>
      <c r="E215" s="4" t="str">
        <f t="shared" si="17"/>
        <v>Huyện Thanh Trì</v>
      </c>
      <c r="F215" s="3" t="s">
        <v>979</v>
      </c>
      <c r="G215" s="4" t="str">
        <f>HYPERLINK("https://diaocthongthai.com/xa-tam-hiep-thanh-tri-ha-noi/","Xã Tam Hiệp")</f>
        <v>Xã Tam Hiệp</v>
      </c>
    </row>
    <row r="216" spans="1:7" x14ac:dyDescent="0.25">
      <c r="A216" s="2">
        <v>215</v>
      </c>
      <c r="B216" s="3" t="s">
        <v>3</v>
      </c>
      <c r="C216" s="4" t="str">
        <f t="shared" si="15"/>
        <v>Hà Nội</v>
      </c>
      <c r="D216" s="3" t="s">
        <v>79</v>
      </c>
      <c r="E216" s="4" t="str">
        <f t="shared" si="17"/>
        <v>Huyện Thanh Trì</v>
      </c>
      <c r="F216" s="3" t="s">
        <v>980</v>
      </c>
      <c r="G216" s="4" t="str">
        <f>HYPERLINK("https://diaocthongthai.com/xa-tu-hiep-thanh-tri-ha-noi/","Xã Tứ Hiệp")</f>
        <v>Xã Tứ Hiệp</v>
      </c>
    </row>
    <row r="217" spans="1:7" x14ac:dyDescent="0.25">
      <c r="A217" s="2">
        <v>216</v>
      </c>
      <c r="B217" s="3" t="s">
        <v>3</v>
      </c>
      <c r="C217" s="4" t="str">
        <f t="shared" si="15"/>
        <v>Hà Nội</v>
      </c>
      <c r="D217" s="3" t="s">
        <v>79</v>
      </c>
      <c r="E217" s="4" t="str">
        <f t="shared" si="17"/>
        <v>Huyện Thanh Trì</v>
      </c>
      <c r="F217" s="3" t="s">
        <v>981</v>
      </c>
      <c r="G217" s="4" t="str">
        <f>HYPERLINK("https://diaocthongthai.com/xa-yen-my-thanh-tri-ha-noi/","Xã Yên Mỹ")</f>
        <v>Xã Yên Mỹ</v>
      </c>
    </row>
    <row r="218" spans="1:7" x14ac:dyDescent="0.25">
      <c r="A218" s="2">
        <v>217</v>
      </c>
      <c r="B218" s="3" t="s">
        <v>3</v>
      </c>
      <c r="C218" s="4" t="str">
        <f t="shared" si="15"/>
        <v>Hà Nội</v>
      </c>
      <c r="D218" s="3" t="s">
        <v>79</v>
      </c>
      <c r="E218" s="4" t="str">
        <f t="shared" si="17"/>
        <v>Huyện Thanh Trì</v>
      </c>
      <c r="F218" s="3" t="s">
        <v>982</v>
      </c>
      <c r="G218" s="4" t="str">
        <f>HYPERLINK("https://diaocthongthai.com/xa-vinh-quynh-thanh-tri-ha-noi/","Xã Vĩnh Quỳnh")</f>
        <v>Xã Vĩnh Quỳnh</v>
      </c>
    </row>
    <row r="219" spans="1:7" x14ac:dyDescent="0.25">
      <c r="A219" s="2">
        <v>218</v>
      </c>
      <c r="B219" s="3" t="s">
        <v>3</v>
      </c>
      <c r="C219" s="4" t="str">
        <f t="shared" si="15"/>
        <v>Hà Nội</v>
      </c>
      <c r="D219" s="3" t="s">
        <v>79</v>
      </c>
      <c r="E219" s="4" t="str">
        <f t="shared" si="17"/>
        <v>Huyện Thanh Trì</v>
      </c>
      <c r="F219" s="3" t="s">
        <v>983</v>
      </c>
      <c r="G219" s="4" t="str">
        <f>HYPERLINK("https://diaocthongthai.com/xa-ngu-hiep-thanh-tri-ha-noi/","Xã Ngũ Hiệp")</f>
        <v>Xã Ngũ Hiệp</v>
      </c>
    </row>
    <row r="220" spans="1:7" x14ac:dyDescent="0.25">
      <c r="A220" s="2">
        <v>219</v>
      </c>
      <c r="B220" s="3" t="s">
        <v>3</v>
      </c>
      <c r="C220" s="4" t="str">
        <f t="shared" si="15"/>
        <v>Hà Nội</v>
      </c>
      <c r="D220" s="3" t="s">
        <v>79</v>
      </c>
      <c r="E220" s="4" t="str">
        <f t="shared" si="17"/>
        <v>Huyện Thanh Trì</v>
      </c>
      <c r="F220" s="3" t="s">
        <v>984</v>
      </c>
      <c r="G220" s="4" t="str">
        <f>HYPERLINK("https://diaocthongthai.com/xa-duyen-ha-thanh-tri-ha-noi/","Xã Duyên Hà")</f>
        <v>Xã Duyên Hà</v>
      </c>
    </row>
    <row r="221" spans="1:7" x14ac:dyDescent="0.25">
      <c r="A221" s="2">
        <v>220</v>
      </c>
      <c r="B221" s="3" t="s">
        <v>3</v>
      </c>
      <c r="C221" s="4" t="str">
        <f t="shared" si="15"/>
        <v>Hà Nội</v>
      </c>
      <c r="D221" s="3" t="s">
        <v>79</v>
      </c>
      <c r="E221" s="4" t="str">
        <f t="shared" si="17"/>
        <v>Huyện Thanh Trì</v>
      </c>
      <c r="F221" s="3" t="s">
        <v>985</v>
      </c>
      <c r="G221" s="4" t="str">
        <f>HYPERLINK("https://diaocthongthai.com/xa-ngoc-hoi-thanh-tri-ha-noi/","Xã Ngọc Hồi")</f>
        <v>Xã Ngọc Hồi</v>
      </c>
    </row>
    <row r="222" spans="1:7" x14ac:dyDescent="0.25">
      <c r="A222" s="2">
        <v>221</v>
      </c>
      <c r="B222" s="3" t="s">
        <v>3</v>
      </c>
      <c r="C222" s="4" t="str">
        <f t="shared" si="15"/>
        <v>Hà Nội</v>
      </c>
      <c r="D222" s="3" t="s">
        <v>79</v>
      </c>
      <c r="E222" s="4" t="str">
        <f t="shared" si="17"/>
        <v>Huyện Thanh Trì</v>
      </c>
      <c r="F222" s="3" t="s">
        <v>986</v>
      </c>
      <c r="G222" s="4" t="str">
        <f>HYPERLINK("https://diaocthongthai.com/xa-van-phuc-thanh-tri-ha-noi/","Xã Vạn Phúc")</f>
        <v>Xã Vạn Phúc</v>
      </c>
    </row>
    <row r="223" spans="1:7" x14ac:dyDescent="0.25">
      <c r="A223" s="2">
        <v>222</v>
      </c>
      <c r="B223" s="3" t="s">
        <v>3</v>
      </c>
      <c r="C223" s="4" t="str">
        <f t="shared" si="15"/>
        <v>Hà Nội</v>
      </c>
      <c r="D223" s="3" t="s">
        <v>79</v>
      </c>
      <c r="E223" s="4" t="str">
        <f t="shared" si="17"/>
        <v>Huyện Thanh Trì</v>
      </c>
      <c r="F223" s="3" t="s">
        <v>987</v>
      </c>
      <c r="G223" s="4" t="str">
        <f>HYPERLINK("https://diaocthongthai.com/xa-dai-ang-thanh-tri-ha-noi/","Xã Đại áng")</f>
        <v>Xã Đại áng</v>
      </c>
    </row>
    <row r="224" spans="1:7" x14ac:dyDescent="0.25">
      <c r="A224" s="2">
        <v>223</v>
      </c>
      <c r="B224" s="3" t="s">
        <v>3</v>
      </c>
      <c r="C224" s="4" t="str">
        <f t="shared" si="15"/>
        <v>Hà Nội</v>
      </c>
      <c r="D224" s="3" t="s">
        <v>79</v>
      </c>
      <c r="E224" s="4" t="str">
        <f t="shared" si="17"/>
        <v>Huyện Thanh Trì</v>
      </c>
      <c r="F224" s="3" t="s">
        <v>988</v>
      </c>
      <c r="G224" s="4" t="str">
        <f>HYPERLINK("https://diaocthongthai.com/xa-lien-ninh-thanh-tri-ha-noi/","Xã Liên Ninh")</f>
        <v>Xã Liên Ninh</v>
      </c>
    </row>
    <row r="225" spans="1:7" x14ac:dyDescent="0.25">
      <c r="A225" s="2">
        <v>224</v>
      </c>
      <c r="B225" s="3" t="s">
        <v>3</v>
      </c>
      <c r="C225" s="4" t="str">
        <f t="shared" si="15"/>
        <v>Hà Nội</v>
      </c>
      <c r="D225" s="3" t="s">
        <v>79</v>
      </c>
      <c r="E225" s="4" t="str">
        <f t="shared" si="17"/>
        <v>Huyện Thanh Trì</v>
      </c>
      <c r="F225" s="3" t="s">
        <v>989</v>
      </c>
      <c r="G225" s="4" t="str">
        <f>HYPERLINK("https://diaocthongthai.com/xa-dong-my-thanh-tri-ha-noi/","Xã Đông Mỹ")</f>
        <v>Xã Đông Mỹ</v>
      </c>
    </row>
    <row r="226" spans="1:7" x14ac:dyDescent="0.25">
      <c r="A226" s="2">
        <v>225</v>
      </c>
      <c r="B226" s="3" t="s">
        <v>3</v>
      </c>
      <c r="C226" s="4" t="str">
        <f t="shared" si="15"/>
        <v>Hà Nội</v>
      </c>
      <c r="D226" s="3" t="s">
        <v>80</v>
      </c>
      <c r="E226" s="4" t="str">
        <f t="shared" ref="E226:E238" si="18">HYPERLINK("https://diaocthongthai.com/ban-do-quan-bac-tu-liem-tp-ha-noi/","Quận Bắc Từ Liêm")</f>
        <v>Quận Bắc Từ Liêm</v>
      </c>
      <c r="F226" s="3" t="s">
        <v>990</v>
      </c>
      <c r="G226" s="4" t="str">
        <f>HYPERLINK("https://diaocthongthai.com/phuong-thuong-cat-quan-bac-tu-liem/","Phường Thượng Cát")</f>
        <v>Phường Thượng Cát</v>
      </c>
    </row>
    <row r="227" spans="1:7" x14ac:dyDescent="0.25">
      <c r="A227" s="2">
        <v>226</v>
      </c>
      <c r="B227" s="3" t="s">
        <v>3</v>
      </c>
      <c r="C227" s="4" t="str">
        <f t="shared" si="15"/>
        <v>Hà Nội</v>
      </c>
      <c r="D227" s="3" t="s">
        <v>80</v>
      </c>
      <c r="E227" s="4" t="str">
        <f t="shared" si="18"/>
        <v>Quận Bắc Từ Liêm</v>
      </c>
      <c r="F227" s="3" t="s">
        <v>991</v>
      </c>
      <c r="G227" s="4" t="str">
        <f>HYPERLINK("https://diaocthongthai.com/phuong-lien-mac-quan-bac-tu-liem/","Phường Liên Mạc")</f>
        <v>Phường Liên Mạc</v>
      </c>
    </row>
    <row r="228" spans="1:7" x14ac:dyDescent="0.25">
      <c r="A228" s="2">
        <v>227</v>
      </c>
      <c r="B228" s="3" t="s">
        <v>3</v>
      </c>
      <c r="C228" s="4" t="str">
        <f t="shared" si="15"/>
        <v>Hà Nội</v>
      </c>
      <c r="D228" s="3" t="s">
        <v>80</v>
      </c>
      <c r="E228" s="4" t="str">
        <f t="shared" si="18"/>
        <v>Quận Bắc Từ Liêm</v>
      </c>
      <c r="F228" s="3" t="s">
        <v>992</v>
      </c>
      <c r="G228" s="4" t="str">
        <f>HYPERLINK("https://diaocthongthai.com/phuong-dong-ngac-quan-bac-tu-liem/","Phường Đông Ngạc")</f>
        <v>Phường Đông Ngạc</v>
      </c>
    </row>
    <row r="229" spans="1:7" x14ac:dyDescent="0.25">
      <c r="A229" s="2">
        <v>228</v>
      </c>
      <c r="B229" s="3" t="s">
        <v>3</v>
      </c>
      <c r="C229" s="4" t="str">
        <f t="shared" si="15"/>
        <v>Hà Nội</v>
      </c>
      <c r="D229" s="3" t="s">
        <v>80</v>
      </c>
      <c r="E229" s="4" t="str">
        <f t="shared" si="18"/>
        <v>Quận Bắc Từ Liêm</v>
      </c>
      <c r="F229" s="3" t="s">
        <v>993</v>
      </c>
      <c r="G229" s="4" t="str">
        <f>HYPERLINK("https://diaocthongthai.com/phuong-duc-thang-quan-bac-tu-liem/","Phường Đức Thắng")</f>
        <v>Phường Đức Thắng</v>
      </c>
    </row>
    <row r="230" spans="1:7" x14ac:dyDescent="0.25">
      <c r="A230" s="2">
        <v>229</v>
      </c>
      <c r="B230" s="3" t="s">
        <v>3</v>
      </c>
      <c r="C230" s="4" t="str">
        <f t="shared" si="15"/>
        <v>Hà Nội</v>
      </c>
      <c r="D230" s="3" t="s">
        <v>80</v>
      </c>
      <c r="E230" s="4" t="str">
        <f t="shared" si="18"/>
        <v>Quận Bắc Từ Liêm</v>
      </c>
      <c r="F230" s="3" t="s">
        <v>994</v>
      </c>
      <c r="G230" s="4" t="str">
        <f>HYPERLINK("https://diaocthongthai.com/phuong-thuy-phuong-quan-bac-tu-liem/","Phường Thụy Phương")</f>
        <v>Phường Thụy Phương</v>
      </c>
    </row>
    <row r="231" spans="1:7" x14ac:dyDescent="0.25">
      <c r="A231" s="2">
        <v>230</v>
      </c>
      <c r="B231" s="3" t="s">
        <v>3</v>
      </c>
      <c r="C231" s="4" t="str">
        <f t="shared" si="15"/>
        <v>Hà Nội</v>
      </c>
      <c r="D231" s="3" t="s">
        <v>80</v>
      </c>
      <c r="E231" s="4" t="str">
        <f t="shared" si="18"/>
        <v>Quận Bắc Từ Liêm</v>
      </c>
      <c r="F231" s="3" t="s">
        <v>995</v>
      </c>
      <c r="G231" s="4" t="str">
        <f>HYPERLINK("https://diaocthongthai.com/phuong-tay-tuu-quan-bac-tu-liem/","Phường Tây Tựu")</f>
        <v>Phường Tây Tựu</v>
      </c>
    </row>
    <row r="232" spans="1:7" x14ac:dyDescent="0.25">
      <c r="A232" s="2">
        <v>231</v>
      </c>
      <c r="B232" s="3" t="s">
        <v>3</v>
      </c>
      <c r="C232" s="4" t="str">
        <f t="shared" si="15"/>
        <v>Hà Nội</v>
      </c>
      <c r="D232" s="3" t="s">
        <v>80</v>
      </c>
      <c r="E232" s="4" t="str">
        <f t="shared" si="18"/>
        <v>Quận Bắc Từ Liêm</v>
      </c>
      <c r="F232" s="3" t="s">
        <v>996</v>
      </c>
      <c r="G232" s="4" t="str">
        <f>HYPERLINK("https://diaocthongthai.com/phuong-xuan-dinh-quan-bac-tu-liem/","Phường Xuân Đỉnh")</f>
        <v>Phường Xuân Đỉnh</v>
      </c>
    </row>
    <row r="233" spans="1:7" x14ac:dyDescent="0.25">
      <c r="A233" s="2">
        <v>232</v>
      </c>
      <c r="B233" s="3" t="s">
        <v>3</v>
      </c>
      <c r="C233" s="4" t="str">
        <f t="shared" si="15"/>
        <v>Hà Nội</v>
      </c>
      <c r="D233" s="3" t="s">
        <v>80</v>
      </c>
      <c r="E233" s="4" t="str">
        <f t="shared" si="18"/>
        <v>Quận Bắc Từ Liêm</v>
      </c>
      <c r="F233" s="3" t="s">
        <v>997</v>
      </c>
      <c r="G233" s="4" t="str">
        <f>HYPERLINK("https://diaocthongthai.com/phuong-xuan-tao-quan-bac-tu-liem/","Phường Xuân Tảo")</f>
        <v>Phường Xuân Tảo</v>
      </c>
    </row>
    <row r="234" spans="1:7" x14ac:dyDescent="0.25">
      <c r="A234" s="2">
        <v>233</v>
      </c>
      <c r="B234" s="3" t="s">
        <v>3</v>
      </c>
      <c r="C234" s="4" t="str">
        <f t="shared" si="15"/>
        <v>Hà Nội</v>
      </c>
      <c r="D234" s="3" t="s">
        <v>80</v>
      </c>
      <c r="E234" s="4" t="str">
        <f t="shared" si="18"/>
        <v>Quận Bắc Từ Liêm</v>
      </c>
      <c r="F234" s="3" t="s">
        <v>998</v>
      </c>
      <c r="G234" s="4" t="str">
        <f>HYPERLINK("https://diaocthongthai.com/phuong-minh-khai-quan-bac-tu-liem/","Phường Minh Khai")</f>
        <v>Phường Minh Khai</v>
      </c>
    </row>
    <row r="235" spans="1:7" x14ac:dyDescent="0.25">
      <c r="A235" s="2">
        <v>234</v>
      </c>
      <c r="B235" s="3" t="s">
        <v>3</v>
      </c>
      <c r="C235" s="4" t="str">
        <f t="shared" si="15"/>
        <v>Hà Nội</v>
      </c>
      <c r="D235" s="3" t="s">
        <v>80</v>
      </c>
      <c r="E235" s="4" t="str">
        <f t="shared" si="18"/>
        <v>Quận Bắc Từ Liêm</v>
      </c>
      <c r="F235" s="3" t="s">
        <v>999</v>
      </c>
      <c r="G235" s="4" t="str">
        <f>HYPERLINK("https://diaocthongthai.com/phuong-co-nhue-1-quan-bac-tu-liem/","Phường Cổ Nhuế 1")</f>
        <v>Phường Cổ Nhuế 1</v>
      </c>
    </row>
    <row r="236" spans="1:7" x14ac:dyDescent="0.25">
      <c r="A236" s="2">
        <v>235</v>
      </c>
      <c r="B236" s="3" t="s">
        <v>3</v>
      </c>
      <c r="C236" s="4" t="str">
        <f t="shared" si="15"/>
        <v>Hà Nội</v>
      </c>
      <c r="D236" s="3" t="s">
        <v>80</v>
      </c>
      <c r="E236" s="4" t="str">
        <f t="shared" si="18"/>
        <v>Quận Bắc Từ Liêm</v>
      </c>
      <c r="F236" s="3" t="s">
        <v>1000</v>
      </c>
      <c r="G236" s="4" t="str">
        <f>HYPERLINK("https://diaocthongthai.com/phuong-co-nhue-2-quan-bac-tu-liem/","Phường Cổ Nhuế 2")</f>
        <v>Phường Cổ Nhuế 2</v>
      </c>
    </row>
    <row r="237" spans="1:7" x14ac:dyDescent="0.25">
      <c r="A237" s="2">
        <v>236</v>
      </c>
      <c r="B237" s="3" t="s">
        <v>3</v>
      </c>
      <c r="C237" s="4" t="str">
        <f t="shared" si="15"/>
        <v>Hà Nội</v>
      </c>
      <c r="D237" s="3" t="s">
        <v>80</v>
      </c>
      <c r="E237" s="4" t="str">
        <f t="shared" si="18"/>
        <v>Quận Bắc Từ Liêm</v>
      </c>
      <c r="F237" s="3" t="s">
        <v>1001</v>
      </c>
      <c r="G237" s="4" t="str">
        <f>HYPERLINK("https://diaocthongthai.com/phuong-phu-dien-quan-bac-tu-liem/","Phường Phú Diễn")</f>
        <v>Phường Phú Diễn</v>
      </c>
    </row>
    <row r="238" spans="1:7" x14ac:dyDescent="0.25">
      <c r="A238" s="2">
        <v>237</v>
      </c>
      <c r="B238" s="3" t="s">
        <v>3</v>
      </c>
      <c r="C238" s="4" t="str">
        <f t="shared" si="15"/>
        <v>Hà Nội</v>
      </c>
      <c r="D238" s="3" t="s">
        <v>80</v>
      </c>
      <c r="E238" s="4" t="str">
        <f t="shared" si="18"/>
        <v>Quận Bắc Từ Liêm</v>
      </c>
      <c r="F238" s="3" t="s">
        <v>1002</v>
      </c>
      <c r="G238" s="4" t="str">
        <f>HYPERLINK("https://diaocthongthai.com/phuong-phuc-dien-quan-bac-tu-liem/","Phường Phúc Diễn")</f>
        <v>Phường Phúc Diễn</v>
      </c>
    </row>
    <row r="239" spans="1:7" x14ac:dyDescent="0.25">
      <c r="A239" s="2">
        <v>238</v>
      </c>
      <c r="B239" s="3" t="s">
        <v>3</v>
      </c>
      <c r="C239" s="4" t="str">
        <f t="shared" si="15"/>
        <v>Hà Nội</v>
      </c>
      <c r="D239" s="3" t="s">
        <v>81</v>
      </c>
      <c r="E239" s="4" t="str">
        <f t="shared" ref="E239:E256" si="19">HYPERLINK("https://diaocthongthai.com/ban-do-huyen-me-linh-tp-ha-noi/","Huyện Mê Linh")</f>
        <v>Huyện Mê Linh</v>
      </c>
      <c r="F239" s="3" t="s">
        <v>1003</v>
      </c>
      <c r="G239" s="4" t="str">
        <f>HYPERLINK("https://diaocthongthai.com/thi-tran-chi-dong-me-linh/","Thị trấn Chi Đông")</f>
        <v>Thị trấn Chi Đông</v>
      </c>
    </row>
    <row r="240" spans="1:7" x14ac:dyDescent="0.25">
      <c r="A240" s="2">
        <v>239</v>
      </c>
      <c r="B240" s="3" t="s">
        <v>3</v>
      </c>
      <c r="C240" s="4" t="str">
        <f t="shared" si="15"/>
        <v>Hà Nội</v>
      </c>
      <c r="D240" s="3" t="s">
        <v>81</v>
      </c>
      <c r="E240" s="4" t="str">
        <f t="shared" si="19"/>
        <v>Huyện Mê Linh</v>
      </c>
      <c r="F240" s="3" t="s">
        <v>1004</v>
      </c>
      <c r="G240" s="4" t="str">
        <f>HYPERLINK("https://diaocthongthai.com/xa-dai-thinh-me-linh/","Xã Đại Thịnh")</f>
        <v>Xã Đại Thịnh</v>
      </c>
    </row>
    <row r="241" spans="1:7" x14ac:dyDescent="0.25">
      <c r="A241" s="2">
        <v>240</v>
      </c>
      <c r="B241" s="3" t="s">
        <v>3</v>
      </c>
      <c r="C241" s="4" t="str">
        <f t="shared" si="15"/>
        <v>Hà Nội</v>
      </c>
      <c r="D241" s="3" t="s">
        <v>81</v>
      </c>
      <c r="E241" s="4" t="str">
        <f t="shared" si="19"/>
        <v>Huyện Mê Linh</v>
      </c>
      <c r="F241" s="3" t="s">
        <v>1005</v>
      </c>
      <c r="G241" s="4" t="str">
        <f>HYPERLINK("https://diaocthongthai.com/xa-kim-hoa-me-linh/","Xã Kim Hoa")</f>
        <v>Xã Kim Hoa</v>
      </c>
    </row>
    <row r="242" spans="1:7" x14ac:dyDescent="0.25">
      <c r="A242" s="2">
        <v>241</v>
      </c>
      <c r="B242" s="3" t="s">
        <v>3</v>
      </c>
      <c r="C242" s="4" t="str">
        <f t="shared" si="15"/>
        <v>Hà Nội</v>
      </c>
      <c r="D242" s="3" t="s">
        <v>81</v>
      </c>
      <c r="E242" s="4" t="str">
        <f t="shared" si="19"/>
        <v>Huyện Mê Linh</v>
      </c>
      <c r="F242" s="3" t="s">
        <v>1006</v>
      </c>
      <c r="G242" s="4" t="str">
        <f>HYPERLINK("https://diaocthongthai.com/xa-thach-da-me-linh/","Xã Thạch Đà")</f>
        <v>Xã Thạch Đà</v>
      </c>
    </row>
    <row r="243" spans="1:7" x14ac:dyDescent="0.25">
      <c r="A243" s="2">
        <v>242</v>
      </c>
      <c r="B243" s="3" t="s">
        <v>3</v>
      </c>
      <c r="C243" s="4" t="str">
        <f t="shared" si="15"/>
        <v>Hà Nội</v>
      </c>
      <c r="D243" s="3" t="s">
        <v>81</v>
      </c>
      <c r="E243" s="4" t="str">
        <f t="shared" si="19"/>
        <v>Huyện Mê Linh</v>
      </c>
      <c r="F243" s="3" t="s">
        <v>1007</v>
      </c>
      <c r="G243" s="4" t="str">
        <f>HYPERLINK("https://diaocthongthai.com/xa-tien-thang-me-linh/","Xã Tiến Thắng")</f>
        <v>Xã Tiến Thắng</v>
      </c>
    </row>
    <row r="244" spans="1:7" x14ac:dyDescent="0.25">
      <c r="A244" s="2">
        <v>243</v>
      </c>
      <c r="B244" s="3" t="s">
        <v>3</v>
      </c>
      <c r="C244" s="4" t="str">
        <f t="shared" si="15"/>
        <v>Hà Nội</v>
      </c>
      <c r="D244" s="3" t="s">
        <v>81</v>
      </c>
      <c r="E244" s="4" t="str">
        <f t="shared" si="19"/>
        <v>Huyện Mê Linh</v>
      </c>
      <c r="F244" s="3" t="s">
        <v>1008</v>
      </c>
      <c r="G244" s="4" t="str">
        <f>HYPERLINK("https://diaocthongthai.com/xa-tu-lap-me-linh/","Xã Tự Lập")</f>
        <v>Xã Tự Lập</v>
      </c>
    </row>
    <row r="245" spans="1:7" x14ac:dyDescent="0.25">
      <c r="A245" s="2">
        <v>244</v>
      </c>
      <c r="B245" s="3" t="s">
        <v>3</v>
      </c>
      <c r="C245" s="4" t="str">
        <f t="shared" si="15"/>
        <v>Hà Nội</v>
      </c>
      <c r="D245" s="3" t="s">
        <v>81</v>
      </c>
      <c r="E245" s="4" t="str">
        <f t="shared" si="19"/>
        <v>Huyện Mê Linh</v>
      </c>
      <c r="F245" s="3" t="s">
        <v>1009</v>
      </c>
      <c r="G245" s="4" t="str">
        <f>HYPERLINK("https://diaocthongthai.com/thi-tran-quang-minh-me-linh/","Thị trấn Quang Minh")</f>
        <v>Thị trấn Quang Minh</v>
      </c>
    </row>
    <row r="246" spans="1:7" x14ac:dyDescent="0.25">
      <c r="A246" s="2">
        <v>245</v>
      </c>
      <c r="B246" s="3" t="s">
        <v>3</v>
      </c>
      <c r="C246" s="4" t="str">
        <f t="shared" si="15"/>
        <v>Hà Nội</v>
      </c>
      <c r="D246" s="3" t="s">
        <v>81</v>
      </c>
      <c r="E246" s="4" t="str">
        <f t="shared" si="19"/>
        <v>Huyện Mê Linh</v>
      </c>
      <c r="F246" s="3" t="s">
        <v>1010</v>
      </c>
      <c r="G246" s="4" t="str">
        <f>HYPERLINK("https://diaocthongthai.com/xa-thanh-lam-me-linh/","Xã Thanh Lâm")</f>
        <v>Xã Thanh Lâm</v>
      </c>
    </row>
    <row r="247" spans="1:7" x14ac:dyDescent="0.25">
      <c r="A247" s="2">
        <v>246</v>
      </c>
      <c r="B247" s="3" t="s">
        <v>3</v>
      </c>
      <c r="C247" s="4" t="str">
        <f t="shared" si="15"/>
        <v>Hà Nội</v>
      </c>
      <c r="D247" s="3" t="s">
        <v>81</v>
      </c>
      <c r="E247" s="4" t="str">
        <f t="shared" si="19"/>
        <v>Huyện Mê Linh</v>
      </c>
      <c r="F247" s="3" t="s">
        <v>1011</v>
      </c>
      <c r="G247" s="4" t="str">
        <f>HYPERLINK("https://diaocthongthai.com/xa-tam-dong-me-linh/","Xã Tam Đồng")</f>
        <v>Xã Tam Đồng</v>
      </c>
    </row>
    <row r="248" spans="1:7" x14ac:dyDescent="0.25">
      <c r="A248" s="2">
        <v>247</v>
      </c>
      <c r="B248" s="3" t="s">
        <v>3</v>
      </c>
      <c r="C248" s="4" t="str">
        <f t="shared" si="15"/>
        <v>Hà Nội</v>
      </c>
      <c r="D248" s="3" t="s">
        <v>81</v>
      </c>
      <c r="E248" s="4" t="str">
        <f t="shared" si="19"/>
        <v>Huyện Mê Linh</v>
      </c>
      <c r="F248" s="3" t="s">
        <v>1012</v>
      </c>
      <c r="G248" s="4" t="str">
        <f>HYPERLINK("https://diaocthongthai.com/xa-lien-mac-me-linh/","Xã Liên Mạc")</f>
        <v>Xã Liên Mạc</v>
      </c>
    </row>
    <row r="249" spans="1:7" x14ac:dyDescent="0.25">
      <c r="A249" s="2">
        <v>248</v>
      </c>
      <c r="B249" s="3" t="s">
        <v>3</v>
      </c>
      <c r="C249" s="4" t="str">
        <f t="shared" si="15"/>
        <v>Hà Nội</v>
      </c>
      <c r="D249" s="3" t="s">
        <v>81</v>
      </c>
      <c r="E249" s="4" t="str">
        <f t="shared" si="19"/>
        <v>Huyện Mê Linh</v>
      </c>
      <c r="F249" s="3" t="s">
        <v>1013</v>
      </c>
      <c r="G249" s="4" t="str">
        <f>HYPERLINK("https://diaocthongthai.com/xa-van-yen-me-linh/","Xã Vạn Yên")</f>
        <v>Xã Vạn Yên</v>
      </c>
    </row>
    <row r="250" spans="1:7" x14ac:dyDescent="0.25">
      <c r="A250" s="2">
        <v>249</v>
      </c>
      <c r="B250" s="3" t="s">
        <v>3</v>
      </c>
      <c r="C250" s="4" t="str">
        <f t="shared" si="15"/>
        <v>Hà Nội</v>
      </c>
      <c r="D250" s="3" t="s">
        <v>81</v>
      </c>
      <c r="E250" s="4" t="str">
        <f t="shared" si="19"/>
        <v>Huyện Mê Linh</v>
      </c>
      <c r="F250" s="3" t="s">
        <v>1014</v>
      </c>
      <c r="G250" s="4" t="str">
        <f>HYPERLINK("https://diaocthongthai.com/xa-chu-phan-me-linh/","Xã Chu Phan")</f>
        <v>Xã Chu Phan</v>
      </c>
    </row>
    <row r="251" spans="1:7" x14ac:dyDescent="0.25">
      <c r="A251" s="2">
        <v>250</v>
      </c>
      <c r="B251" s="3" t="s">
        <v>3</v>
      </c>
      <c r="C251" s="4" t="str">
        <f t="shared" si="15"/>
        <v>Hà Nội</v>
      </c>
      <c r="D251" s="3" t="s">
        <v>81</v>
      </c>
      <c r="E251" s="4" t="str">
        <f t="shared" si="19"/>
        <v>Huyện Mê Linh</v>
      </c>
      <c r="F251" s="3" t="s">
        <v>1015</v>
      </c>
      <c r="G251" s="4" t="str">
        <f>HYPERLINK("https://diaocthongthai.com/xa-tien-thinh-me-linh/","Xã Tiến Thịnh")</f>
        <v>Xã Tiến Thịnh</v>
      </c>
    </row>
    <row r="252" spans="1:7" x14ac:dyDescent="0.25">
      <c r="A252" s="2">
        <v>251</v>
      </c>
      <c r="B252" s="3" t="s">
        <v>3</v>
      </c>
      <c r="C252" s="4" t="str">
        <f t="shared" si="15"/>
        <v>Hà Nội</v>
      </c>
      <c r="D252" s="3" t="s">
        <v>81</v>
      </c>
      <c r="E252" s="4" t="str">
        <f t="shared" si="19"/>
        <v>Huyện Mê Linh</v>
      </c>
      <c r="F252" s="3" t="s">
        <v>1016</v>
      </c>
      <c r="G252" s="4" t="str">
        <f>HYPERLINK("https://diaocthongthai.com/xa-me-linh-me-linh/","Xã Mê Linh")</f>
        <v>Xã Mê Linh</v>
      </c>
    </row>
    <row r="253" spans="1:7" x14ac:dyDescent="0.25">
      <c r="A253" s="2">
        <v>252</v>
      </c>
      <c r="B253" s="3" t="s">
        <v>3</v>
      </c>
      <c r="C253" s="4" t="str">
        <f t="shared" si="15"/>
        <v>Hà Nội</v>
      </c>
      <c r="D253" s="3" t="s">
        <v>81</v>
      </c>
      <c r="E253" s="4" t="str">
        <f t="shared" si="19"/>
        <v>Huyện Mê Linh</v>
      </c>
      <c r="F253" s="3" t="s">
        <v>1017</v>
      </c>
      <c r="G253" s="4" t="str">
        <f>HYPERLINK("https://diaocthongthai.com/xa-van-khe-me-linh/","Xã Văn Khê")</f>
        <v>Xã Văn Khê</v>
      </c>
    </row>
    <row r="254" spans="1:7" x14ac:dyDescent="0.25">
      <c r="A254" s="2">
        <v>253</v>
      </c>
      <c r="B254" s="3" t="s">
        <v>3</v>
      </c>
      <c r="C254" s="4" t="str">
        <f t="shared" si="15"/>
        <v>Hà Nội</v>
      </c>
      <c r="D254" s="3" t="s">
        <v>81</v>
      </c>
      <c r="E254" s="4" t="str">
        <f t="shared" si="19"/>
        <v>Huyện Mê Linh</v>
      </c>
      <c r="F254" s="3" t="s">
        <v>1018</v>
      </c>
      <c r="G254" s="4" t="str">
        <f>HYPERLINK("https://diaocthongthai.com/xa-hoang-kim-me-linh/","Xã Hoàng Kim")</f>
        <v>Xã Hoàng Kim</v>
      </c>
    </row>
    <row r="255" spans="1:7" x14ac:dyDescent="0.25">
      <c r="A255" s="2">
        <v>254</v>
      </c>
      <c r="B255" s="3" t="s">
        <v>3</v>
      </c>
      <c r="C255" s="4" t="str">
        <f t="shared" si="15"/>
        <v>Hà Nội</v>
      </c>
      <c r="D255" s="3" t="s">
        <v>81</v>
      </c>
      <c r="E255" s="4" t="str">
        <f t="shared" si="19"/>
        <v>Huyện Mê Linh</v>
      </c>
      <c r="F255" s="3" t="s">
        <v>1019</v>
      </c>
      <c r="G255" s="4" t="str">
        <f>HYPERLINK("https://diaocthongthai.com/xa-tien-phong-me-linh/","Xã Tiền Phong")</f>
        <v>Xã Tiền Phong</v>
      </c>
    </row>
    <row r="256" spans="1:7" x14ac:dyDescent="0.25">
      <c r="A256" s="2">
        <v>255</v>
      </c>
      <c r="B256" s="3" t="s">
        <v>3</v>
      </c>
      <c r="C256" s="4" t="str">
        <f t="shared" si="15"/>
        <v>Hà Nội</v>
      </c>
      <c r="D256" s="3" t="s">
        <v>81</v>
      </c>
      <c r="E256" s="4" t="str">
        <f t="shared" si="19"/>
        <v>Huyện Mê Linh</v>
      </c>
      <c r="F256" s="3" t="s">
        <v>1020</v>
      </c>
      <c r="G256" s="4" t="str">
        <f>HYPERLINK("https://diaocthongthai.com/xa-trang-viet-me-linh/","Xã Tráng Việt")</f>
        <v>Xã Tráng Việt</v>
      </c>
    </row>
    <row r="257" spans="1:7" x14ac:dyDescent="0.25">
      <c r="A257" s="2">
        <v>256</v>
      </c>
      <c r="B257" s="3" t="s">
        <v>3</v>
      </c>
      <c r="C257" s="4" t="str">
        <f t="shared" si="15"/>
        <v>Hà Nội</v>
      </c>
      <c r="D257" s="3" t="s">
        <v>82</v>
      </c>
      <c r="E257" s="4" t="str">
        <f t="shared" ref="E257:E273" si="20">HYPERLINK("https://diaocthongthai.com/ban-do-quan-ha-dong-tp-ha-noi/","Quận Hà Đông")</f>
        <v>Quận Hà Đông</v>
      </c>
      <c r="F257" s="3" t="s">
        <v>1021</v>
      </c>
      <c r="G257" s="4" t="str">
        <f>HYPERLINK("https://diaocthongthai.com/phuong-nguyen-trai-quan-ha-dong/","Phường Nguyễn Trãi")</f>
        <v>Phường Nguyễn Trãi</v>
      </c>
    </row>
    <row r="258" spans="1:7" x14ac:dyDescent="0.25">
      <c r="A258" s="2">
        <v>257</v>
      </c>
      <c r="B258" s="3" t="s">
        <v>3</v>
      </c>
      <c r="C258" s="4" t="str">
        <f t="shared" ref="C258:C321" si="21">HYPERLINK("https://diaocthongthai.com/ban-do-ha-noi/","Hà Nội")</f>
        <v>Hà Nội</v>
      </c>
      <c r="D258" s="3" t="s">
        <v>82</v>
      </c>
      <c r="E258" s="4" t="str">
        <f t="shared" si="20"/>
        <v>Quận Hà Đông</v>
      </c>
      <c r="F258" s="3" t="s">
        <v>1022</v>
      </c>
      <c r="G258" s="4" t="str">
        <f>HYPERLINK("https://diaocthongthai.com/phuong-mo-lao-quan-ha-dong/","Phường Mộ Lao")</f>
        <v>Phường Mộ Lao</v>
      </c>
    </row>
    <row r="259" spans="1:7" x14ac:dyDescent="0.25">
      <c r="A259" s="2">
        <v>258</v>
      </c>
      <c r="B259" s="3" t="s">
        <v>3</v>
      </c>
      <c r="C259" s="4" t="str">
        <f t="shared" si="21"/>
        <v>Hà Nội</v>
      </c>
      <c r="D259" s="3" t="s">
        <v>82</v>
      </c>
      <c r="E259" s="4" t="str">
        <f t="shared" si="20"/>
        <v>Quận Hà Đông</v>
      </c>
      <c r="F259" s="3" t="s">
        <v>1023</v>
      </c>
      <c r="G259" s="4" t="str">
        <f>HYPERLINK("https://diaocthongthai.com/phuong-van-quan-quan-ha-dong/","Phường Văn Quán")</f>
        <v>Phường Văn Quán</v>
      </c>
    </row>
    <row r="260" spans="1:7" x14ac:dyDescent="0.25">
      <c r="A260" s="2">
        <v>259</v>
      </c>
      <c r="B260" s="3" t="s">
        <v>3</v>
      </c>
      <c r="C260" s="4" t="str">
        <f t="shared" si="21"/>
        <v>Hà Nội</v>
      </c>
      <c r="D260" s="3" t="s">
        <v>82</v>
      </c>
      <c r="E260" s="4" t="str">
        <f t="shared" si="20"/>
        <v>Quận Hà Đông</v>
      </c>
      <c r="F260" s="3" t="s">
        <v>1024</v>
      </c>
      <c r="G260" s="4" t="str">
        <f>HYPERLINK("https://diaocthongthai.com/phuong-van-phuc-quan-ha-dong/","Phường Vạn Phúc")</f>
        <v>Phường Vạn Phúc</v>
      </c>
    </row>
    <row r="261" spans="1:7" x14ac:dyDescent="0.25">
      <c r="A261" s="2">
        <v>260</v>
      </c>
      <c r="B261" s="3" t="s">
        <v>3</v>
      </c>
      <c r="C261" s="4" t="str">
        <f t="shared" si="21"/>
        <v>Hà Nội</v>
      </c>
      <c r="D261" s="3" t="s">
        <v>82</v>
      </c>
      <c r="E261" s="4" t="str">
        <f t="shared" si="20"/>
        <v>Quận Hà Đông</v>
      </c>
      <c r="F261" s="3" t="s">
        <v>1025</v>
      </c>
      <c r="G261" s="4" t="str">
        <f>HYPERLINK("https://diaocthongthai.com/phuong-yet-kieu-quan-ha-dong/","Phường Yết Kiêu")</f>
        <v>Phường Yết Kiêu</v>
      </c>
    </row>
    <row r="262" spans="1:7" x14ac:dyDescent="0.25">
      <c r="A262" s="2">
        <v>261</v>
      </c>
      <c r="B262" s="3" t="s">
        <v>3</v>
      </c>
      <c r="C262" s="4" t="str">
        <f t="shared" si="21"/>
        <v>Hà Nội</v>
      </c>
      <c r="D262" s="3" t="s">
        <v>82</v>
      </c>
      <c r="E262" s="4" t="str">
        <f t="shared" si="20"/>
        <v>Quận Hà Đông</v>
      </c>
      <c r="F262" s="3" t="s">
        <v>1026</v>
      </c>
      <c r="G262" s="4" t="str">
        <f>HYPERLINK("https://diaocthongthai.com/phuong-quang-trung-quan-ha-dong/","Phường Quang Trung")</f>
        <v>Phường Quang Trung</v>
      </c>
    </row>
    <row r="263" spans="1:7" x14ac:dyDescent="0.25">
      <c r="A263" s="2">
        <v>262</v>
      </c>
      <c r="B263" s="3" t="s">
        <v>3</v>
      </c>
      <c r="C263" s="4" t="str">
        <f t="shared" si="21"/>
        <v>Hà Nội</v>
      </c>
      <c r="D263" s="3" t="s">
        <v>82</v>
      </c>
      <c r="E263" s="4" t="str">
        <f t="shared" si="20"/>
        <v>Quận Hà Đông</v>
      </c>
      <c r="F263" s="3" t="s">
        <v>1027</v>
      </c>
      <c r="G263" s="4" t="str">
        <f>HYPERLINK("https://diaocthongthai.com/phuong-la-khe-quan-ha-dong/","Phường La Khê")</f>
        <v>Phường La Khê</v>
      </c>
    </row>
    <row r="264" spans="1:7" x14ac:dyDescent="0.25">
      <c r="A264" s="2">
        <v>263</v>
      </c>
      <c r="B264" s="3" t="s">
        <v>3</v>
      </c>
      <c r="C264" s="4" t="str">
        <f t="shared" si="21"/>
        <v>Hà Nội</v>
      </c>
      <c r="D264" s="3" t="s">
        <v>82</v>
      </c>
      <c r="E264" s="4" t="str">
        <f t="shared" si="20"/>
        <v>Quận Hà Đông</v>
      </c>
      <c r="F264" s="3" t="s">
        <v>1028</v>
      </c>
      <c r="G264" s="4" t="str">
        <f>HYPERLINK("https://diaocthongthai.com/phuong-phu-la-quan-ha-dong/","Phường Phú La")</f>
        <v>Phường Phú La</v>
      </c>
    </row>
    <row r="265" spans="1:7" x14ac:dyDescent="0.25">
      <c r="A265" s="2">
        <v>264</v>
      </c>
      <c r="B265" s="3" t="s">
        <v>3</v>
      </c>
      <c r="C265" s="4" t="str">
        <f t="shared" si="21"/>
        <v>Hà Nội</v>
      </c>
      <c r="D265" s="3" t="s">
        <v>82</v>
      </c>
      <c r="E265" s="4" t="str">
        <f t="shared" si="20"/>
        <v>Quận Hà Đông</v>
      </c>
      <c r="F265" s="3" t="s">
        <v>1029</v>
      </c>
      <c r="G265" s="4" t="str">
        <f>HYPERLINK("https://diaocthongthai.com/phuong-phuc-la-quan-ha-dong/","Phường Phúc La")</f>
        <v>Phường Phúc La</v>
      </c>
    </row>
    <row r="266" spans="1:7" x14ac:dyDescent="0.25">
      <c r="A266" s="2">
        <v>265</v>
      </c>
      <c r="B266" s="3" t="s">
        <v>3</v>
      </c>
      <c r="C266" s="4" t="str">
        <f t="shared" si="21"/>
        <v>Hà Nội</v>
      </c>
      <c r="D266" s="3" t="s">
        <v>82</v>
      </c>
      <c r="E266" s="4" t="str">
        <f t="shared" si="20"/>
        <v>Quận Hà Đông</v>
      </c>
      <c r="F266" s="3" t="s">
        <v>1030</v>
      </c>
      <c r="G266" s="4" t="str">
        <f>HYPERLINK("https://diaocthongthai.com/phuong-ha-cau-quan-ha-dong/","Phường Hà Cầu")</f>
        <v>Phường Hà Cầu</v>
      </c>
    </row>
    <row r="267" spans="1:7" x14ac:dyDescent="0.25">
      <c r="A267" s="2">
        <v>266</v>
      </c>
      <c r="B267" s="3" t="s">
        <v>3</v>
      </c>
      <c r="C267" s="4" t="str">
        <f t="shared" si="21"/>
        <v>Hà Nội</v>
      </c>
      <c r="D267" s="3" t="s">
        <v>82</v>
      </c>
      <c r="E267" s="4" t="str">
        <f t="shared" si="20"/>
        <v>Quận Hà Đông</v>
      </c>
      <c r="F267" s="3" t="s">
        <v>1031</v>
      </c>
      <c r="G267" s="4" t="str">
        <f>HYPERLINK("https://diaocthongthai.com/phuong-yen-nghia-quan-ha-dong/","Phường Yên Nghĩa")</f>
        <v>Phường Yên Nghĩa</v>
      </c>
    </row>
    <row r="268" spans="1:7" x14ac:dyDescent="0.25">
      <c r="A268" s="2">
        <v>267</v>
      </c>
      <c r="B268" s="3" t="s">
        <v>3</v>
      </c>
      <c r="C268" s="4" t="str">
        <f t="shared" si="21"/>
        <v>Hà Nội</v>
      </c>
      <c r="D268" s="3" t="s">
        <v>82</v>
      </c>
      <c r="E268" s="4" t="str">
        <f t="shared" si="20"/>
        <v>Quận Hà Đông</v>
      </c>
      <c r="F268" s="3" t="s">
        <v>1032</v>
      </c>
      <c r="G268" s="4" t="str">
        <f>HYPERLINK("https://diaocthongthai.com/phuong-kien-hung-quan-ha-dong/","Phường Kiến Hưng")</f>
        <v>Phường Kiến Hưng</v>
      </c>
    </row>
    <row r="269" spans="1:7" x14ac:dyDescent="0.25">
      <c r="A269" s="2">
        <v>268</v>
      </c>
      <c r="B269" s="3" t="s">
        <v>3</v>
      </c>
      <c r="C269" s="4" t="str">
        <f t="shared" si="21"/>
        <v>Hà Nội</v>
      </c>
      <c r="D269" s="3" t="s">
        <v>82</v>
      </c>
      <c r="E269" s="4" t="str">
        <f t="shared" si="20"/>
        <v>Quận Hà Đông</v>
      </c>
      <c r="F269" s="3" t="s">
        <v>1033</v>
      </c>
      <c r="G269" s="4" t="str">
        <f>HYPERLINK("https://diaocthongthai.com/phuong-phu-lam-quan-ha-dong/","Phường Phú Lãm")</f>
        <v>Phường Phú Lãm</v>
      </c>
    </row>
    <row r="270" spans="1:7" x14ac:dyDescent="0.25">
      <c r="A270" s="2">
        <v>269</v>
      </c>
      <c r="B270" s="3" t="s">
        <v>3</v>
      </c>
      <c r="C270" s="4" t="str">
        <f t="shared" si="21"/>
        <v>Hà Nội</v>
      </c>
      <c r="D270" s="3" t="s">
        <v>82</v>
      </c>
      <c r="E270" s="4" t="str">
        <f t="shared" si="20"/>
        <v>Quận Hà Đông</v>
      </c>
      <c r="F270" s="3" t="s">
        <v>1034</v>
      </c>
      <c r="G270" s="4" t="str">
        <f>HYPERLINK("https://diaocthongthai.com/phuong-phu-luong-quan-ha-dong/","Phường Phú Lương")</f>
        <v>Phường Phú Lương</v>
      </c>
    </row>
    <row r="271" spans="1:7" x14ac:dyDescent="0.25">
      <c r="A271" s="2">
        <v>270</v>
      </c>
      <c r="B271" s="3" t="s">
        <v>3</v>
      </c>
      <c r="C271" s="4" t="str">
        <f t="shared" si="21"/>
        <v>Hà Nội</v>
      </c>
      <c r="D271" s="3" t="s">
        <v>82</v>
      </c>
      <c r="E271" s="4" t="str">
        <f t="shared" si="20"/>
        <v>Quận Hà Đông</v>
      </c>
      <c r="F271" s="3" t="s">
        <v>1035</v>
      </c>
      <c r="G271" s="4" t="str">
        <f>HYPERLINK("https://diaocthongthai.com/phuong-duong-noi-quan-ha-dong/","Phường Dương Nội")</f>
        <v>Phường Dương Nội</v>
      </c>
    </row>
    <row r="272" spans="1:7" x14ac:dyDescent="0.25">
      <c r="A272" s="2">
        <v>271</v>
      </c>
      <c r="B272" s="3" t="s">
        <v>3</v>
      </c>
      <c r="C272" s="4" t="str">
        <f t="shared" si="21"/>
        <v>Hà Nội</v>
      </c>
      <c r="D272" s="3" t="s">
        <v>82</v>
      </c>
      <c r="E272" s="4" t="str">
        <f t="shared" si="20"/>
        <v>Quận Hà Đông</v>
      </c>
      <c r="F272" s="3" t="s">
        <v>1036</v>
      </c>
      <c r="G272" s="4" t="str">
        <f>HYPERLINK("https://diaocthongthai.com/phuong-dong-mai-quan-ha-dong/","Phường Đồng Mai")</f>
        <v>Phường Đồng Mai</v>
      </c>
    </row>
    <row r="273" spans="1:7" x14ac:dyDescent="0.25">
      <c r="A273" s="2">
        <v>272</v>
      </c>
      <c r="B273" s="3" t="s">
        <v>3</v>
      </c>
      <c r="C273" s="4" t="str">
        <f t="shared" si="21"/>
        <v>Hà Nội</v>
      </c>
      <c r="D273" s="3" t="s">
        <v>82</v>
      </c>
      <c r="E273" s="4" t="str">
        <f t="shared" si="20"/>
        <v>Quận Hà Đông</v>
      </c>
      <c r="F273" s="3" t="s">
        <v>1037</v>
      </c>
      <c r="G273" s="4" t="str">
        <f>HYPERLINK("https://diaocthongthai.com/phuong-bien-giang-quan-ha-dong/","Phường Biên Giang")</f>
        <v>Phường Biên Giang</v>
      </c>
    </row>
    <row r="274" spans="1:7" x14ac:dyDescent="0.25">
      <c r="A274" s="2">
        <v>273</v>
      </c>
      <c r="B274" s="3" t="s">
        <v>3</v>
      </c>
      <c r="C274" s="4" t="str">
        <f t="shared" si="21"/>
        <v>Hà Nội</v>
      </c>
      <c r="D274" s="3" t="s">
        <v>83</v>
      </c>
      <c r="E274" s="4" t="str">
        <f t="shared" ref="E274:E288" si="22">HYPERLINK("https://diaocthongthai.com/ban-do-thi-xa-son-tay-tp-ha-noi/","Thị xã Sơn Tây")</f>
        <v>Thị xã Sơn Tây</v>
      </c>
      <c r="F274" s="3" t="s">
        <v>1038</v>
      </c>
      <c r="G274" s="4" t="str">
        <f>HYPERLINK("https://diaocthongthai.com/phuong-le-loi-son-tay-ha-noi/","Phường Lê Lợi")</f>
        <v>Phường Lê Lợi</v>
      </c>
    </row>
    <row r="275" spans="1:7" x14ac:dyDescent="0.25">
      <c r="A275" s="2">
        <v>274</v>
      </c>
      <c r="B275" s="3" t="s">
        <v>3</v>
      </c>
      <c r="C275" s="4" t="str">
        <f t="shared" si="21"/>
        <v>Hà Nội</v>
      </c>
      <c r="D275" s="3" t="s">
        <v>83</v>
      </c>
      <c r="E275" s="4" t="str">
        <f t="shared" si="22"/>
        <v>Thị xã Sơn Tây</v>
      </c>
      <c r="F275" s="3" t="s">
        <v>1039</v>
      </c>
      <c r="G275" s="4" t="str">
        <f>HYPERLINK("https://diaocthongthai.com/phuong-phu-thinh-son-tay-ha-noi/","Phường Phú Thịnh")</f>
        <v>Phường Phú Thịnh</v>
      </c>
    </row>
    <row r="276" spans="1:7" x14ac:dyDescent="0.25">
      <c r="A276" s="2">
        <v>275</v>
      </c>
      <c r="B276" s="3" t="s">
        <v>3</v>
      </c>
      <c r="C276" s="4" t="str">
        <f t="shared" si="21"/>
        <v>Hà Nội</v>
      </c>
      <c r="D276" s="3" t="s">
        <v>83</v>
      </c>
      <c r="E276" s="4" t="str">
        <f t="shared" si="22"/>
        <v>Thị xã Sơn Tây</v>
      </c>
      <c r="F276" s="3" t="s">
        <v>1040</v>
      </c>
      <c r="G276" s="4" t="str">
        <f>HYPERLINK("https://diaocthongthai.com/phuong-ngo-quyen-son-tay-ha-noi/","Phường Ngô Quyền")</f>
        <v>Phường Ngô Quyền</v>
      </c>
    </row>
    <row r="277" spans="1:7" x14ac:dyDescent="0.25">
      <c r="A277" s="2">
        <v>276</v>
      </c>
      <c r="B277" s="3" t="s">
        <v>3</v>
      </c>
      <c r="C277" s="4" t="str">
        <f t="shared" si="21"/>
        <v>Hà Nội</v>
      </c>
      <c r="D277" s="3" t="s">
        <v>83</v>
      </c>
      <c r="E277" s="4" t="str">
        <f t="shared" si="22"/>
        <v>Thị xã Sơn Tây</v>
      </c>
      <c r="F277" s="3" t="s">
        <v>1041</v>
      </c>
      <c r="G277" s="4" t="str">
        <f>HYPERLINK("https://diaocthongthai.com/phuong-quang-trung-son-tay-ha-noi/","Phường Quang Trung")</f>
        <v>Phường Quang Trung</v>
      </c>
    </row>
    <row r="278" spans="1:7" x14ac:dyDescent="0.25">
      <c r="A278" s="2">
        <v>277</v>
      </c>
      <c r="B278" s="3" t="s">
        <v>3</v>
      </c>
      <c r="C278" s="4" t="str">
        <f t="shared" si="21"/>
        <v>Hà Nội</v>
      </c>
      <c r="D278" s="3" t="s">
        <v>83</v>
      </c>
      <c r="E278" s="4" t="str">
        <f t="shared" si="22"/>
        <v>Thị xã Sơn Tây</v>
      </c>
      <c r="F278" s="3" t="s">
        <v>1042</v>
      </c>
      <c r="G278" s="4" t="str">
        <f>HYPERLINK("https://diaocthongthai.com/phuong-son-loc-son-tay-ha-noi/","Phường Sơn Lộc")</f>
        <v>Phường Sơn Lộc</v>
      </c>
    </row>
    <row r="279" spans="1:7" x14ac:dyDescent="0.25">
      <c r="A279" s="2">
        <v>278</v>
      </c>
      <c r="B279" s="3" t="s">
        <v>3</v>
      </c>
      <c r="C279" s="4" t="str">
        <f t="shared" si="21"/>
        <v>Hà Nội</v>
      </c>
      <c r="D279" s="3" t="s">
        <v>83</v>
      </c>
      <c r="E279" s="4" t="str">
        <f t="shared" si="22"/>
        <v>Thị xã Sơn Tây</v>
      </c>
      <c r="F279" s="3" t="s">
        <v>1043</v>
      </c>
      <c r="G279" s="4" t="str">
        <f>HYPERLINK("https://diaocthongthai.com/phuong-xuan-khanh-son-tay-ha-noi/","Phường Xuân Khanh")</f>
        <v>Phường Xuân Khanh</v>
      </c>
    </row>
    <row r="280" spans="1:7" x14ac:dyDescent="0.25">
      <c r="A280" s="2">
        <v>279</v>
      </c>
      <c r="B280" s="3" t="s">
        <v>3</v>
      </c>
      <c r="C280" s="4" t="str">
        <f t="shared" si="21"/>
        <v>Hà Nội</v>
      </c>
      <c r="D280" s="3" t="s">
        <v>83</v>
      </c>
      <c r="E280" s="4" t="str">
        <f t="shared" si="22"/>
        <v>Thị xã Sơn Tây</v>
      </c>
      <c r="F280" s="3" t="s">
        <v>1044</v>
      </c>
      <c r="G280" s="4" t="str">
        <f>HYPERLINK("https://diaocthongthai.com/xa-duong-lam-son-tay-ha-noi/","Xã Đường Lâm")</f>
        <v>Xã Đường Lâm</v>
      </c>
    </row>
    <row r="281" spans="1:7" x14ac:dyDescent="0.25">
      <c r="A281" s="2">
        <v>280</v>
      </c>
      <c r="B281" s="3" t="s">
        <v>3</v>
      </c>
      <c r="C281" s="4" t="str">
        <f t="shared" si="21"/>
        <v>Hà Nội</v>
      </c>
      <c r="D281" s="3" t="s">
        <v>83</v>
      </c>
      <c r="E281" s="4" t="str">
        <f t="shared" si="22"/>
        <v>Thị xã Sơn Tây</v>
      </c>
      <c r="F281" s="3" t="s">
        <v>1045</v>
      </c>
      <c r="G281" s="4" t="str">
        <f>HYPERLINK("https://diaocthongthai.com/phuong-vien-son-son-tay-ha-noi/","Phường Viên Sơn")</f>
        <v>Phường Viên Sơn</v>
      </c>
    </row>
    <row r="282" spans="1:7" x14ac:dyDescent="0.25">
      <c r="A282" s="2">
        <v>281</v>
      </c>
      <c r="B282" s="3" t="s">
        <v>3</v>
      </c>
      <c r="C282" s="4" t="str">
        <f t="shared" si="21"/>
        <v>Hà Nội</v>
      </c>
      <c r="D282" s="3" t="s">
        <v>83</v>
      </c>
      <c r="E282" s="4" t="str">
        <f t="shared" si="22"/>
        <v>Thị xã Sơn Tây</v>
      </c>
      <c r="F282" s="3" t="s">
        <v>1046</v>
      </c>
      <c r="G282" s="4" t="str">
        <f>HYPERLINK("https://diaocthongthai.com/xa-xuan-son-son-tay-ha-noi/","Xã Xuân Sơn")</f>
        <v>Xã Xuân Sơn</v>
      </c>
    </row>
    <row r="283" spans="1:7" x14ac:dyDescent="0.25">
      <c r="A283" s="2">
        <v>282</v>
      </c>
      <c r="B283" s="3" t="s">
        <v>3</v>
      </c>
      <c r="C283" s="4" t="str">
        <f t="shared" si="21"/>
        <v>Hà Nội</v>
      </c>
      <c r="D283" s="3" t="s">
        <v>83</v>
      </c>
      <c r="E283" s="4" t="str">
        <f t="shared" si="22"/>
        <v>Thị xã Sơn Tây</v>
      </c>
      <c r="F283" s="3" t="s">
        <v>1047</v>
      </c>
      <c r="G283" s="4" t="str">
        <f>HYPERLINK("https://diaocthongthai.com/phuong-trung-hung-son-tay-ha-noi/","Phường Trung Hưng")</f>
        <v>Phường Trung Hưng</v>
      </c>
    </row>
    <row r="284" spans="1:7" x14ac:dyDescent="0.25">
      <c r="A284" s="2">
        <v>283</v>
      </c>
      <c r="B284" s="3" t="s">
        <v>3</v>
      </c>
      <c r="C284" s="4" t="str">
        <f t="shared" si="21"/>
        <v>Hà Nội</v>
      </c>
      <c r="D284" s="3" t="s">
        <v>83</v>
      </c>
      <c r="E284" s="4" t="str">
        <f t="shared" si="22"/>
        <v>Thị xã Sơn Tây</v>
      </c>
      <c r="F284" s="3" t="s">
        <v>1048</v>
      </c>
      <c r="G284" s="4" t="str">
        <f>HYPERLINK("https://diaocthongthai.com/xa-thanh-my-son-tay-ha-noi/","Xã Thanh Mỹ")</f>
        <v>Xã Thanh Mỹ</v>
      </c>
    </row>
    <row r="285" spans="1:7" x14ac:dyDescent="0.25">
      <c r="A285" s="2">
        <v>284</v>
      </c>
      <c r="B285" s="3" t="s">
        <v>3</v>
      </c>
      <c r="C285" s="4" t="str">
        <f t="shared" si="21"/>
        <v>Hà Nội</v>
      </c>
      <c r="D285" s="3" t="s">
        <v>83</v>
      </c>
      <c r="E285" s="4" t="str">
        <f t="shared" si="22"/>
        <v>Thị xã Sơn Tây</v>
      </c>
      <c r="F285" s="3" t="s">
        <v>1049</v>
      </c>
      <c r="G285" s="4" t="str">
        <f>HYPERLINK("https://diaocthongthai.com/phuong-trung-son-tram-son-tay-ha-noi/","Phường Trung Sơn Trầm")</f>
        <v>Phường Trung Sơn Trầm</v>
      </c>
    </row>
    <row r="286" spans="1:7" x14ac:dyDescent="0.25">
      <c r="A286" s="2">
        <v>285</v>
      </c>
      <c r="B286" s="3" t="s">
        <v>3</v>
      </c>
      <c r="C286" s="4" t="str">
        <f t="shared" si="21"/>
        <v>Hà Nội</v>
      </c>
      <c r="D286" s="3" t="s">
        <v>83</v>
      </c>
      <c r="E286" s="4" t="str">
        <f t="shared" si="22"/>
        <v>Thị xã Sơn Tây</v>
      </c>
      <c r="F286" s="3" t="s">
        <v>1050</v>
      </c>
      <c r="G286" s="4" t="str">
        <f>HYPERLINK("https://diaocthongthai.com/xa-kim-son-son-tay-ha-noi/","Xã Kim Sơn")</f>
        <v>Xã Kim Sơn</v>
      </c>
    </row>
    <row r="287" spans="1:7" x14ac:dyDescent="0.25">
      <c r="A287" s="2">
        <v>286</v>
      </c>
      <c r="B287" s="3" t="s">
        <v>3</v>
      </c>
      <c r="C287" s="4" t="str">
        <f t="shared" si="21"/>
        <v>Hà Nội</v>
      </c>
      <c r="D287" s="3" t="s">
        <v>83</v>
      </c>
      <c r="E287" s="4" t="str">
        <f t="shared" si="22"/>
        <v>Thị xã Sơn Tây</v>
      </c>
      <c r="F287" s="3" t="s">
        <v>1051</v>
      </c>
      <c r="G287" s="4" t="str">
        <f>HYPERLINK("https://diaocthongthai.com/xa-son-dong-son-tay-ha-noi/","Xã Sơn Đông")</f>
        <v>Xã Sơn Đông</v>
      </c>
    </row>
    <row r="288" spans="1:7" x14ac:dyDescent="0.25">
      <c r="A288" s="2">
        <v>287</v>
      </c>
      <c r="B288" s="3" t="s">
        <v>3</v>
      </c>
      <c r="C288" s="4" t="str">
        <f t="shared" si="21"/>
        <v>Hà Nội</v>
      </c>
      <c r="D288" s="3" t="s">
        <v>83</v>
      </c>
      <c r="E288" s="4" t="str">
        <f t="shared" si="22"/>
        <v>Thị xã Sơn Tây</v>
      </c>
      <c r="F288" s="3" t="s">
        <v>1052</v>
      </c>
      <c r="G288" s="4" t="str">
        <f>HYPERLINK("https://diaocthongthai.com/xa-co-dong-son-tay-ha-noi/","Xã Cổ Đông")</f>
        <v>Xã Cổ Đông</v>
      </c>
    </row>
    <row r="289" spans="1:7" x14ac:dyDescent="0.25">
      <c r="A289" s="2">
        <v>288</v>
      </c>
      <c r="B289" s="3" t="s">
        <v>3</v>
      </c>
      <c r="C289" s="4" t="str">
        <f t="shared" si="21"/>
        <v>Hà Nội</v>
      </c>
      <c r="D289" s="3" t="s">
        <v>84</v>
      </c>
      <c r="E289" s="4" t="str">
        <f t="shared" ref="E289:E319" si="23">HYPERLINK("https://diaocthongthai.com/ban-do-huyen-ba-vi-tp-ha-noi/","Huyện Ba Vì")</f>
        <v>Huyện Ba Vì</v>
      </c>
      <c r="F289" s="3" t="s">
        <v>1053</v>
      </c>
      <c r="G289" s="4" t="str">
        <f>HYPERLINK("https://diaocthongthai.com/thi-tran-tay-dang-ba-vi/","Thị trấn Tây Đằng")</f>
        <v>Thị trấn Tây Đằng</v>
      </c>
    </row>
    <row r="290" spans="1:7" x14ac:dyDescent="0.25">
      <c r="A290" s="2">
        <v>289</v>
      </c>
      <c r="B290" s="3" t="s">
        <v>3</v>
      </c>
      <c r="C290" s="4" t="str">
        <f t="shared" si="21"/>
        <v>Hà Nội</v>
      </c>
      <c r="D290" s="3" t="s">
        <v>84</v>
      </c>
      <c r="E290" s="4" t="str">
        <f t="shared" si="23"/>
        <v>Huyện Ba Vì</v>
      </c>
      <c r="F290" s="3" t="s">
        <v>1054</v>
      </c>
      <c r="G290" s="4" t="str">
        <f>HYPERLINK("https://diaocthongthai.com/xa-phu-cuong-ba-vi/","Xã Phú Cường")</f>
        <v>Xã Phú Cường</v>
      </c>
    </row>
    <row r="291" spans="1:7" x14ac:dyDescent="0.25">
      <c r="A291" s="2">
        <v>290</v>
      </c>
      <c r="B291" s="3" t="s">
        <v>3</v>
      </c>
      <c r="C291" s="4" t="str">
        <f t="shared" si="21"/>
        <v>Hà Nội</v>
      </c>
      <c r="D291" s="3" t="s">
        <v>84</v>
      </c>
      <c r="E291" s="4" t="str">
        <f t="shared" si="23"/>
        <v>Huyện Ba Vì</v>
      </c>
      <c r="F291" s="3" t="s">
        <v>1055</v>
      </c>
      <c r="G291" s="4" t="str">
        <f>HYPERLINK("https://diaocthongthai.com/xa-co-do-ba-vi/","Xã Cổ Đô")</f>
        <v>Xã Cổ Đô</v>
      </c>
    </row>
    <row r="292" spans="1:7" x14ac:dyDescent="0.25">
      <c r="A292" s="2">
        <v>291</v>
      </c>
      <c r="B292" s="3" t="s">
        <v>3</v>
      </c>
      <c r="C292" s="4" t="str">
        <f t="shared" si="21"/>
        <v>Hà Nội</v>
      </c>
      <c r="D292" s="3" t="s">
        <v>84</v>
      </c>
      <c r="E292" s="4" t="str">
        <f t="shared" si="23"/>
        <v>Huyện Ba Vì</v>
      </c>
      <c r="F292" s="3" t="s">
        <v>1056</v>
      </c>
      <c r="G292" s="4" t="str">
        <f>HYPERLINK("https://diaocthongthai.com/xa-tan-hong-ba-vi/","Xã Tản Hồng")</f>
        <v>Xã Tản Hồng</v>
      </c>
    </row>
    <row r="293" spans="1:7" x14ac:dyDescent="0.25">
      <c r="A293" s="2">
        <v>292</v>
      </c>
      <c r="B293" s="3" t="s">
        <v>3</v>
      </c>
      <c r="C293" s="4" t="str">
        <f t="shared" si="21"/>
        <v>Hà Nội</v>
      </c>
      <c r="D293" s="3" t="s">
        <v>84</v>
      </c>
      <c r="E293" s="4" t="str">
        <f t="shared" si="23"/>
        <v>Huyện Ba Vì</v>
      </c>
      <c r="F293" s="3" t="s">
        <v>1057</v>
      </c>
      <c r="G293" s="4" t="str">
        <f>HYPERLINK("https://diaocthongthai.com/xa-van-thang-ba-vi/","Xã Vạn Thắng")</f>
        <v>Xã Vạn Thắng</v>
      </c>
    </row>
    <row r="294" spans="1:7" x14ac:dyDescent="0.25">
      <c r="A294" s="2">
        <v>293</v>
      </c>
      <c r="B294" s="3" t="s">
        <v>3</v>
      </c>
      <c r="C294" s="4" t="str">
        <f t="shared" si="21"/>
        <v>Hà Nội</v>
      </c>
      <c r="D294" s="3" t="s">
        <v>84</v>
      </c>
      <c r="E294" s="4" t="str">
        <f t="shared" si="23"/>
        <v>Huyện Ba Vì</v>
      </c>
      <c r="F294" s="3" t="s">
        <v>1058</v>
      </c>
      <c r="G294" s="4" t="str">
        <f>HYPERLINK("https://diaocthongthai.com/xa-chau-son-ba-vi/","Xã Châu Sơn")</f>
        <v>Xã Châu Sơn</v>
      </c>
    </row>
    <row r="295" spans="1:7" x14ac:dyDescent="0.25">
      <c r="A295" s="2">
        <v>294</v>
      </c>
      <c r="B295" s="3" t="s">
        <v>3</v>
      </c>
      <c r="C295" s="4" t="str">
        <f t="shared" si="21"/>
        <v>Hà Nội</v>
      </c>
      <c r="D295" s="3" t="s">
        <v>84</v>
      </c>
      <c r="E295" s="4" t="str">
        <f t="shared" si="23"/>
        <v>Huyện Ba Vì</v>
      </c>
      <c r="F295" s="3" t="s">
        <v>1059</v>
      </c>
      <c r="G295" s="4" t="str">
        <f>HYPERLINK("https://diaocthongthai.com/xa-phong-van-ba-vi/","Xã Phong Vân")</f>
        <v>Xã Phong Vân</v>
      </c>
    </row>
    <row r="296" spans="1:7" x14ac:dyDescent="0.25">
      <c r="A296" s="2">
        <v>295</v>
      </c>
      <c r="B296" s="3" t="s">
        <v>3</v>
      </c>
      <c r="C296" s="4" t="str">
        <f t="shared" si="21"/>
        <v>Hà Nội</v>
      </c>
      <c r="D296" s="3" t="s">
        <v>84</v>
      </c>
      <c r="E296" s="4" t="str">
        <f t="shared" si="23"/>
        <v>Huyện Ba Vì</v>
      </c>
      <c r="F296" s="3" t="s">
        <v>1060</v>
      </c>
      <c r="G296" s="4" t="str">
        <f>HYPERLINK("https://diaocthongthai.com/xa-phu-dong-ba-vi/","Xã Phú Đông")</f>
        <v>Xã Phú Đông</v>
      </c>
    </row>
    <row r="297" spans="1:7" x14ac:dyDescent="0.25">
      <c r="A297" s="2">
        <v>296</v>
      </c>
      <c r="B297" s="3" t="s">
        <v>3</v>
      </c>
      <c r="C297" s="4" t="str">
        <f t="shared" si="21"/>
        <v>Hà Nội</v>
      </c>
      <c r="D297" s="3" t="s">
        <v>84</v>
      </c>
      <c r="E297" s="4" t="str">
        <f t="shared" si="23"/>
        <v>Huyện Ba Vì</v>
      </c>
      <c r="F297" s="3" t="s">
        <v>1061</v>
      </c>
      <c r="G297" s="4" t="str">
        <f>HYPERLINK("https://diaocthongthai.com/xa-phu-phuong-ba-vi/","Xã Phú Phương")</f>
        <v>Xã Phú Phương</v>
      </c>
    </row>
    <row r="298" spans="1:7" x14ac:dyDescent="0.25">
      <c r="A298" s="2">
        <v>297</v>
      </c>
      <c r="B298" s="3" t="s">
        <v>3</v>
      </c>
      <c r="C298" s="4" t="str">
        <f t="shared" si="21"/>
        <v>Hà Nội</v>
      </c>
      <c r="D298" s="3" t="s">
        <v>84</v>
      </c>
      <c r="E298" s="4" t="str">
        <f t="shared" si="23"/>
        <v>Huyện Ba Vì</v>
      </c>
      <c r="F298" s="3" t="s">
        <v>1062</v>
      </c>
      <c r="G298" s="4" t="str">
        <f>HYPERLINK("https://diaocthongthai.com/xa-phu-chau-ba-vi/","Xã Phú Châu")</f>
        <v>Xã Phú Châu</v>
      </c>
    </row>
    <row r="299" spans="1:7" x14ac:dyDescent="0.25">
      <c r="A299" s="2">
        <v>298</v>
      </c>
      <c r="B299" s="3" t="s">
        <v>3</v>
      </c>
      <c r="C299" s="4" t="str">
        <f t="shared" si="21"/>
        <v>Hà Nội</v>
      </c>
      <c r="D299" s="3" t="s">
        <v>84</v>
      </c>
      <c r="E299" s="4" t="str">
        <f t="shared" si="23"/>
        <v>Huyện Ba Vì</v>
      </c>
      <c r="F299" s="3" t="s">
        <v>1063</v>
      </c>
      <c r="G299" s="4" t="str">
        <f>HYPERLINK("https://diaocthongthai.com/xa-thai-hoa-ba-vi/","Xã Thái Hòa")</f>
        <v>Xã Thái Hòa</v>
      </c>
    </row>
    <row r="300" spans="1:7" x14ac:dyDescent="0.25">
      <c r="A300" s="2">
        <v>299</v>
      </c>
      <c r="B300" s="3" t="s">
        <v>3</v>
      </c>
      <c r="C300" s="4" t="str">
        <f t="shared" si="21"/>
        <v>Hà Nội</v>
      </c>
      <c r="D300" s="3" t="s">
        <v>84</v>
      </c>
      <c r="E300" s="4" t="str">
        <f t="shared" si="23"/>
        <v>Huyện Ba Vì</v>
      </c>
      <c r="F300" s="3" t="s">
        <v>1064</v>
      </c>
      <c r="G300" s="4" t="str">
        <f>HYPERLINK("https://diaocthongthai.com/xa-dong-thai-ba-vi/","Xã Đồng Thái")</f>
        <v>Xã Đồng Thái</v>
      </c>
    </row>
    <row r="301" spans="1:7" x14ac:dyDescent="0.25">
      <c r="A301" s="2">
        <v>300</v>
      </c>
      <c r="B301" s="3" t="s">
        <v>3</v>
      </c>
      <c r="C301" s="4" t="str">
        <f t="shared" si="21"/>
        <v>Hà Nội</v>
      </c>
      <c r="D301" s="3" t="s">
        <v>84</v>
      </c>
      <c r="E301" s="4" t="str">
        <f t="shared" si="23"/>
        <v>Huyện Ba Vì</v>
      </c>
      <c r="F301" s="3" t="s">
        <v>1065</v>
      </c>
      <c r="G301" s="4" t="str">
        <f>HYPERLINK("https://diaocthongthai.com/xa-phu-son-ba-vi/","Xã Phú Sơn")</f>
        <v>Xã Phú Sơn</v>
      </c>
    </row>
    <row r="302" spans="1:7" x14ac:dyDescent="0.25">
      <c r="A302" s="2">
        <v>301</v>
      </c>
      <c r="B302" s="3" t="s">
        <v>3</v>
      </c>
      <c r="C302" s="4" t="str">
        <f t="shared" si="21"/>
        <v>Hà Nội</v>
      </c>
      <c r="D302" s="3" t="s">
        <v>84</v>
      </c>
      <c r="E302" s="4" t="str">
        <f t="shared" si="23"/>
        <v>Huyện Ba Vì</v>
      </c>
      <c r="F302" s="3" t="s">
        <v>1066</v>
      </c>
      <c r="G302" s="4" t="str">
        <f>HYPERLINK("https://diaocthongthai.com/xa-minh-chau-ba-vi/","Xã Minh Châu")</f>
        <v>Xã Minh Châu</v>
      </c>
    </row>
    <row r="303" spans="1:7" x14ac:dyDescent="0.25">
      <c r="A303" s="2">
        <v>302</v>
      </c>
      <c r="B303" s="3" t="s">
        <v>3</v>
      </c>
      <c r="C303" s="4" t="str">
        <f t="shared" si="21"/>
        <v>Hà Nội</v>
      </c>
      <c r="D303" s="3" t="s">
        <v>84</v>
      </c>
      <c r="E303" s="4" t="str">
        <f t="shared" si="23"/>
        <v>Huyện Ba Vì</v>
      </c>
      <c r="F303" s="3" t="s">
        <v>1067</v>
      </c>
      <c r="G303" s="4" t="str">
        <f>HYPERLINK("https://diaocthongthai.com/xa-vat-lai-ba-vi/","Xã Vật Lại")</f>
        <v>Xã Vật Lại</v>
      </c>
    </row>
    <row r="304" spans="1:7" x14ac:dyDescent="0.25">
      <c r="A304" s="2">
        <v>303</v>
      </c>
      <c r="B304" s="3" t="s">
        <v>3</v>
      </c>
      <c r="C304" s="4" t="str">
        <f t="shared" si="21"/>
        <v>Hà Nội</v>
      </c>
      <c r="D304" s="3" t="s">
        <v>84</v>
      </c>
      <c r="E304" s="4" t="str">
        <f t="shared" si="23"/>
        <v>Huyện Ba Vì</v>
      </c>
      <c r="F304" s="3" t="s">
        <v>1068</v>
      </c>
      <c r="G304" s="4" t="str">
        <f>HYPERLINK("https://diaocthongthai.com/xa-chu-minh-ba-vi/","Xã Chu Minh")</f>
        <v>Xã Chu Minh</v>
      </c>
    </row>
    <row r="305" spans="1:7" x14ac:dyDescent="0.25">
      <c r="A305" s="2">
        <v>304</v>
      </c>
      <c r="B305" s="3" t="s">
        <v>3</v>
      </c>
      <c r="C305" s="4" t="str">
        <f t="shared" si="21"/>
        <v>Hà Nội</v>
      </c>
      <c r="D305" s="3" t="s">
        <v>84</v>
      </c>
      <c r="E305" s="4" t="str">
        <f t="shared" si="23"/>
        <v>Huyện Ba Vì</v>
      </c>
      <c r="F305" s="3" t="s">
        <v>1069</v>
      </c>
      <c r="G305" s="4" t="str">
        <f>HYPERLINK("https://diaocthongthai.com/xa-tong-bat-ba-vi/","Xã Tòng Bạt")</f>
        <v>Xã Tòng Bạt</v>
      </c>
    </row>
    <row r="306" spans="1:7" x14ac:dyDescent="0.25">
      <c r="A306" s="2">
        <v>305</v>
      </c>
      <c r="B306" s="3" t="s">
        <v>3</v>
      </c>
      <c r="C306" s="4" t="str">
        <f t="shared" si="21"/>
        <v>Hà Nội</v>
      </c>
      <c r="D306" s="3" t="s">
        <v>84</v>
      </c>
      <c r="E306" s="4" t="str">
        <f t="shared" si="23"/>
        <v>Huyện Ba Vì</v>
      </c>
      <c r="F306" s="3" t="s">
        <v>1070</v>
      </c>
      <c r="G306" s="4" t="str">
        <f>HYPERLINK("https://diaocthongthai.com/xa-cam-linh-ba-vi/","Xã Cẩm Lĩnh")</f>
        <v>Xã Cẩm Lĩnh</v>
      </c>
    </row>
    <row r="307" spans="1:7" x14ac:dyDescent="0.25">
      <c r="A307" s="2">
        <v>306</v>
      </c>
      <c r="B307" s="3" t="s">
        <v>3</v>
      </c>
      <c r="C307" s="4" t="str">
        <f t="shared" si="21"/>
        <v>Hà Nội</v>
      </c>
      <c r="D307" s="3" t="s">
        <v>84</v>
      </c>
      <c r="E307" s="4" t="str">
        <f t="shared" si="23"/>
        <v>Huyện Ba Vì</v>
      </c>
      <c r="F307" s="3" t="s">
        <v>1071</v>
      </c>
      <c r="G307" s="4" t="str">
        <f>HYPERLINK("https://diaocthongthai.com/xa-son-da-ba-vi/","Xã Sơn Đà")</f>
        <v>Xã Sơn Đà</v>
      </c>
    </row>
    <row r="308" spans="1:7" x14ac:dyDescent="0.25">
      <c r="A308" s="2">
        <v>307</v>
      </c>
      <c r="B308" s="3" t="s">
        <v>3</v>
      </c>
      <c r="C308" s="4" t="str">
        <f t="shared" si="21"/>
        <v>Hà Nội</v>
      </c>
      <c r="D308" s="3" t="s">
        <v>84</v>
      </c>
      <c r="E308" s="4" t="str">
        <f t="shared" si="23"/>
        <v>Huyện Ba Vì</v>
      </c>
      <c r="F308" s="3" t="s">
        <v>1072</v>
      </c>
      <c r="G308" s="4" t="str">
        <f>HYPERLINK("https://diaocthongthai.com/xa-dong-quang-ba-vi/","Xã Đông Quang")</f>
        <v>Xã Đông Quang</v>
      </c>
    </row>
    <row r="309" spans="1:7" x14ac:dyDescent="0.25">
      <c r="A309" s="2">
        <v>308</v>
      </c>
      <c r="B309" s="3" t="s">
        <v>3</v>
      </c>
      <c r="C309" s="4" t="str">
        <f t="shared" si="21"/>
        <v>Hà Nội</v>
      </c>
      <c r="D309" s="3" t="s">
        <v>84</v>
      </c>
      <c r="E309" s="4" t="str">
        <f t="shared" si="23"/>
        <v>Huyện Ba Vì</v>
      </c>
      <c r="F309" s="3" t="s">
        <v>1073</v>
      </c>
      <c r="G309" s="4" t="str">
        <f>HYPERLINK("https://diaocthongthai.com/xa-tien-phong-ba-vi/","Xã Tiên Phong")</f>
        <v>Xã Tiên Phong</v>
      </c>
    </row>
    <row r="310" spans="1:7" x14ac:dyDescent="0.25">
      <c r="A310" s="2">
        <v>309</v>
      </c>
      <c r="B310" s="3" t="s">
        <v>3</v>
      </c>
      <c r="C310" s="4" t="str">
        <f t="shared" si="21"/>
        <v>Hà Nội</v>
      </c>
      <c r="D310" s="3" t="s">
        <v>84</v>
      </c>
      <c r="E310" s="4" t="str">
        <f t="shared" si="23"/>
        <v>Huyện Ba Vì</v>
      </c>
      <c r="F310" s="3" t="s">
        <v>1074</v>
      </c>
      <c r="G310" s="4" t="str">
        <f>HYPERLINK("https://diaocthongthai.com/xa-thuy-an-ba-vi/","Xã Thụy An")</f>
        <v>Xã Thụy An</v>
      </c>
    </row>
    <row r="311" spans="1:7" x14ac:dyDescent="0.25">
      <c r="A311" s="2">
        <v>310</v>
      </c>
      <c r="B311" s="3" t="s">
        <v>3</v>
      </c>
      <c r="C311" s="4" t="str">
        <f t="shared" si="21"/>
        <v>Hà Nội</v>
      </c>
      <c r="D311" s="3" t="s">
        <v>84</v>
      </c>
      <c r="E311" s="4" t="str">
        <f t="shared" si="23"/>
        <v>Huyện Ba Vì</v>
      </c>
      <c r="F311" s="3" t="s">
        <v>1075</v>
      </c>
      <c r="G311" s="4" t="str">
        <f>HYPERLINK("https://diaocthongthai.com/xa-cam-thuong-ba-vi/","Xã Cam Thượng")</f>
        <v>Xã Cam Thượng</v>
      </c>
    </row>
    <row r="312" spans="1:7" x14ac:dyDescent="0.25">
      <c r="A312" s="2">
        <v>311</v>
      </c>
      <c r="B312" s="3" t="s">
        <v>3</v>
      </c>
      <c r="C312" s="4" t="str">
        <f t="shared" si="21"/>
        <v>Hà Nội</v>
      </c>
      <c r="D312" s="3" t="s">
        <v>84</v>
      </c>
      <c r="E312" s="4" t="str">
        <f t="shared" si="23"/>
        <v>Huyện Ba Vì</v>
      </c>
      <c r="F312" s="3" t="s">
        <v>1076</v>
      </c>
      <c r="G312" s="4" t="str">
        <f>HYPERLINK("https://diaocthongthai.com/xa-thuan-my-ba-vi/","Xã Thuần Mỹ")</f>
        <v>Xã Thuần Mỹ</v>
      </c>
    </row>
    <row r="313" spans="1:7" x14ac:dyDescent="0.25">
      <c r="A313" s="2">
        <v>312</v>
      </c>
      <c r="B313" s="3" t="s">
        <v>3</v>
      </c>
      <c r="C313" s="4" t="str">
        <f t="shared" si="21"/>
        <v>Hà Nội</v>
      </c>
      <c r="D313" s="3" t="s">
        <v>84</v>
      </c>
      <c r="E313" s="4" t="str">
        <f t="shared" si="23"/>
        <v>Huyện Ba Vì</v>
      </c>
      <c r="F313" s="3" t="s">
        <v>1077</v>
      </c>
      <c r="G313" s="4" t="str">
        <f>HYPERLINK("https://diaocthongthai.com/xa-tan-linh-ba-vi/","Xã Tản Lĩnh")</f>
        <v>Xã Tản Lĩnh</v>
      </c>
    </row>
    <row r="314" spans="1:7" x14ac:dyDescent="0.25">
      <c r="A314" s="2">
        <v>313</v>
      </c>
      <c r="B314" s="3" t="s">
        <v>3</v>
      </c>
      <c r="C314" s="4" t="str">
        <f t="shared" si="21"/>
        <v>Hà Nội</v>
      </c>
      <c r="D314" s="3" t="s">
        <v>84</v>
      </c>
      <c r="E314" s="4" t="str">
        <f t="shared" si="23"/>
        <v>Huyện Ba Vì</v>
      </c>
      <c r="F314" s="3" t="s">
        <v>1078</v>
      </c>
      <c r="G314" s="4" t="str">
        <f>HYPERLINK("https://diaocthongthai.com/xa-ba-trai-ba-vi/","Xã Ba Trại")</f>
        <v>Xã Ba Trại</v>
      </c>
    </row>
    <row r="315" spans="1:7" x14ac:dyDescent="0.25">
      <c r="A315" s="2">
        <v>314</v>
      </c>
      <c r="B315" s="3" t="s">
        <v>3</v>
      </c>
      <c r="C315" s="4" t="str">
        <f t="shared" si="21"/>
        <v>Hà Nội</v>
      </c>
      <c r="D315" s="3" t="s">
        <v>84</v>
      </c>
      <c r="E315" s="4" t="str">
        <f t="shared" si="23"/>
        <v>Huyện Ba Vì</v>
      </c>
      <c r="F315" s="3" t="s">
        <v>1079</v>
      </c>
      <c r="G315" s="4" t="str">
        <f>HYPERLINK("https://diaocthongthai.com/xa-minh-quang-ba-vi/","Xã Minh Quang")</f>
        <v>Xã Minh Quang</v>
      </c>
    </row>
    <row r="316" spans="1:7" x14ac:dyDescent="0.25">
      <c r="A316" s="2">
        <v>315</v>
      </c>
      <c r="B316" s="3" t="s">
        <v>3</v>
      </c>
      <c r="C316" s="4" t="str">
        <f t="shared" si="21"/>
        <v>Hà Nội</v>
      </c>
      <c r="D316" s="3" t="s">
        <v>84</v>
      </c>
      <c r="E316" s="4" t="str">
        <f t="shared" si="23"/>
        <v>Huyện Ba Vì</v>
      </c>
      <c r="F316" s="3" t="s">
        <v>1080</v>
      </c>
      <c r="G316" s="4" t="str">
        <f>HYPERLINK("https://diaocthongthai.com/xa-ba-vi-ba-vi/","Xã Ba Vì")</f>
        <v>Xã Ba Vì</v>
      </c>
    </row>
    <row r="317" spans="1:7" x14ac:dyDescent="0.25">
      <c r="A317" s="2">
        <v>316</v>
      </c>
      <c r="B317" s="3" t="s">
        <v>3</v>
      </c>
      <c r="C317" s="4" t="str">
        <f t="shared" si="21"/>
        <v>Hà Nội</v>
      </c>
      <c r="D317" s="3" t="s">
        <v>84</v>
      </c>
      <c r="E317" s="4" t="str">
        <f t="shared" si="23"/>
        <v>Huyện Ba Vì</v>
      </c>
      <c r="F317" s="3" t="s">
        <v>1081</v>
      </c>
      <c r="G317" s="4" t="str">
        <f>HYPERLINK("https://diaocthongthai.com/xa-van-hoa-ba-vi/","Xã Vân Hòa")</f>
        <v>Xã Vân Hòa</v>
      </c>
    </row>
    <row r="318" spans="1:7" x14ac:dyDescent="0.25">
      <c r="A318" s="2">
        <v>317</v>
      </c>
      <c r="B318" s="3" t="s">
        <v>3</v>
      </c>
      <c r="C318" s="4" t="str">
        <f t="shared" si="21"/>
        <v>Hà Nội</v>
      </c>
      <c r="D318" s="3" t="s">
        <v>84</v>
      </c>
      <c r="E318" s="4" t="str">
        <f t="shared" si="23"/>
        <v>Huyện Ba Vì</v>
      </c>
      <c r="F318" s="3" t="s">
        <v>1082</v>
      </c>
      <c r="G318" s="4" t="str">
        <f>HYPERLINK("https://diaocthongthai.com/xa-yen-bai-ba-vi/","Xã Yên Bài")</f>
        <v>Xã Yên Bài</v>
      </c>
    </row>
    <row r="319" spans="1:7" x14ac:dyDescent="0.25">
      <c r="A319" s="2">
        <v>318</v>
      </c>
      <c r="B319" s="3" t="s">
        <v>3</v>
      </c>
      <c r="C319" s="4" t="str">
        <f t="shared" si="21"/>
        <v>Hà Nội</v>
      </c>
      <c r="D319" s="3" t="s">
        <v>84</v>
      </c>
      <c r="E319" s="4" t="str">
        <f t="shared" si="23"/>
        <v>Huyện Ba Vì</v>
      </c>
      <c r="F319" s="3" t="s">
        <v>1083</v>
      </c>
      <c r="G319" s="4" t="str">
        <f>HYPERLINK("https://diaocthongthai.com/xa-khanh-thuong-ba-vi/","Xã Khánh Thượng")</f>
        <v>Xã Khánh Thượng</v>
      </c>
    </row>
    <row r="320" spans="1:7" x14ac:dyDescent="0.25">
      <c r="A320" s="2">
        <v>319</v>
      </c>
      <c r="B320" s="3" t="s">
        <v>3</v>
      </c>
      <c r="C320" s="4" t="str">
        <f t="shared" si="21"/>
        <v>Hà Nội</v>
      </c>
      <c r="D320" s="3" t="s">
        <v>85</v>
      </c>
      <c r="E320" s="4" t="str">
        <f t="shared" ref="E320:E340" si="24">HYPERLINK("https://diaocthongthai.com/ban-do-huyen-phuc-tho-tp-ha-noi/","Huyện Phúc Thọ")</f>
        <v>Huyện Phúc Thọ</v>
      </c>
      <c r="F320" s="3" t="s">
        <v>1084</v>
      </c>
      <c r="G320" s="4" t="str">
        <f>HYPERLINK("https://diaocthongthai.com/thi-tran-phuc-tho-phuc-tho/","Thị trấn Phúc Thọ")</f>
        <v>Thị trấn Phúc Thọ</v>
      </c>
    </row>
    <row r="321" spans="1:7" x14ac:dyDescent="0.25">
      <c r="A321" s="2">
        <v>320</v>
      </c>
      <c r="B321" s="3" t="s">
        <v>3</v>
      </c>
      <c r="C321" s="4" t="str">
        <f t="shared" si="21"/>
        <v>Hà Nội</v>
      </c>
      <c r="D321" s="3" t="s">
        <v>85</v>
      </c>
      <c r="E321" s="4" t="str">
        <f t="shared" si="24"/>
        <v>Huyện Phúc Thọ</v>
      </c>
      <c r="F321" s="3" t="s">
        <v>1085</v>
      </c>
      <c r="G321" s="4" t="str">
        <f>HYPERLINK("https://diaocthongthai.com/xa-van-ha-phuc-tho/","Xã Vân Hà")</f>
        <v>Xã Vân Hà</v>
      </c>
    </row>
    <row r="322" spans="1:7" x14ac:dyDescent="0.25">
      <c r="A322" s="2">
        <v>321</v>
      </c>
      <c r="B322" s="3" t="s">
        <v>3</v>
      </c>
      <c r="C322" s="4" t="str">
        <f t="shared" ref="C322:C385" si="25">HYPERLINK("https://diaocthongthai.com/ban-do-ha-noi/","Hà Nội")</f>
        <v>Hà Nội</v>
      </c>
      <c r="D322" s="3" t="s">
        <v>85</v>
      </c>
      <c r="E322" s="4" t="str">
        <f t="shared" si="24"/>
        <v>Huyện Phúc Thọ</v>
      </c>
      <c r="F322" s="3" t="s">
        <v>1086</v>
      </c>
      <c r="G322" s="4" t="str">
        <f>HYPERLINK("https://diaocthongthai.com/xa-van-phuc-phuc-tho/","Xã Vân Phúc")</f>
        <v>Xã Vân Phúc</v>
      </c>
    </row>
    <row r="323" spans="1:7" x14ac:dyDescent="0.25">
      <c r="A323" s="2">
        <v>322</v>
      </c>
      <c r="B323" s="3" t="s">
        <v>3</v>
      </c>
      <c r="C323" s="4" t="str">
        <f t="shared" si="25"/>
        <v>Hà Nội</v>
      </c>
      <c r="D323" s="3" t="s">
        <v>85</v>
      </c>
      <c r="E323" s="4" t="str">
        <f t="shared" si="24"/>
        <v>Huyện Phúc Thọ</v>
      </c>
      <c r="F323" s="3" t="s">
        <v>1087</v>
      </c>
      <c r="G323" s="4" t="str">
        <f>HYPERLINK("https://diaocthongthai.com/xa-van-nam-phuc-tho/","Xã Vân Nam")</f>
        <v>Xã Vân Nam</v>
      </c>
    </row>
    <row r="324" spans="1:7" x14ac:dyDescent="0.25">
      <c r="A324" s="2">
        <v>323</v>
      </c>
      <c r="B324" s="3" t="s">
        <v>3</v>
      </c>
      <c r="C324" s="4" t="str">
        <f t="shared" si="25"/>
        <v>Hà Nội</v>
      </c>
      <c r="D324" s="3" t="s">
        <v>85</v>
      </c>
      <c r="E324" s="4" t="str">
        <f t="shared" si="24"/>
        <v>Huyện Phúc Thọ</v>
      </c>
      <c r="F324" s="3" t="s">
        <v>1088</v>
      </c>
      <c r="G324" s="4" t="str">
        <f>HYPERLINK("https://diaocthongthai.com/xa-xuan-dinh-phuc-tho/","Xã Xuân Đình")</f>
        <v>Xã Xuân Đình</v>
      </c>
    </row>
    <row r="325" spans="1:7" x14ac:dyDescent="0.25">
      <c r="A325" s="2">
        <v>324</v>
      </c>
      <c r="B325" s="3" t="s">
        <v>3</v>
      </c>
      <c r="C325" s="4" t="str">
        <f t="shared" si="25"/>
        <v>Hà Nội</v>
      </c>
      <c r="D325" s="3" t="s">
        <v>85</v>
      </c>
      <c r="E325" s="4" t="str">
        <f t="shared" si="24"/>
        <v>Huyện Phúc Thọ</v>
      </c>
      <c r="F325" s="3" t="s">
        <v>1089</v>
      </c>
      <c r="G325" s="4" t="str">
        <f>HYPERLINK("https://diaocthongthai.com/xa-sen-phuong-phuc-tho/","Xã Sen Phương")</f>
        <v>Xã Sen Phương</v>
      </c>
    </row>
    <row r="326" spans="1:7" x14ac:dyDescent="0.25">
      <c r="A326" s="2">
        <v>325</v>
      </c>
      <c r="B326" s="3" t="s">
        <v>3</v>
      </c>
      <c r="C326" s="4" t="str">
        <f t="shared" si="25"/>
        <v>Hà Nội</v>
      </c>
      <c r="D326" s="3" t="s">
        <v>85</v>
      </c>
      <c r="E326" s="4" t="str">
        <f t="shared" si="24"/>
        <v>Huyện Phúc Thọ</v>
      </c>
      <c r="F326" s="3" t="s">
        <v>1090</v>
      </c>
      <c r="G326" s="4" t="str">
        <f>HYPERLINK("https://diaocthongthai.com/xa-vong-xuyen-phuc-tho/","Xã Võng Xuyên")</f>
        <v>Xã Võng Xuyên</v>
      </c>
    </row>
    <row r="327" spans="1:7" x14ac:dyDescent="0.25">
      <c r="A327" s="2">
        <v>326</v>
      </c>
      <c r="B327" s="3" t="s">
        <v>3</v>
      </c>
      <c r="C327" s="4" t="str">
        <f t="shared" si="25"/>
        <v>Hà Nội</v>
      </c>
      <c r="D327" s="3" t="s">
        <v>85</v>
      </c>
      <c r="E327" s="4" t="str">
        <f t="shared" si="24"/>
        <v>Huyện Phúc Thọ</v>
      </c>
      <c r="F327" s="3" t="s">
        <v>1091</v>
      </c>
      <c r="G327" s="4" t="str">
        <f>HYPERLINK("https://diaocthongthai.com/xa-tho-loc-phuc-tho/","Xã Thọ Lộc")</f>
        <v>Xã Thọ Lộc</v>
      </c>
    </row>
    <row r="328" spans="1:7" x14ac:dyDescent="0.25">
      <c r="A328" s="2">
        <v>327</v>
      </c>
      <c r="B328" s="3" t="s">
        <v>3</v>
      </c>
      <c r="C328" s="4" t="str">
        <f t="shared" si="25"/>
        <v>Hà Nội</v>
      </c>
      <c r="D328" s="3" t="s">
        <v>85</v>
      </c>
      <c r="E328" s="4" t="str">
        <f t="shared" si="24"/>
        <v>Huyện Phúc Thọ</v>
      </c>
      <c r="F328" s="3" t="s">
        <v>1092</v>
      </c>
      <c r="G328" s="4" t="str">
        <f>HYPERLINK("https://diaocthongthai.com/xa-long-xuyen-phuc-tho/","Xã Long Xuyên")</f>
        <v>Xã Long Xuyên</v>
      </c>
    </row>
    <row r="329" spans="1:7" x14ac:dyDescent="0.25">
      <c r="A329" s="2">
        <v>328</v>
      </c>
      <c r="B329" s="3" t="s">
        <v>3</v>
      </c>
      <c r="C329" s="4" t="str">
        <f t="shared" si="25"/>
        <v>Hà Nội</v>
      </c>
      <c r="D329" s="3" t="s">
        <v>85</v>
      </c>
      <c r="E329" s="4" t="str">
        <f t="shared" si="24"/>
        <v>Huyện Phúc Thọ</v>
      </c>
      <c r="F329" s="3" t="s">
        <v>1093</v>
      </c>
      <c r="G329" s="4" t="str">
        <f>HYPERLINK("https://diaocthongthai.com/xa-thuong-coc-phuc-tho/","Xã Thượng Cốc")</f>
        <v>Xã Thượng Cốc</v>
      </c>
    </row>
    <row r="330" spans="1:7" x14ac:dyDescent="0.25">
      <c r="A330" s="2">
        <v>329</v>
      </c>
      <c r="B330" s="3" t="s">
        <v>3</v>
      </c>
      <c r="C330" s="4" t="str">
        <f t="shared" si="25"/>
        <v>Hà Nội</v>
      </c>
      <c r="D330" s="3" t="s">
        <v>85</v>
      </c>
      <c r="E330" s="4" t="str">
        <f t="shared" si="24"/>
        <v>Huyện Phúc Thọ</v>
      </c>
      <c r="F330" s="3" t="s">
        <v>1094</v>
      </c>
      <c r="G330" s="4" t="str">
        <f>HYPERLINK("https://diaocthongthai.com/xa-hat-mon-phuc-tho/","Xã Hát Môn")</f>
        <v>Xã Hát Môn</v>
      </c>
    </row>
    <row r="331" spans="1:7" x14ac:dyDescent="0.25">
      <c r="A331" s="2">
        <v>330</v>
      </c>
      <c r="B331" s="3" t="s">
        <v>3</v>
      </c>
      <c r="C331" s="4" t="str">
        <f t="shared" si="25"/>
        <v>Hà Nội</v>
      </c>
      <c r="D331" s="3" t="s">
        <v>85</v>
      </c>
      <c r="E331" s="4" t="str">
        <f t="shared" si="24"/>
        <v>Huyện Phúc Thọ</v>
      </c>
      <c r="F331" s="3" t="s">
        <v>1095</v>
      </c>
      <c r="G331" s="4" t="str">
        <f>HYPERLINK("https://diaocthongthai.com/xa-tich-giang-phuc-tho/","Xã Tích Giang")</f>
        <v>Xã Tích Giang</v>
      </c>
    </row>
    <row r="332" spans="1:7" x14ac:dyDescent="0.25">
      <c r="A332" s="2">
        <v>331</v>
      </c>
      <c r="B332" s="3" t="s">
        <v>3</v>
      </c>
      <c r="C332" s="4" t="str">
        <f t="shared" si="25"/>
        <v>Hà Nội</v>
      </c>
      <c r="D332" s="3" t="s">
        <v>85</v>
      </c>
      <c r="E332" s="4" t="str">
        <f t="shared" si="24"/>
        <v>Huyện Phúc Thọ</v>
      </c>
      <c r="F332" s="3" t="s">
        <v>1096</v>
      </c>
      <c r="G332" s="4" t="str">
        <f>HYPERLINK("https://diaocthongthai.com/xa-thanh-da-phuc-tho/","Xã Thanh Đa")</f>
        <v>Xã Thanh Đa</v>
      </c>
    </row>
    <row r="333" spans="1:7" x14ac:dyDescent="0.25">
      <c r="A333" s="2">
        <v>332</v>
      </c>
      <c r="B333" s="3" t="s">
        <v>3</v>
      </c>
      <c r="C333" s="4" t="str">
        <f t="shared" si="25"/>
        <v>Hà Nội</v>
      </c>
      <c r="D333" s="3" t="s">
        <v>85</v>
      </c>
      <c r="E333" s="4" t="str">
        <f t="shared" si="24"/>
        <v>Huyện Phúc Thọ</v>
      </c>
      <c r="F333" s="3" t="s">
        <v>1097</v>
      </c>
      <c r="G333" s="4" t="str">
        <f>HYPERLINK("https://diaocthongthai.com/xa-trach-my-loc-phuc-tho/","Xã Trạch Mỹ Lộc")</f>
        <v>Xã Trạch Mỹ Lộc</v>
      </c>
    </row>
    <row r="334" spans="1:7" x14ac:dyDescent="0.25">
      <c r="A334" s="2">
        <v>333</v>
      </c>
      <c r="B334" s="3" t="s">
        <v>3</v>
      </c>
      <c r="C334" s="4" t="str">
        <f t="shared" si="25"/>
        <v>Hà Nội</v>
      </c>
      <c r="D334" s="3" t="s">
        <v>85</v>
      </c>
      <c r="E334" s="4" t="str">
        <f t="shared" si="24"/>
        <v>Huyện Phúc Thọ</v>
      </c>
      <c r="F334" s="3" t="s">
        <v>1098</v>
      </c>
      <c r="G334" s="4" t="str">
        <f>HYPERLINK("https://diaocthongthai.com/xa-phuc-hoa-phuc-tho/","Xã Phúc Hòa")</f>
        <v>Xã Phúc Hòa</v>
      </c>
    </row>
    <row r="335" spans="1:7" x14ac:dyDescent="0.25">
      <c r="A335" s="2">
        <v>334</v>
      </c>
      <c r="B335" s="3" t="s">
        <v>3</v>
      </c>
      <c r="C335" s="4" t="str">
        <f t="shared" si="25"/>
        <v>Hà Nội</v>
      </c>
      <c r="D335" s="3" t="s">
        <v>85</v>
      </c>
      <c r="E335" s="4" t="str">
        <f t="shared" si="24"/>
        <v>Huyện Phúc Thọ</v>
      </c>
      <c r="F335" s="3" t="s">
        <v>1099</v>
      </c>
      <c r="G335" s="4" t="str">
        <f>HYPERLINK("https://diaocthongthai.com/xa-ngoc-tao-phuc-tho/","Xã Ngọc Tảo")</f>
        <v>Xã Ngọc Tảo</v>
      </c>
    </row>
    <row r="336" spans="1:7" x14ac:dyDescent="0.25">
      <c r="A336" s="2">
        <v>335</v>
      </c>
      <c r="B336" s="3" t="s">
        <v>3</v>
      </c>
      <c r="C336" s="4" t="str">
        <f t="shared" si="25"/>
        <v>Hà Nội</v>
      </c>
      <c r="D336" s="3" t="s">
        <v>85</v>
      </c>
      <c r="E336" s="4" t="str">
        <f t="shared" si="24"/>
        <v>Huyện Phúc Thọ</v>
      </c>
      <c r="F336" s="3" t="s">
        <v>1100</v>
      </c>
      <c r="G336" s="4" t="str">
        <f>HYPERLINK("https://diaocthongthai.com/xa-phung-thuong-phuc-tho/","Xã Phụng Thượng")</f>
        <v>Xã Phụng Thượng</v>
      </c>
    </row>
    <row r="337" spans="1:7" x14ac:dyDescent="0.25">
      <c r="A337" s="2">
        <v>336</v>
      </c>
      <c r="B337" s="3" t="s">
        <v>3</v>
      </c>
      <c r="C337" s="4" t="str">
        <f t="shared" si="25"/>
        <v>Hà Nội</v>
      </c>
      <c r="D337" s="3" t="s">
        <v>85</v>
      </c>
      <c r="E337" s="4" t="str">
        <f t="shared" si="24"/>
        <v>Huyện Phúc Thọ</v>
      </c>
      <c r="F337" s="3" t="s">
        <v>1101</v>
      </c>
      <c r="G337" s="4" t="str">
        <f>HYPERLINK("https://diaocthongthai.com/xa-tam-thuan-phuc-tho/","Xã Tam Thuấn")</f>
        <v>Xã Tam Thuấn</v>
      </c>
    </row>
    <row r="338" spans="1:7" x14ac:dyDescent="0.25">
      <c r="A338" s="2">
        <v>337</v>
      </c>
      <c r="B338" s="3" t="s">
        <v>3</v>
      </c>
      <c r="C338" s="4" t="str">
        <f t="shared" si="25"/>
        <v>Hà Nội</v>
      </c>
      <c r="D338" s="3" t="s">
        <v>85</v>
      </c>
      <c r="E338" s="4" t="str">
        <f t="shared" si="24"/>
        <v>Huyện Phúc Thọ</v>
      </c>
      <c r="F338" s="3" t="s">
        <v>1102</v>
      </c>
      <c r="G338" s="4" t="str">
        <f>HYPERLINK("https://diaocthongthai.com/xa-tam-hiep-phuc-tho/","Xã Tam Hiệp")</f>
        <v>Xã Tam Hiệp</v>
      </c>
    </row>
    <row r="339" spans="1:7" x14ac:dyDescent="0.25">
      <c r="A339" s="2">
        <v>338</v>
      </c>
      <c r="B339" s="3" t="s">
        <v>3</v>
      </c>
      <c r="C339" s="4" t="str">
        <f t="shared" si="25"/>
        <v>Hà Nội</v>
      </c>
      <c r="D339" s="3" t="s">
        <v>85</v>
      </c>
      <c r="E339" s="4" t="str">
        <f t="shared" si="24"/>
        <v>Huyện Phúc Thọ</v>
      </c>
      <c r="F339" s="3" t="s">
        <v>1103</v>
      </c>
      <c r="G339" s="4" t="str">
        <f>HYPERLINK("https://diaocthongthai.com/xa-hiep-thuan-phuc-tho/","Xã Hiệp Thuận")</f>
        <v>Xã Hiệp Thuận</v>
      </c>
    </row>
    <row r="340" spans="1:7" x14ac:dyDescent="0.25">
      <c r="A340" s="2">
        <v>339</v>
      </c>
      <c r="B340" s="3" t="s">
        <v>3</v>
      </c>
      <c r="C340" s="4" t="str">
        <f t="shared" si="25"/>
        <v>Hà Nội</v>
      </c>
      <c r="D340" s="3" t="s">
        <v>85</v>
      </c>
      <c r="E340" s="4" t="str">
        <f t="shared" si="24"/>
        <v>Huyện Phúc Thọ</v>
      </c>
      <c r="F340" s="3" t="s">
        <v>1104</v>
      </c>
      <c r="G340" s="4" t="str">
        <f>HYPERLINK("https://diaocthongthai.com/xa-lien-hiep-phuc-tho/","Xã Liên Hiệp")</f>
        <v>Xã Liên Hiệp</v>
      </c>
    </row>
    <row r="341" spans="1:7" x14ac:dyDescent="0.25">
      <c r="A341" s="2">
        <v>340</v>
      </c>
      <c r="B341" s="3" t="s">
        <v>3</v>
      </c>
      <c r="C341" s="4" t="str">
        <f t="shared" si="25"/>
        <v>Hà Nội</v>
      </c>
      <c r="D341" s="3" t="s">
        <v>86</v>
      </c>
      <c r="E341" s="4" t="str">
        <f t="shared" ref="E341:E356" si="26">HYPERLINK("https://diaocthongthai.com/ban-do-huyen-dan-phuong-tp-ha-noi/","Huyện Đan Phượng")</f>
        <v>Huyện Đan Phượng</v>
      </c>
      <c r="F341" s="3" t="s">
        <v>1105</v>
      </c>
      <c r="G341" s="4" t="str">
        <f>HYPERLINK("https://diaocthongthai.com/thi-tran-phung-dan-phuong/","Thị trấn Phùng")</f>
        <v>Thị trấn Phùng</v>
      </c>
    </row>
    <row r="342" spans="1:7" x14ac:dyDescent="0.25">
      <c r="A342" s="2">
        <v>341</v>
      </c>
      <c r="B342" s="3" t="s">
        <v>3</v>
      </c>
      <c r="C342" s="4" t="str">
        <f t="shared" si="25"/>
        <v>Hà Nội</v>
      </c>
      <c r="D342" s="3" t="s">
        <v>86</v>
      </c>
      <c r="E342" s="4" t="str">
        <f t="shared" si="26"/>
        <v>Huyện Đan Phượng</v>
      </c>
      <c r="F342" s="3" t="s">
        <v>1106</v>
      </c>
      <c r="G342" s="4" t="str">
        <f>HYPERLINK("https://diaocthongthai.com/xa-trung-chau-dan-phuong/","Xã Trung Châu")</f>
        <v>Xã Trung Châu</v>
      </c>
    </row>
    <row r="343" spans="1:7" x14ac:dyDescent="0.25">
      <c r="A343" s="2">
        <v>342</v>
      </c>
      <c r="B343" s="3" t="s">
        <v>3</v>
      </c>
      <c r="C343" s="4" t="str">
        <f t="shared" si="25"/>
        <v>Hà Nội</v>
      </c>
      <c r="D343" s="3" t="s">
        <v>86</v>
      </c>
      <c r="E343" s="4" t="str">
        <f t="shared" si="26"/>
        <v>Huyện Đan Phượng</v>
      </c>
      <c r="F343" s="3" t="s">
        <v>1107</v>
      </c>
      <c r="G343" s="4" t="str">
        <f>HYPERLINK("https://diaocthongthai.com/xa-tho-an-dan-phuong/","Xã Thọ An")</f>
        <v>Xã Thọ An</v>
      </c>
    </row>
    <row r="344" spans="1:7" x14ac:dyDescent="0.25">
      <c r="A344" s="2">
        <v>343</v>
      </c>
      <c r="B344" s="3" t="s">
        <v>3</v>
      </c>
      <c r="C344" s="4" t="str">
        <f t="shared" si="25"/>
        <v>Hà Nội</v>
      </c>
      <c r="D344" s="3" t="s">
        <v>86</v>
      </c>
      <c r="E344" s="4" t="str">
        <f t="shared" si="26"/>
        <v>Huyện Đan Phượng</v>
      </c>
      <c r="F344" s="3" t="s">
        <v>1108</v>
      </c>
      <c r="G344" s="4" t="str">
        <f>HYPERLINK("https://diaocthongthai.com/xa-tho-xuan-dan-phuong/","Xã Thọ Xuân")</f>
        <v>Xã Thọ Xuân</v>
      </c>
    </row>
    <row r="345" spans="1:7" x14ac:dyDescent="0.25">
      <c r="A345" s="2">
        <v>344</v>
      </c>
      <c r="B345" s="3" t="s">
        <v>3</v>
      </c>
      <c r="C345" s="4" t="str">
        <f t="shared" si="25"/>
        <v>Hà Nội</v>
      </c>
      <c r="D345" s="3" t="s">
        <v>86</v>
      </c>
      <c r="E345" s="4" t="str">
        <f t="shared" si="26"/>
        <v>Huyện Đan Phượng</v>
      </c>
      <c r="F345" s="3" t="s">
        <v>1109</v>
      </c>
      <c r="G345" s="4" t="str">
        <f>HYPERLINK("https://diaocthongthai.com/xa-hong-ha-dan-phuong/","Xã Hồng Hà")</f>
        <v>Xã Hồng Hà</v>
      </c>
    </row>
    <row r="346" spans="1:7" x14ac:dyDescent="0.25">
      <c r="A346" s="2">
        <v>345</v>
      </c>
      <c r="B346" s="3" t="s">
        <v>3</v>
      </c>
      <c r="C346" s="4" t="str">
        <f t="shared" si="25"/>
        <v>Hà Nội</v>
      </c>
      <c r="D346" s="3" t="s">
        <v>86</v>
      </c>
      <c r="E346" s="4" t="str">
        <f t="shared" si="26"/>
        <v>Huyện Đan Phượng</v>
      </c>
      <c r="F346" s="3" t="s">
        <v>1110</v>
      </c>
      <c r="G346" s="4" t="str">
        <f>HYPERLINK("https://diaocthongthai.com/xa-lien-hong-dan-phuong/","Xã Liên Hồng")</f>
        <v>Xã Liên Hồng</v>
      </c>
    </row>
    <row r="347" spans="1:7" x14ac:dyDescent="0.25">
      <c r="A347" s="2">
        <v>346</v>
      </c>
      <c r="B347" s="3" t="s">
        <v>3</v>
      </c>
      <c r="C347" s="4" t="str">
        <f t="shared" si="25"/>
        <v>Hà Nội</v>
      </c>
      <c r="D347" s="3" t="s">
        <v>86</v>
      </c>
      <c r="E347" s="4" t="str">
        <f t="shared" si="26"/>
        <v>Huyện Đan Phượng</v>
      </c>
      <c r="F347" s="3" t="s">
        <v>1111</v>
      </c>
      <c r="G347" s="4" t="str">
        <f>HYPERLINK("https://diaocthongthai.com/xa-lien-ha-dan-phuong/","Xã Liên Hà")</f>
        <v>Xã Liên Hà</v>
      </c>
    </row>
    <row r="348" spans="1:7" x14ac:dyDescent="0.25">
      <c r="A348" s="2">
        <v>347</v>
      </c>
      <c r="B348" s="3" t="s">
        <v>3</v>
      </c>
      <c r="C348" s="4" t="str">
        <f t="shared" si="25"/>
        <v>Hà Nội</v>
      </c>
      <c r="D348" s="3" t="s">
        <v>86</v>
      </c>
      <c r="E348" s="4" t="str">
        <f t="shared" si="26"/>
        <v>Huyện Đan Phượng</v>
      </c>
      <c r="F348" s="3" t="s">
        <v>1112</v>
      </c>
      <c r="G348" s="4" t="str">
        <f>HYPERLINK("https://diaocthongthai.com/xa-ha-mo-dan-phuong/","Xã Hạ Mỗ")</f>
        <v>Xã Hạ Mỗ</v>
      </c>
    </row>
    <row r="349" spans="1:7" x14ac:dyDescent="0.25">
      <c r="A349" s="2">
        <v>348</v>
      </c>
      <c r="B349" s="3" t="s">
        <v>3</v>
      </c>
      <c r="C349" s="4" t="str">
        <f t="shared" si="25"/>
        <v>Hà Nội</v>
      </c>
      <c r="D349" s="3" t="s">
        <v>86</v>
      </c>
      <c r="E349" s="4" t="str">
        <f t="shared" si="26"/>
        <v>Huyện Đan Phượng</v>
      </c>
      <c r="F349" s="3" t="s">
        <v>1113</v>
      </c>
      <c r="G349" s="4" t="str">
        <f>HYPERLINK("https://diaocthongthai.com/xa-lien-trung-dan-phuong/","Xã Liên Trung")</f>
        <v>Xã Liên Trung</v>
      </c>
    </row>
    <row r="350" spans="1:7" x14ac:dyDescent="0.25">
      <c r="A350" s="2">
        <v>349</v>
      </c>
      <c r="B350" s="3" t="s">
        <v>3</v>
      </c>
      <c r="C350" s="4" t="str">
        <f t="shared" si="25"/>
        <v>Hà Nội</v>
      </c>
      <c r="D350" s="3" t="s">
        <v>86</v>
      </c>
      <c r="E350" s="4" t="str">
        <f t="shared" si="26"/>
        <v>Huyện Đan Phượng</v>
      </c>
      <c r="F350" s="3" t="s">
        <v>1114</v>
      </c>
      <c r="G350" s="4" t="str">
        <f>HYPERLINK("https://diaocthongthai.com/xa-phuong-dinh-dan-phuong/","Xã Phương Đình")</f>
        <v>Xã Phương Đình</v>
      </c>
    </row>
    <row r="351" spans="1:7" x14ac:dyDescent="0.25">
      <c r="A351" s="2">
        <v>350</v>
      </c>
      <c r="B351" s="3" t="s">
        <v>3</v>
      </c>
      <c r="C351" s="4" t="str">
        <f t="shared" si="25"/>
        <v>Hà Nội</v>
      </c>
      <c r="D351" s="3" t="s">
        <v>86</v>
      </c>
      <c r="E351" s="4" t="str">
        <f t="shared" si="26"/>
        <v>Huyện Đan Phượng</v>
      </c>
      <c r="F351" s="3" t="s">
        <v>1115</v>
      </c>
      <c r="G351" s="4" t="str">
        <f>HYPERLINK("https://diaocthongthai.com/xa-thuong-mo-dan-phuong/","Xã Thượng Mỗ")</f>
        <v>Xã Thượng Mỗ</v>
      </c>
    </row>
    <row r="352" spans="1:7" x14ac:dyDescent="0.25">
      <c r="A352" s="2">
        <v>351</v>
      </c>
      <c r="B352" s="3" t="s">
        <v>3</v>
      </c>
      <c r="C352" s="4" t="str">
        <f t="shared" si="25"/>
        <v>Hà Nội</v>
      </c>
      <c r="D352" s="3" t="s">
        <v>86</v>
      </c>
      <c r="E352" s="4" t="str">
        <f t="shared" si="26"/>
        <v>Huyện Đan Phượng</v>
      </c>
      <c r="F352" s="3" t="s">
        <v>1116</v>
      </c>
      <c r="G352" s="4" t="str">
        <f>HYPERLINK("https://diaocthongthai.com/xa-tan-hoi-dan-phuong/","Xã Tân Hội")</f>
        <v>Xã Tân Hội</v>
      </c>
    </row>
    <row r="353" spans="1:7" x14ac:dyDescent="0.25">
      <c r="A353" s="2">
        <v>352</v>
      </c>
      <c r="B353" s="3" t="s">
        <v>3</v>
      </c>
      <c r="C353" s="4" t="str">
        <f t="shared" si="25"/>
        <v>Hà Nội</v>
      </c>
      <c r="D353" s="3" t="s">
        <v>86</v>
      </c>
      <c r="E353" s="4" t="str">
        <f t="shared" si="26"/>
        <v>Huyện Đan Phượng</v>
      </c>
      <c r="F353" s="3" t="s">
        <v>1117</v>
      </c>
      <c r="G353" s="4" t="str">
        <f>HYPERLINK("https://diaocthongthai.com/xa-tan-lap-dan-phuong/","Xã Tân Lập")</f>
        <v>Xã Tân Lập</v>
      </c>
    </row>
    <row r="354" spans="1:7" x14ac:dyDescent="0.25">
      <c r="A354" s="2">
        <v>353</v>
      </c>
      <c r="B354" s="3" t="s">
        <v>3</v>
      </c>
      <c r="C354" s="4" t="str">
        <f t="shared" si="25"/>
        <v>Hà Nội</v>
      </c>
      <c r="D354" s="3" t="s">
        <v>86</v>
      </c>
      <c r="E354" s="4" t="str">
        <f t="shared" si="26"/>
        <v>Huyện Đan Phượng</v>
      </c>
      <c r="F354" s="3" t="s">
        <v>1118</v>
      </c>
      <c r="G354" s="4" t="str">
        <f>HYPERLINK("https://diaocthongthai.com/xa-dan-phuong-dan-phuong/","Xã Đan Phượng")</f>
        <v>Xã Đan Phượng</v>
      </c>
    </row>
    <row r="355" spans="1:7" x14ac:dyDescent="0.25">
      <c r="A355" s="2">
        <v>354</v>
      </c>
      <c r="B355" s="3" t="s">
        <v>3</v>
      </c>
      <c r="C355" s="4" t="str">
        <f t="shared" si="25"/>
        <v>Hà Nội</v>
      </c>
      <c r="D355" s="3" t="s">
        <v>86</v>
      </c>
      <c r="E355" s="4" t="str">
        <f t="shared" si="26"/>
        <v>Huyện Đan Phượng</v>
      </c>
      <c r="F355" s="3" t="s">
        <v>1119</v>
      </c>
      <c r="G355" s="4" t="str">
        <f>HYPERLINK("https://diaocthongthai.com/xa-dong-thap-dan-phuong/","Xã Đồng Tháp")</f>
        <v>Xã Đồng Tháp</v>
      </c>
    </row>
    <row r="356" spans="1:7" x14ac:dyDescent="0.25">
      <c r="A356" s="2">
        <v>355</v>
      </c>
      <c r="B356" s="3" t="s">
        <v>3</v>
      </c>
      <c r="C356" s="4" t="str">
        <f t="shared" si="25"/>
        <v>Hà Nội</v>
      </c>
      <c r="D356" s="3" t="s">
        <v>86</v>
      </c>
      <c r="E356" s="4" t="str">
        <f t="shared" si="26"/>
        <v>Huyện Đan Phượng</v>
      </c>
      <c r="F356" s="3" t="s">
        <v>1120</v>
      </c>
      <c r="G356" s="4" t="str">
        <f>HYPERLINK("https://diaocthongthai.com/xa-song-phuong-dan-phuong/","Xã Song Phượng")</f>
        <v>Xã Song Phượng</v>
      </c>
    </row>
    <row r="357" spans="1:7" x14ac:dyDescent="0.25">
      <c r="A357" s="2">
        <v>356</v>
      </c>
      <c r="B357" s="3" t="s">
        <v>3</v>
      </c>
      <c r="C357" s="4" t="str">
        <f t="shared" si="25"/>
        <v>Hà Nội</v>
      </c>
      <c r="D357" s="3" t="s">
        <v>87</v>
      </c>
      <c r="E357" s="4" t="str">
        <f t="shared" ref="E357:E376" si="27">HYPERLINK("https://diaocthongthai.com/ban-do-huyen-hoai-duc-tp-ha-noi/","Huyện Hoài Đức")</f>
        <v>Huyện Hoài Đức</v>
      </c>
      <c r="F357" s="3" t="s">
        <v>1121</v>
      </c>
      <c r="G357" s="4" t="str">
        <f>HYPERLINK("https://diaocthongthai.com/thi-tran-tram-troi-hoai-duc/","Thị trấn Trạm Trôi")</f>
        <v>Thị trấn Trạm Trôi</v>
      </c>
    </row>
    <row r="358" spans="1:7" x14ac:dyDescent="0.25">
      <c r="A358" s="2">
        <v>357</v>
      </c>
      <c r="B358" s="3" t="s">
        <v>3</v>
      </c>
      <c r="C358" s="4" t="str">
        <f t="shared" si="25"/>
        <v>Hà Nội</v>
      </c>
      <c r="D358" s="3" t="s">
        <v>87</v>
      </c>
      <c r="E358" s="4" t="str">
        <f t="shared" si="27"/>
        <v>Huyện Hoài Đức</v>
      </c>
      <c r="F358" s="3" t="s">
        <v>1122</v>
      </c>
      <c r="G358" s="4" t="str">
        <f>HYPERLINK("https://diaocthongthai.com/xa-duc-thuong-hoai-duc/","Xã Đức Thượng")</f>
        <v>Xã Đức Thượng</v>
      </c>
    </row>
    <row r="359" spans="1:7" x14ac:dyDescent="0.25">
      <c r="A359" s="2">
        <v>358</v>
      </c>
      <c r="B359" s="3" t="s">
        <v>3</v>
      </c>
      <c r="C359" s="4" t="str">
        <f t="shared" si="25"/>
        <v>Hà Nội</v>
      </c>
      <c r="D359" s="3" t="s">
        <v>87</v>
      </c>
      <c r="E359" s="4" t="str">
        <f t="shared" si="27"/>
        <v>Huyện Hoài Đức</v>
      </c>
      <c r="F359" s="3" t="s">
        <v>1123</v>
      </c>
      <c r="G359" s="4" t="str">
        <f>HYPERLINK("https://diaocthongthai.com/xa-minh-khai-hoai-duc/","Xã Minh Khai")</f>
        <v>Xã Minh Khai</v>
      </c>
    </row>
    <row r="360" spans="1:7" x14ac:dyDescent="0.25">
      <c r="A360" s="2">
        <v>359</v>
      </c>
      <c r="B360" s="3" t="s">
        <v>3</v>
      </c>
      <c r="C360" s="4" t="str">
        <f t="shared" si="25"/>
        <v>Hà Nội</v>
      </c>
      <c r="D360" s="3" t="s">
        <v>87</v>
      </c>
      <c r="E360" s="4" t="str">
        <f t="shared" si="27"/>
        <v>Huyện Hoài Đức</v>
      </c>
      <c r="F360" s="3" t="s">
        <v>1124</v>
      </c>
      <c r="G360" s="4" t="str">
        <f>HYPERLINK("https://diaocthongthai.com/xa-duong-lieu-hoai-duc/","Xã Dương Liễu")</f>
        <v>Xã Dương Liễu</v>
      </c>
    </row>
    <row r="361" spans="1:7" x14ac:dyDescent="0.25">
      <c r="A361" s="2">
        <v>360</v>
      </c>
      <c r="B361" s="3" t="s">
        <v>3</v>
      </c>
      <c r="C361" s="4" t="str">
        <f t="shared" si="25"/>
        <v>Hà Nội</v>
      </c>
      <c r="D361" s="3" t="s">
        <v>87</v>
      </c>
      <c r="E361" s="4" t="str">
        <f t="shared" si="27"/>
        <v>Huyện Hoài Đức</v>
      </c>
      <c r="F361" s="3" t="s">
        <v>1125</v>
      </c>
      <c r="G361" s="4" t="str">
        <f>HYPERLINK("https://diaocthongthai.com/xa-di-trach-hoai-duc/","Xã Di Trạch")</f>
        <v>Xã Di Trạch</v>
      </c>
    </row>
    <row r="362" spans="1:7" x14ac:dyDescent="0.25">
      <c r="A362" s="2">
        <v>361</v>
      </c>
      <c r="B362" s="3" t="s">
        <v>3</v>
      </c>
      <c r="C362" s="4" t="str">
        <f t="shared" si="25"/>
        <v>Hà Nội</v>
      </c>
      <c r="D362" s="3" t="s">
        <v>87</v>
      </c>
      <c r="E362" s="4" t="str">
        <f t="shared" si="27"/>
        <v>Huyện Hoài Đức</v>
      </c>
      <c r="F362" s="3" t="s">
        <v>1126</v>
      </c>
      <c r="G362" s="4" t="str">
        <f>HYPERLINK("https://diaocthongthai.com/xa-duc-giang-hoai-duc/","Xã Đức Giang")</f>
        <v>Xã Đức Giang</v>
      </c>
    </row>
    <row r="363" spans="1:7" x14ac:dyDescent="0.25">
      <c r="A363" s="2">
        <v>362</v>
      </c>
      <c r="B363" s="3" t="s">
        <v>3</v>
      </c>
      <c r="C363" s="4" t="str">
        <f t="shared" si="25"/>
        <v>Hà Nội</v>
      </c>
      <c r="D363" s="3" t="s">
        <v>87</v>
      </c>
      <c r="E363" s="4" t="str">
        <f t="shared" si="27"/>
        <v>Huyện Hoài Đức</v>
      </c>
      <c r="F363" s="3" t="s">
        <v>1127</v>
      </c>
      <c r="G363" s="4" t="str">
        <f>HYPERLINK("https://diaocthongthai.com/xa-cat-que-hoai-duc/","Xã Cát Quế")</f>
        <v>Xã Cát Quế</v>
      </c>
    </row>
    <row r="364" spans="1:7" x14ac:dyDescent="0.25">
      <c r="A364" s="2">
        <v>363</v>
      </c>
      <c r="B364" s="3" t="s">
        <v>3</v>
      </c>
      <c r="C364" s="4" t="str">
        <f t="shared" si="25"/>
        <v>Hà Nội</v>
      </c>
      <c r="D364" s="3" t="s">
        <v>87</v>
      </c>
      <c r="E364" s="4" t="str">
        <f t="shared" si="27"/>
        <v>Huyện Hoài Đức</v>
      </c>
      <c r="F364" s="3" t="s">
        <v>1128</v>
      </c>
      <c r="G364" s="4" t="str">
        <f>HYPERLINK("https://diaocthongthai.com/xa-kim-chung-hoai-duc/","Xã Kim Chung")</f>
        <v>Xã Kim Chung</v>
      </c>
    </row>
    <row r="365" spans="1:7" x14ac:dyDescent="0.25">
      <c r="A365" s="2">
        <v>364</v>
      </c>
      <c r="B365" s="3" t="s">
        <v>3</v>
      </c>
      <c r="C365" s="4" t="str">
        <f t="shared" si="25"/>
        <v>Hà Nội</v>
      </c>
      <c r="D365" s="3" t="s">
        <v>87</v>
      </c>
      <c r="E365" s="4" t="str">
        <f t="shared" si="27"/>
        <v>Huyện Hoài Đức</v>
      </c>
      <c r="F365" s="3" t="s">
        <v>1129</v>
      </c>
      <c r="G365" s="4" t="str">
        <f>HYPERLINK("https://diaocthongthai.com/xa-yen-so-hoai-duc/","Xã Yên Sở")</f>
        <v>Xã Yên Sở</v>
      </c>
    </row>
    <row r="366" spans="1:7" x14ac:dyDescent="0.25">
      <c r="A366" s="2">
        <v>365</v>
      </c>
      <c r="B366" s="3" t="s">
        <v>3</v>
      </c>
      <c r="C366" s="4" t="str">
        <f t="shared" si="25"/>
        <v>Hà Nội</v>
      </c>
      <c r="D366" s="3" t="s">
        <v>87</v>
      </c>
      <c r="E366" s="4" t="str">
        <f t="shared" si="27"/>
        <v>Huyện Hoài Đức</v>
      </c>
      <c r="F366" s="3" t="s">
        <v>1130</v>
      </c>
      <c r="G366" s="4" t="str">
        <f>HYPERLINK("https://diaocthongthai.com/xa-son-dong-hoai-duc/","Xã Sơn Đồng")</f>
        <v>Xã Sơn Đồng</v>
      </c>
    </row>
    <row r="367" spans="1:7" x14ac:dyDescent="0.25">
      <c r="A367" s="2">
        <v>366</v>
      </c>
      <c r="B367" s="3" t="s">
        <v>3</v>
      </c>
      <c r="C367" s="4" t="str">
        <f t="shared" si="25"/>
        <v>Hà Nội</v>
      </c>
      <c r="D367" s="3" t="s">
        <v>87</v>
      </c>
      <c r="E367" s="4" t="str">
        <f t="shared" si="27"/>
        <v>Huyện Hoài Đức</v>
      </c>
      <c r="F367" s="3" t="s">
        <v>1131</v>
      </c>
      <c r="G367" s="4" t="str">
        <f>HYPERLINK("https://diaocthongthai.com/xa-van-canh-hoai-duc/","Xã Vân Canh")</f>
        <v>Xã Vân Canh</v>
      </c>
    </row>
    <row r="368" spans="1:7" x14ac:dyDescent="0.25">
      <c r="A368" s="2">
        <v>367</v>
      </c>
      <c r="B368" s="3" t="s">
        <v>3</v>
      </c>
      <c r="C368" s="4" t="str">
        <f t="shared" si="25"/>
        <v>Hà Nội</v>
      </c>
      <c r="D368" s="3" t="s">
        <v>87</v>
      </c>
      <c r="E368" s="4" t="str">
        <f t="shared" si="27"/>
        <v>Huyện Hoài Đức</v>
      </c>
      <c r="F368" s="3" t="s">
        <v>1132</v>
      </c>
      <c r="G368" s="4" t="str">
        <f>HYPERLINK("https://diaocthongthai.com/xa-dac-so-hoai-duc/","Xã Đắc Sở")</f>
        <v>Xã Đắc Sở</v>
      </c>
    </row>
    <row r="369" spans="1:7" x14ac:dyDescent="0.25">
      <c r="A369" s="2">
        <v>368</v>
      </c>
      <c r="B369" s="3" t="s">
        <v>3</v>
      </c>
      <c r="C369" s="4" t="str">
        <f t="shared" si="25"/>
        <v>Hà Nội</v>
      </c>
      <c r="D369" s="3" t="s">
        <v>87</v>
      </c>
      <c r="E369" s="4" t="str">
        <f t="shared" si="27"/>
        <v>Huyện Hoài Đức</v>
      </c>
      <c r="F369" s="3" t="s">
        <v>1133</v>
      </c>
      <c r="G369" s="4" t="str">
        <f>HYPERLINK("https://diaocthongthai.com/xa-lai-yen-hoai-duc/","Xã Lại Yên")</f>
        <v>Xã Lại Yên</v>
      </c>
    </row>
    <row r="370" spans="1:7" x14ac:dyDescent="0.25">
      <c r="A370" s="2">
        <v>369</v>
      </c>
      <c r="B370" s="3" t="s">
        <v>3</v>
      </c>
      <c r="C370" s="4" t="str">
        <f t="shared" si="25"/>
        <v>Hà Nội</v>
      </c>
      <c r="D370" s="3" t="s">
        <v>87</v>
      </c>
      <c r="E370" s="4" t="str">
        <f t="shared" si="27"/>
        <v>Huyện Hoài Đức</v>
      </c>
      <c r="F370" s="3" t="s">
        <v>1134</v>
      </c>
      <c r="G370" s="4" t="str">
        <f>HYPERLINK("https://diaocthongthai.com/xa-tien-yen-hoai-duc/","Xã Tiền Yên")</f>
        <v>Xã Tiền Yên</v>
      </c>
    </row>
    <row r="371" spans="1:7" x14ac:dyDescent="0.25">
      <c r="A371" s="2">
        <v>370</v>
      </c>
      <c r="B371" s="3" t="s">
        <v>3</v>
      </c>
      <c r="C371" s="4" t="str">
        <f t="shared" si="25"/>
        <v>Hà Nội</v>
      </c>
      <c r="D371" s="3" t="s">
        <v>87</v>
      </c>
      <c r="E371" s="4" t="str">
        <f t="shared" si="27"/>
        <v>Huyện Hoài Đức</v>
      </c>
      <c r="F371" s="3" t="s">
        <v>1135</v>
      </c>
      <c r="G371" s="4" t="str">
        <f>HYPERLINK("https://diaocthongthai.com/xa-song-phuong-hoai-duc/","Xã Song Phương")</f>
        <v>Xã Song Phương</v>
      </c>
    </row>
    <row r="372" spans="1:7" x14ac:dyDescent="0.25">
      <c r="A372" s="2">
        <v>371</v>
      </c>
      <c r="B372" s="3" t="s">
        <v>3</v>
      </c>
      <c r="C372" s="4" t="str">
        <f t="shared" si="25"/>
        <v>Hà Nội</v>
      </c>
      <c r="D372" s="3" t="s">
        <v>87</v>
      </c>
      <c r="E372" s="4" t="str">
        <f t="shared" si="27"/>
        <v>Huyện Hoài Đức</v>
      </c>
      <c r="F372" s="3" t="s">
        <v>1136</v>
      </c>
      <c r="G372" s="4" t="str">
        <f>HYPERLINK("https://diaocthongthai.com/xa-an-khanh-hoai-duc/","Xã An Khánh")</f>
        <v>Xã An Khánh</v>
      </c>
    </row>
    <row r="373" spans="1:7" x14ac:dyDescent="0.25">
      <c r="A373" s="2">
        <v>372</v>
      </c>
      <c r="B373" s="3" t="s">
        <v>3</v>
      </c>
      <c r="C373" s="4" t="str">
        <f t="shared" si="25"/>
        <v>Hà Nội</v>
      </c>
      <c r="D373" s="3" t="s">
        <v>87</v>
      </c>
      <c r="E373" s="4" t="str">
        <f t="shared" si="27"/>
        <v>Huyện Hoài Đức</v>
      </c>
      <c r="F373" s="3" t="s">
        <v>1137</v>
      </c>
      <c r="G373" s="4" t="str">
        <f>HYPERLINK("https://diaocthongthai.com/xa-an-thuong-hoai-duc/","Xã An Thượng")</f>
        <v>Xã An Thượng</v>
      </c>
    </row>
    <row r="374" spans="1:7" x14ac:dyDescent="0.25">
      <c r="A374" s="2">
        <v>373</v>
      </c>
      <c r="B374" s="3" t="s">
        <v>3</v>
      </c>
      <c r="C374" s="4" t="str">
        <f t="shared" si="25"/>
        <v>Hà Nội</v>
      </c>
      <c r="D374" s="3" t="s">
        <v>87</v>
      </c>
      <c r="E374" s="4" t="str">
        <f t="shared" si="27"/>
        <v>Huyện Hoài Đức</v>
      </c>
      <c r="F374" s="3" t="s">
        <v>1138</v>
      </c>
      <c r="G374" s="4" t="str">
        <f>HYPERLINK("https://diaocthongthai.com/xa-van-con-hoai-duc/","Xã Vân Côn")</f>
        <v>Xã Vân Côn</v>
      </c>
    </row>
    <row r="375" spans="1:7" x14ac:dyDescent="0.25">
      <c r="A375" s="2">
        <v>374</v>
      </c>
      <c r="B375" s="3" t="s">
        <v>3</v>
      </c>
      <c r="C375" s="4" t="str">
        <f t="shared" si="25"/>
        <v>Hà Nội</v>
      </c>
      <c r="D375" s="3" t="s">
        <v>87</v>
      </c>
      <c r="E375" s="4" t="str">
        <f t="shared" si="27"/>
        <v>Huyện Hoài Đức</v>
      </c>
      <c r="F375" s="3" t="s">
        <v>1139</v>
      </c>
      <c r="G375" s="4" t="str">
        <f>HYPERLINK("https://diaocthongthai.com/xa-la-phu-hoai-duc/","Xã La Phù")</f>
        <v>Xã La Phù</v>
      </c>
    </row>
    <row r="376" spans="1:7" x14ac:dyDescent="0.25">
      <c r="A376" s="2">
        <v>375</v>
      </c>
      <c r="B376" s="3" t="s">
        <v>3</v>
      </c>
      <c r="C376" s="4" t="str">
        <f t="shared" si="25"/>
        <v>Hà Nội</v>
      </c>
      <c r="D376" s="3" t="s">
        <v>87</v>
      </c>
      <c r="E376" s="4" t="str">
        <f t="shared" si="27"/>
        <v>Huyện Hoài Đức</v>
      </c>
      <c r="F376" s="3" t="s">
        <v>1140</v>
      </c>
      <c r="G376" s="4" t="str">
        <f>HYPERLINK("https://diaocthongthai.com/xa-dong-la-hoai-duc/","Xã Đông La")</f>
        <v>Xã Đông La</v>
      </c>
    </row>
    <row r="377" spans="1:7" x14ac:dyDescent="0.25">
      <c r="A377" s="2">
        <v>376</v>
      </c>
      <c r="B377" s="3" t="s">
        <v>3</v>
      </c>
      <c r="C377" s="4" t="str">
        <f t="shared" si="25"/>
        <v>Hà Nội</v>
      </c>
      <c r="D377" s="3" t="s">
        <v>88</v>
      </c>
      <c r="E377" s="4" t="str">
        <f t="shared" ref="E377:E397" si="28">HYPERLINK("https://diaocthongthai.com/ban-do-huyen-quoc-oai-tp-ha-noi/","Huyện Quốc Oai")</f>
        <v>Huyện Quốc Oai</v>
      </c>
      <c r="F377" s="3" t="s">
        <v>1141</v>
      </c>
      <c r="G377" s="4" t="str">
        <f>HYPERLINK("https://diaocthongthai.com/xa-dong-xuan-quoc-oai/","Xã Đông Xuân")</f>
        <v>Xã Đông Xuân</v>
      </c>
    </row>
    <row r="378" spans="1:7" x14ac:dyDescent="0.25">
      <c r="A378" s="2">
        <v>377</v>
      </c>
      <c r="B378" s="3" t="s">
        <v>3</v>
      </c>
      <c r="C378" s="4" t="str">
        <f t="shared" si="25"/>
        <v>Hà Nội</v>
      </c>
      <c r="D378" s="3" t="s">
        <v>88</v>
      </c>
      <c r="E378" s="4" t="str">
        <f t="shared" si="28"/>
        <v>Huyện Quốc Oai</v>
      </c>
      <c r="F378" s="3" t="s">
        <v>1142</v>
      </c>
      <c r="G378" s="4" t="str">
        <f>HYPERLINK("https://diaocthongthai.com/thi-tran-quoc-oai-quoc-oai/","Thị trấn Quốc Oai")</f>
        <v>Thị trấn Quốc Oai</v>
      </c>
    </row>
    <row r="379" spans="1:7" x14ac:dyDescent="0.25">
      <c r="A379" s="2">
        <v>378</v>
      </c>
      <c r="B379" s="3" t="s">
        <v>3</v>
      </c>
      <c r="C379" s="4" t="str">
        <f t="shared" si="25"/>
        <v>Hà Nội</v>
      </c>
      <c r="D379" s="3" t="s">
        <v>88</v>
      </c>
      <c r="E379" s="4" t="str">
        <f t="shared" si="28"/>
        <v>Huyện Quốc Oai</v>
      </c>
      <c r="F379" s="3" t="s">
        <v>1143</v>
      </c>
      <c r="G379" s="4" t="str">
        <f>HYPERLINK("https://diaocthongthai.com/xa-sai-son-quoc-oai/","Xã Sài Sơn")</f>
        <v>Xã Sài Sơn</v>
      </c>
    </row>
    <row r="380" spans="1:7" x14ac:dyDescent="0.25">
      <c r="A380" s="2">
        <v>379</v>
      </c>
      <c r="B380" s="3" t="s">
        <v>3</v>
      </c>
      <c r="C380" s="4" t="str">
        <f t="shared" si="25"/>
        <v>Hà Nội</v>
      </c>
      <c r="D380" s="3" t="s">
        <v>88</v>
      </c>
      <c r="E380" s="4" t="str">
        <f t="shared" si="28"/>
        <v>Huyện Quốc Oai</v>
      </c>
      <c r="F380" s="3" t="s">
        <v>1144</v>
      </c>
      <c r="G380" s="4" t="str">
        <f>HYPERLINK("https://diaocthongthai.com/xa-phuong-cach-quoc-oai/","Xã Phượng Cách")</f>
        <v>Xã Phượng Cách</v>
      </c>
    </row>
    <row r="381" spans="1:7" x14ac:dyDescent="0.25">
      <c r="A381" s="2">
        <v>380</v>
      </c>
      <c r="B381" s="3" t="s">
        <v>3</v>
      </c>
      <c r="C381" s="4" t="str">
        <f t="shared" si="25"/>
        <v>Hà Nội</v>
      </c>
      <c r="D381" s="3" t="s">
        <v>88</v>
      </c>
      <c r="E381" s="4" t="str">
        <f t="shared" si="28"/>
        <v>Huyện Quốc Oai</v>
      </c>
      <c r="F381" s="3" t="s">
        <v>1145</v>
      </c>
      <c r="G381" s="4" t="str">
        <f>HYPERLINK("https://diaocthongthai.com/xa-yen-son-quoc-oai/","Xã Yên Sơn")</f>
        <v>Xã Yên Sơn</v>
      </c>
    </row>
    <row r="382" spans="1:7" x14ac:dyDescent="0.25">
      <c r="A382" s="2">
        <v>381</v>
      </c>
      <c r="B382" s="3" t="s">
        <v>3</v>
      </c>
      <c r="C382" s="4" t="str">
        <f t="shared" si="25"/>
        <v>Hà Nội</v>
      </c>
      <c r="D382" s="3" t="s">
        <v>88</v>
      </c>
      <c r="E382" s="4" t="str">
        <f t="shared" si="28"/>
        <v>Huyện Quốc Oai</v>
      </c>
      <c r="F382" s="3" t="s">
        <v>1146</v>
      </c>
      <c r="G382" s="4" t="str">
        <f>HYPERLINK("https://diaocthongthai.com/xa-ngoc-liep-quoc-oai/","Xã Ngọc Liệp")</f>
        <v>Xã Ngọc Liệp</v>
      </c>
    </row>
    <row r="383" spans="1:7" x14ac:dyDescent="0.25">
      <c r="A383" s="2">
        <v>382</v>
      </c>
      <c r="B383" s="3" t="s">
        <v>3</v>
      </c>
      <c r="C383" s="4" t="str">
        <f t="shared" si="25"/>
        <v>Hà Nội</v>
      </c>
      <c r="D383" s="3" t="s">
        <v>88</v>
      </c>
      <c r="E383" s="4" t="str">
        <f t="shared" si="28"/>
        <v>Huyện Quốc Oai</v>
      </c>
      <c r="F383" s="3" t="s">
        <v>1147</v>
      </c>
      <c r="G383" s="4" t="str">
        <f>HYPERLINK("https://diaocthongthai.com/xa-ngoc-my-quoc-oai/","Xã Ngọc Mỹ")</f>
        <v>Xã Ngọc Mỹ</v>
      </c>
    </row>
    <row r="384" spans="1:7" x14ac:dyDescent="0.25">
      <c r="A384" s="2">
        <v>383</v>
      </c>
      <c r="B384" s="3" t="s">
        <v>3</v>
      </c>
      <c r="C384" s="4" t="str">
        <f t="shared" si="25"/>
        <v>Hà Nội</v>
      </c>
      <c r="D384" s="3" t="s">
        <v>88</v>
      </c>
      <c r="E384" s="4" t="str">
        <f t="shared" si="28"/>
        <v>Huyện Quốc Oai</v>
      </c>
      <c r="F384" s="3" t="s">
        <v>1148</v>
      </c>
      <c r="G384" s="4" t="str">
        <f>HYPERLINK("https://diaocthongthai.com/xa-liep-tuyet-quoc-oai/","Xã Liệp Tuyết")</f>
        <v>Xã Liệp Tuyết</v>
      </c>
    </row>
    <row r="385" spans="1:7" x14ac:dyDescent="0.25">
      <c r="A385" s="2">
        <v>384</v>
      </c>
      <c r="B385" s="3" t="s">
        <v>3</v>
      </c>
      <c r="C385" s="4" t="str">
        <f t="shared" si="25"/>
        <v>Hà Nội</v>
      </c>
      <c r="D385" s="3" t="s">
        <v>88</v>
      </c>
      <c r="E385" s="4" t="str">
        <f t="shared" si="28"/>
        <v>Huyện Quốc Oai</v>
      </c>
      <c r="F385" s="3" t="s">
        <v>1149</v>
      </c>
      <c r="G385" s="4" t="str">
        <f>HYPERLINK("https://diaocthongthai.com/xa-thach-than-quoc-oai/","Xã Thạch Thán")</f>
        <v>Xã Thạch Thán</v>
      </c>
    </row>
    <row r="386" spans="1:7" x14ac:dyDescent="0.25">
      <c r="A386" s="2">
        <v>385</v>
      </c>
      <c r="B386" s="3" t="s">
        <v>3</v>
      </c>
      <c r="C386" s="4" t="str">
        <f t="shared" ref="C386:C449" si="29">HYPERLINK("https://diaocthongthai.com/ban-do-ha-noi/","Hà Nội")</f>
        <v>Hà Nội</v>
      </c>
      <c r="D386" s="3" t="s">
        <v>88</v>
      </c>
      <c r="E386" s="4" t="str">
        <f t="shared" si="28"/>
        <v>Huyện Quốc Oai</v>
      </c>
      <c r="F386" s="3" t="s">
        <v>1150</v>
      </c>
      <c r="G386" s="4" t="str">
        <f>HYPERLINK("https://diaocthongthai.com/xa-dong-quang-quoc-oai/","Xã Đồng Quang")</f>
        <v>Xã Đồng Quang</v>
      </c>
    </row>
    <row r="387" spans="1:7" x14ac:dyDescent="0.25">
      <c r="A387" s="2">
        <v>386</v>
      </c>
      <c r="B387" s="3" t="s">
        <v>3</v>
      </c>
      <c r="C387" s="4" t="str">
        <f t="shared" si="29"/>
        <v>Hà Nội</v>
      </c>
      <c r="D387" s="3" t="s">
        <v>88</v>
      </c>
      <c r="E387" s="4" t="str">
        <f t="shared" si="28"/>
        <v>Huyện Quốc Oai</v>
      </c>
      <c r="F387" s="3" t="s">
        <v>1151</v>
      </c>
      <c r="G387" s="4" t="str">
        <f>HYPERLINK("https://diaocthongthai.com/xa-phu-cat-quoc-oai/","Xã Phú Cát")</f>
        <v>Xã Phú Cát</v>
      </c>
    </row>
    <row r="388" spans="1:7" x14ac:dyDescent="0.25">
      <c r="A388" s="2">
        <v>387</v>
      </c>
      <c r="B388" s="3" t="s">
        <v>3</v>
      </c>
      <c r="C388" s="4" t="str">
        <f t="shared" si="29"/>
        <v>Hà Nội</v>
      </c>
      <c r="D388" s="3" t="s">
        <v>88</v>
      </c>
      <c r="E388" s="4" t="str">
        <f t="shared" si="28"/>
        <v>Huyện Quốc Oai</v>
      </c>
      <c r="F388" s="3" t="s">
        <v>1152</v>
      </c>
      <c r="G388" s="4" t="str">
        <f>HYPERLINK("https://diaocthongthai.com/xa-tuyet-nghia-quoc-oai/","Xã Tuyết Nghĩa")</f>
        <v>Xã Tuyết Nghĩa</v>
      </c>
    </row>
    <row r="389" spans="1:7" x14ac:dyDescent="0.25">
      <c r="A389" s="2">
        <v>388</v>
      </c>
      <c r="B389" s="3" t="s">
        <v>3</v>
      </c>
      <c r="C389" s="4" t="str">
        <f t="shared" si="29"/>
        <v>Hà Nội</v>
      </c>
      <c r="D389" s="3" t="s">
        <v>88</v>
      </c>
      <c r="E389" s="4" t="str">
        <f t="shared" si="28"/>
        <v>Huyện Quốc Oai</v>
      </c>
      <c r="F389" s="3" t="s">
        <v>1153</v>
      </c>
      <c r="G389" s="4" t="str">
        <f>HYPERLINK("https://diaocthongthai.com/xa-nghia-huong-quoc-oai/","Xã Nghĩa Hương")</f>
        <v>Xã Nghĩa Hương</v>
      </c>
    </row>
    <row r="390" spans="1:7" x14ac:dyDescent="0.25">
      <c r="A390" s="2">
        <v>389</v>
      </c>
      <c r="B390" s="3" t="s">
        <v>3</v>
      </c>
      <c r="C390" s="4" t="str">
        <f t="shared" si="29"/>
        <v>Hà Nội</v>
      </c>
      <c r="D390" s="3" t="s">
        <v>88</v>
      </c>
      <c r="E390" s="4" t="str">
        <f t="shared" si="28"/>
        <v>Huyện Quốc Oai</v>
      </c>
      <c r="F390" s="3" t="s">
        <v>1154</v>
      </c>
      <c r="G390" s="4" t="str">
        <f>HYPERLINK("https://diaocthongthai.com/xa-cong-hoa-quoc-oai/","Xã Cộng Hòa")</f>
        <v>Xã Cộng Hòa</v>
      </c>
    </row>
    <row r="391" spans="1:7" x14ac:dyDescent="0.25">
      <c r="A391" s="2">
        <v>390</v>
      </c>
      <c r="B391" s="3" t="s">
        <v>3</v>
      </c>
      <c r="C391" s="4" t="str">
        <f t="shared" si="29"/>
        <v>Hà Nội</v>
      </c>
      <c r="D391" s="3" t="s">
        <v>88</v>
      </c>
      <c r="E391" s="4" t="str">
        <f t="shared" si="28"/>
        <v>Huyện Quốc Oai</v>
      </c>
      <c r="F391" s="3" t="s">
        <v>1155</v>
      </c>
      <c r="G391" s="4" t="str">
        <f>HYPERLINK("https://diaocthongthai.com/xa-tan-phu-quoc-oai/","Xã Tân Phú")</f>
        <v>Xã Tân Phú</v>
      </c>
    </row>
    <row r="392" spans="1:7" x14ac:dyDescent="0.25">
      <c r="A392" s="2">
        <v>391</v>
      </c>
      <c r="B392" s="3" t="s">
        <v>3</v>
      </c>
      <c r="C392" s="4" t="str">
        <f t="shared" si="29"/>
        <v>Hà Nội</v>
      </c>
      <c r="D392" s="3" t="s">
        <v>88</v>
      </c>
      <c r="E392" s="4" t="str">
        <f t="shared" si="28"/>
        <v>Huyện Quốc Oai</v>
      </c>
      <c r="F392" s="3" t="s">
        <v>1156</v>
      </c>
      <c r="G392" s="4" t="str">
        <f>HYPERLINK("https://diaocthongthai.com/xa-dai-thanh-quoc-oai/","Xã Đại Thành")</f>
        <v>Xã Đại Thành</v>
      </c>
    </row>
    <row r="393" spans="1:7" x14ac:dyDescent="0.25">
      <c r="A393" s="2">
        <v>392</v>
      </c>
      <c r="B393" s="3" t="s">
        <v>3</v>
      </c>
      <c r="C393" s="4" t="str">
        <f t="shared" si="29"/>
        <v>Hà Nội</v>
      </c>
      <c r="D393" s="3" t="s">
        <v>88</v>
      </c>
      <c r="E393" s="4" t="str">
        <f t="shared" si="28"/>
        <v>Huyện Quốc Oai</v>
      </c>
      <c r="F393" s="3" t="s">
        <v>1157</v>
      </c>
      <c r="G393" s="4" t="str">
        <f>HYPERLINK("https://diaocthongthai.com/xa-phu-man-quoc-oai/","Xã Phú Mãn")</f>
        <v>Xã Phú Mãn</v>
      </c>
    </row>
    <row r="394" spans="1:7" x14ac:dyDescent="0.25">
      <c r="A394" s="2">
        <v>393</v>
      </c>
      <c r="B394" s="3" t="s">
        <v>3</v>
      </c>
      <c r="C394" s="4" t="str">
        <f t="shared" si="29"/>
        <v>Hà Nội</v>
      </c>
      <c r="D394" s="3" t="s">
        <v>88</v>
      </c>
      <c r="E394" s="4" t="str">
        <f t="shared" si="28"/>
        <v>Huyện Quốc Oai</v>
      </c>
      <c r="F394" s="3" t="s">
        <v>1158</v>
      </c>
      <c r="G394" s="4" t="str">
        <f>HYPERLINK("https://diaocthongthai.com/xa-can-huu-quoc-oai/","Xã Cấn Hữu")</f>
        <v>Xã Cấn Hữu</v>
      </c>
    </row>
    <row r="395" spans="1:7" x14ac:dyDescent="0.25">
      <c r="A395" s="2">
        <v>394</v>
      </c>
      <c r="B395" s="3" t="s">
        <v>3</v>
      </c>
      <c r="C395" s="4" t="str">
        <f t="shared" si="29"/>
        <v>Hà Nội</v>
      </c>
      <c r="D395" s="3" t="s">
        <v>88</v>
      </c>
      <c r="E395" s="4" t="str">
        <f t="shared" si="28"/>
        <v>Huyện Quốc Oai</v>
      </c>
      <c r="F395" s="3" t="s">
        <v>1159</v>
      </c>
      <c r="G395" s="4" t="str">
        <f>HYPERLINK("https://diaocthongthai.com/xa-tan-hoa-quoc-oai/","Xã Tân Hòa")</f>
        <v>Xã Tân Hòa</v>
      </c>
    </row>
    <row r="396" spans="1:7" x14ac:dyDescent="0.25">
      <c r="A396" s="2">
        <v>395</v>
      </c>
      <c r="B396" s="3" t="s">
        <v>3</v>
      </c>
      <c r="C396" s="4" t="str">
        <f t="shared" si="29"/>
        <v>Hà Nội</v>
      </c>
      <c r="D396" s="3" t="s">
        <v>88</v>
      </c>
      <c r="E396" s="4" t="str">
        <f t="shared" si="28"/>
        <v>Huyện Quốc Oai</v>
      </c>
      <c r="F396" s="3" t="s">
        <v>1160</v>
      </c>
      <c r="G396" s="4" t="str">
        <f>HYPERLINK("https://diaocthongthai.com/xa-hoa-thach-quoc-oai/","Xã Hòa Thạch")</f>
        <v>Xã Hòa Thạch</v>
      </c>
    </row>
    <row r="397" spans="1:7" x14ac:dyDescent="0.25">
      <c r="A397" s="2">
        <v>396</v>
      </c>
      <c r="B397" s="3" t="s">
        <v>3</v>
      </c>
      <c r="C397" s="4" t="str">
        <f t="shared" si="29"/>
        <v>Hà Nội</v>
      </c>
      <c r="D397" s="3" t="s">
        <v>88</v>
      </c>
      <c r="E397" s="4" t="str">
        <f t="shared" si="28"/>
        <v>Huyện Quốc Oai</v>
      </c>
      <c r="F397" s="3" t="s">
        <v>1161</v>
      </c>
      <c r="G397" s="4" t="str">
        <f>HYPERLINK("https://diaocthongthai.com/xa-dong-yen-quoc-oai/","Xã Đông Yên")</f>
        <v>Xã Đông Yên</v>
      </c>
    </row>
    <row r="398" spans="1:7" x14ac:dyDescent="0.25">
      <c r="A398" s="2">
        <v>397</v>
      </c>
      <c r="B398" s="3" t="s">
        <v>3</v>
      </c>
      <c r="C398" s="4" t="str">
        <f t="shared" si="29"/>
        <v>Hà Nội</v>
      </c>
      <c r="D398" s="3" t="s">
        <v>89</v>
      </c>
      <c r="E398" s="4" t="str">
        <f t="shared" ref="E398:E420" si="30">HYPERLINK("https://diaocthongthai.com/ban-do-huyen-thach-that-tp-ha-noi/","Huyện Thạch Thất")</f>
        <v>Huyện Thạch Thất</v>
      </c>
      <c r="F398" s="3" t="s">
        <v>1162</v>
      </c>
      <c r="G398" s="4" t="str">
        <f>HYPERLINK("https://diaocthongthai.com/xa-yen-trung-thach-that/","Xã Yên Trung")</f>
        <v>Xã Yên Trung</v>
      </c>
    </row>
    <row r="399" spans="1:7" x14ac:dyDescent="0.25">
      <c r="A399" s="2">
        <v>398</v>
      </c>
      <c r="B399" s="3" t="s">
        <v>3</v>
      </c>
      <c r="C399" s="4" t="str">
        <f t="shared" si="29"/>
        <v>Hà Nội</v>
      </c>
      <c r="D399" s="3" t="s">
        <v>89</v>
      </c>
      <c r="E399" s="4" t="str">
        <f t="shared" si="30"/>
        <v>Huyện Thạch Thất</v>
      </c>
      <c r="F399" s="3" t="s">
        <v>1163</v>
      </c>
      <c r="G399" s="4" t="str">
        <f>HYPERLINK("https://diaocthongthai.com/xa-yen-binh-thach-that/","Xã Yên Bình")</f>
        <v>Xã Yên Bình</v>
      </c>
    </row>
    <row r="400" spans="1:7" x14ac:dyDescent="0.25">
      <c r="A400" s="2">
        <v>399</v>
      </c>
      <c r="B400" s="3" t="s">
        <v>3</v>
      </c>
      <c r="C400" s="4" t="str">
        <f t="shared" si="29"/>
        <v>Hà Nội</v>
      </c>
      <c r="D400" s="3" t="s">
        <v>89</v>
      </c>
      <c r="E400" s="4" t="str">
        <f t="shared" si="30"/>
        <v>Huyện Thạch Thất</v>
      </c>
      <c r="F400" s="3" t="s">
        <v>1164</v>
      </c>
      <c r="G400" s="4" t="str">
        <f>HYPERLINK("https://diaocthongthai.com/xa-tien-xuan-thach-that/","Xã Tiến Xuân")</f>
        <v>Xã Tiến Xuân</v>
      </c>
    </row>
    <row r="401" spans="1:7" x14ac:dyDescent="0.25">
      <c r="A401" s="2">
        <v>400</v>
      </c>
      <c r="B401" s="3" t="s">
        <v>3</v>
      </c>
      <c r="C401" s="4" t="str">
        <f t="shared" si="29"/>
        <v>Hà Nội</v>
      </c>
      <c r="D401" s="3" t="s">
        <v>89</v>
      </c>
      <c r="E401" s="4" t="str">
        <f t="shared" si="30"/>
        <v>Huyện Thạch Thất</v>
      </c>
      <c r="F401" s="3" t="s">
        <v>1165</v>
      </c>
      <c r="G401" s="4" t="str">
        <f>HYPERLINK("https://diaocthongthai.com/thi-tran-lien-quan-thach-that/","Thị trấn Liên Quan")</f>
        <v>Thị trấn Liên Quan</v>
      </c>
    </row>
    <row r="402" spans="1:7" x14ac:dyDescent="0.25">
      <c r="A402" s="2">
        <v>401</v>
      </c>
      <c r="B402" s="3" t="s">
        <v>3</v>
      </c>
      <c r="C402" s="4" t="str">
        <f t="shared" si="29"/>
        <v>Hà Nội</v>
      </c>
      <c r="D402" s="3" t="s">
        <v>89</v>
      </c>
      <c r="E402" s="4" t="str">
        <f t="shared" si="30"/>
        <v>Huyện Thạch Thất</v>
      </c>
      <c r="F402" s="3" t="s">
        <v>1166</v>
      </c>
      <c r="G402" s="4" t="str">
        <f>HYPERLINK("https://diaocthongthai.com/xa-dai-dong-thach-that/","Xã Đại Đồng")</f>
        <v>Xã Đại Đồng</v>
      </c>
    </row>
    <row r="403" spans="1:7" x14ac:dyDescent="0.25">
      <c r="A403" s="2">
        <v>402</v>
      </c>
      <c r="B403" s="3" t="s">
        <v>3</v>
      </c>
      <c r="C403" s="4" t="str">
        <f t="shared" si="29"/>
        <v>Hà Nội</v>
      </c>
      <c r="D403" s="3" t="s">
        <v>89</v>
      </c>
      <c r="E403" s="4" t="str">
        <f t="shared" si="30"/>
        <v>Huyện Thạch Thất</v>
      </c>
      <c r="F403" s="3" t="s">
        <v>1167</v>
      </c>
      <c r="G403" s="4" t="str">
        <f>HYPERLINK("https://diaocthongthai.com/xa-cam-yen-thach-that/","Xã Cẩm Yên")</f>
        <v>Xã Cẩm Yên</v>
      </c>
    </row>
    <row r="404" spans="1:7" x14ac:dyDescent="0.25">
      <c r="A404" s="2">
        <v>403</v>
      </c>
      <c r="B404" s="3" t="s">
        <v>3</v>
      </c>
      <c r="C404" s="4" t="str">
        <f t="shared" si="29"/>
        <v>Hà Nội</v>
      </c>
      <c r="D404" s="3" t="s">
        <v>89</v>
      </c>
      <c r="E404" s="4" t="str">
        <f t="shared" si="30"/>
        <v>Huyện Thạch Thất</v>
      </c>
      <c r="F404" s="3" t="s">
        <v>1168</v>
      </c>
      <c r="G404" s="4" t="str">
        <f>HYPERLINK("https://diaocthongthai.com/xa-lai-thuong-thach-that/","Xã Lại Thượng")</f>
        <v>Xã Lại Thượng</v>
      </c>
    </row>
    <row r="405" spans="1:7" x14ac:dyDescent="0.25">
      <c r="A405" s="2">
        <v>404</v>
      </c>
      <c r="B405" s="3" t="s">
        <v>3</v>
      </c>
      <c r="C405" s="4" t="str">
        <f t="shared" si="29"/>
        <v>Hà Nội</v>
      </c>
      <c r="D405" s="3" t="s">
        <v>89</v>
      </c>
      <c r="E405" s="4" t="str">
        <f t="shared" si="30"/>
        <v>Huyện Thạch Thất</v>
      </c>
      <c r="F405" s="3" t="s">
        <v>1169</v>
      </c>
      <c r="G405" s="4" t="str">
        <f>HYPERLINK("https://diaocthongthai.com/xa-phu-kim-thach-that/","Xã Phú Kim")</f>
        <v>Xã Phú Kim</v>
      </c>
    </row>
    <row r="406" spans="1:7" x14ac:dyDescent="0.25">
      <c r="A406" s="2">
        <v>405</v>
      </c>
      <c r="B406" s="3" t="s">
        <v>3</v>
      </c>
      <c r="C406" s="4" t="str">
        <f t="shared" si="29"/>
        <v>Hà Nội</v>
      </c>
      <c r="D406" s="3" t="s">
        <v>89</v>
      </c>
      <c r="E406" s="4" t="str">
        <f t="shared" si="30"/>
        <v>Huyện Thạch Thất</v>
      </c>
      <c r="F406" s="3" t="s">
        <v>1170</v>
      </c>
      <c r="G406" s="4" t="str">
        <f>HYPERLINK("https://diaocthongthai.com/xa-huong-ngai-thach-that/","Xã Hương Ngải")</f>
        <v>Xã Hương Ngải</v>
      </c>
    </row>
    <row r="407" spans="1:7" x14ac:dyDescent="0.25">
      <c r="A407" s="2">
        <v>406</v>
      </c>
      <c r="B407" s="3" t="s">
        <v>3</v>
      </c>
      <c r="C407" s="4" t="str">
        <f t="shared" si="29"/>
        <v>Hà Nội</v>
      </c>
      <c r="D407" s="3" t="s">
        <v>89</v>
      </c>
      <c r="E407" s="4" t="str">
        <f t="shared" si="30"/>
        <v>Huyện Thạch Thất</v>
      </c>
      <c r="F407" s="3" t="s">
        <v>1171</v>
      </c>
      <c r="G407" s="4" t="str">
        <f>HYPERLINK("https://diaocthongthai.com/xa-canh-nau-thach-that/","Xã Canh Nậu")</f>
        <v>Xã Canh Nậu</v>
      </c>
    </row>
    <row r="408" spans="1:7" x14ac:dyDescent="0.25">
      <c r="A408" s="2">
        <v>407</v>
      </c>
      <c r="B408" s="3" t="s">
        <v>3</v>
      </c>
      <c r="C408" s="4" t="str">
        <f t="shared" si="29"/>
        <v>Hà Nội</v>
      </c>
      <c r="D408" s="3" t="s">
        <v>89</v>
      </c>
      <c r="E408" s="4" t="str">
        <f t="shared" si="30"/>
        <v>Huyện Thạch Thất</v>
      </c>
      <c r="F408" s="3" t="s">
        <v>1172</v>
      </c>
      <c r="G408" s="4" t="str">
        <f>HYPERLINK("https://diaocthongthai.com/xa-kim-quan-thach-that/","Xã Kim Quan")</f>
        <v>Xã Kim Quan</v>
      </c>
    </row>
    <row r="409" spans="1:7" x14ac:dyDescent="0.25">
      <c r="A409" s="2">
        <v>408</v>
      </c>
      <c r="B409" s="3" t="s">
        <v>3</v>
      </c>
      <c r="C409" s="4" t="str">
        <f t="shared" si="29"/>
        <v>Hà Nội</v>
      </c>
      <c r="D409" s="3" t="s">
        <v>89</v>
      </c>
      <c r="E409" s="4" t="str">
        <f t="shared" si="30"/>
        <v>Huyện Thạch Thất</v>
      </c>
      <c r="F409" s="3" t="s">
        <v>1173</v>
      </c>
      <c r="G409" s="4" t="str">
        <f>HYPERLINK("https://diaocthongthai.com/xa-di-nau-thach-that/","Xã Dị Nậu")</f>
        <v>Xã Dị Nậu</v>
      </c>
    </row>
    <row r="410" spans="1:7" x14ac:dyDescent="0.25">
      <c r="A410" s="2">
        <v>409</v>
      </c>
      <c r="B410" s="3" t="s">
        <v>3</v>
      </c>
      <c r="C410" s="4" t="str">
        <f t="shared" si="29"/>
        <v>Hà Nội</v>
      </c>
      <c r="D410" s="3" t="s">
        <v>89</v>
      </c>
      <c r="E410" s="4" t="str">
        <f t="shared" si="30"/>
        <v>Huyện Thạch Thất</v>
      </c>
      <c r="F410" s="3" t="s">
        <v>1174</v>
      </c>
      <c r="G410" s="4" t="str">
        <f>HYPERLINK("https://diaocthongthai.com/xa-binh-yen-thach-that/","Xã Bình Yên")</f>
        <v>Xã Bình Yên</v>
      </c>
    </row>
    <row r="411" spans="1:7" x14ac:dyDescent="0.25">
      <c r="A411" s="2">
        <v>410</v>
      </c>
      <c r="B411" s="3" t="s">
        <v>3</v>
      </c>
      <c r="C411" s="4" t="str">
        <f t="shared" si="29"/>
        <v>Hà Nội</v>
      </c>
      <c r="D411" s="3" t="s">
        <v>89</v>
      </c>
      <c r="E411" s="4" t="str">
        <f t="shared" si="30"/>
        <v>Huyện Thạch Thất</v>
      </c>
      <c r="F411" s="3" t="s">
        <v>1175</v>
      </c>
      <c r="G411" s="4" t="str">
        <f>HYPERLINK("https://diaocthongthai.com/xa-chang-son-thach-that/","Xã Chàng Sơn")</f>
        <v>Xã Chàng Sơn</v>
      </c>
    </row>
    <row r="412" spans="1:7" x14ac:dyDescent="0.25">
      <c r="A412" s="2">
        <v>411</v>
      </c>
      <c r="B412" s="3" t="s">
        <v>3</v>
      </c>
      <c r="C412" s="4" t="str">
        <f t="shared" si="29"/>
        <v>Hà Nội</v>
      </c>
      <c r="D412" s="3" t="s">
        <v>89</v>
      </c>
      <c r="E412" s="4" t="str">
        <f t="shared" si="30"/>
        <v>Huyện Thạch Thất</v>
      </c>
      <c r="F412" s="3" t="s">
        <v>1176</v>
      </c>
      <c r="G412" s="4" t="str">
        <f>HYPERLINK("https://diaocthongthai.com/xa-thach-hoa-thach-that/","Xã Thạch Hoà")</f>
        <v>Xã Thạch Hoà</v>
      </c>
    </row>
    <row r="413" spans="1:7" x14ac:dyDescent="0.25">
      <c r="A413" s="2">
        <v>412</v>
      </c>
      <c r="B413" s="3" t="s">
        <v>3</v>
      </c>
      <c r="C413" s="4" t="str">
        <f t="shared" si="29"/>
        <v>Hà Nội</v>
      </c>
      <c r="D413" s="3" t="s">
        <v>89</v>
      </c>
      <c r="E413" s="4" t="str">
        <f t="shared" si="30"/>
        <v>Huyện Thạch Thất</v>
      </c>
      <c r="F413" s="3" t="s">
        <v>1177</v>
      </c>
      <c r="G413" s="4" t="str">
        <f>HYPERLINK("https://diaocthongthai.com/xa-can-kiem-thach-that/","Xã Cần Kiệm")</f>
        <v>Xã Cần Kiệm</v>
      </c>
    </row>
    <row r="414" spans="1:7" x14ac:dyDescent="0.25">
      <c r="A414" s="2">
        <v>413</v>
      </c>
      <c r="B414" s="3" t="s">
        <v>3</v>
      </c>
      <c r="C414" s="4" t="str">
        <f t="shared" si="29"/>
        <v>Hà Nội</v>
      </c>
      <c r="D414" s="3" t="s">
        <v>89</v>
      </c>
      <c r="E414" s="4" t="str">
        <f t="shared" si="30"/>
        <v>Huyện Thạch Thất</v>
      </c>
      <c r="F414" s="3" t="s">
        <v>1178</v>
      </c>
      <c r="G414" s="4" t="str">
        <f>HYPERLINK("https://diaocthongthai.com/xa-huu-bang-thach-that/","Xã Hữu Bằng")</f>
        <v>Xã Hữu Bằng</v>
      </c>
    </row>
    <row r="415" spans="1:7" x14ac:dyDescent="0.25">
      <c r="A415" s="2">
        <v>414</v>
      </c>
      <c r="B415" s="3" t="s">
        <v>3</v>
      </c>
      <c r="C415" s="4" t="str">
        <f t="shared" si="29"/>
        <v>Hà Nội</v>
      </c>
      <c r="D415" s="3" t="s">
        <v>89</v>
      </c>
      <c r="E415" s="4" t="str">
        <f t="shared" si="30"/>
        <v>Huyện Thạch Thất</v>
      </c>
      <c r="F415" s="3" t="s">
        <v>1179</v>
      </c>
      <c r="G415" s="4" t="str">
        <f>HYPERLINK("https://diaocthongthai.com/xa-phung-xa-thach-that/","Xã Phùng Xá")</f>
        <v>Xã Phùng Xá</v>
      </c>
    </row>
    <row r="416" spans="1:7" x14ac:dyDescent="0.25">
      <c r="A416" s="2">
        <v>415</v>
      </c>
      <c r="B416" s="3" t="s">
        <v>3</v>
      </c>
      <c r="C416" s="4" t="str">
        <f t="shared" si="29"/>
        <v>Hà Nội</v>
      </c>
      <c r="D416" s="3" t="s">
        <v>89</v>
      </c>
      <c r="E416" s="4" t="str">
        <f t="shared" si="30"/>
        <v>Huyện Thạch Thất</v>
      </c>
      <c r="F416" s="3" t="s">
        <v>1180</v>
      </c>
      <c r="G416" s="4" t="str">
        <f>HYPERLINK("https://diaocthongthai.com/xa-tan-xa-thach-that/","Xã Tân Xã")</f>
        <v>Xã Tân Xã</v>
      </c>
    </row>
    <row r="417" spans="1:7" x14ac:dyDescent="0.25">
      <c r="A417" s="2">
        <v>416</v>
      </c>
      <c r="B417" s="3" t="s">
        <v>3</v>
      </c>
      <c r="C417" s="4" t="str">
        <f t="shared" si="29"/>
        <v>Hà Nội</v>
      </c>
      <c r="D417" s="3" t="s">
        <v>89</v>
      </c>
      <c r="E417" s="4" t="str">
        <f t="shared" si="30"/>
        <v>Huyện Thạch Thất</v>
      </c>
      <c r="F417" s="3" t="s">
        <v>1181</v>
      </c>
      <c r="G417" s="4" t="str">
        <f>HYPERLINK("https://diaocthongthai.com/xa-thach-xa-thach-that/","Xã Thạch Xá")</f>
        <v>Xã Thạch Xá</v>
      </c>
    </row>
    <row r="418" spans="1:7" x14ac:dyDescent="0.25">
      <c r="A418" s="2">
        <v>417</v>
      </c>
      <c r="B418" s="3" t="s">
        <v>3</v>
      </c>
      <c r="C418" s="4" t="str">
        <f t="shared" si="29"/>
        <v>Hà Nội</v>
      </c>
      <c r="D418" s="3" t="s">
        <v>89</v>
      </c>
      <c r="E418" s="4" t="str">
        <f t="shared" si="30"/>
        <v>Huyện Thạch Thất</v>
      </c>
      <c r="F418" s="3" t="s">
        <v>1182</v>
      </c>
      <c r="G418" s="4" t="str">
        <f>HYPERLINK("https://diaocthongthai.com/xa-binh-phu-thach-that/","Xã Bình Phú")</f>
        <v>Xã Bình Phú</v>
      </c>
    </row>
    <row r="419" spans="1:7" x14ac:dyDescent="0.25">
      <c r="A419" s="2">
        <v>418</v>
      </c>
      <c r="B419" s="3" t="s">
        <v>3</v>
      </c>
      <c r="C419" s="4" t="str">
        <f t="shared" si="29"/>
        <v>Hà Nội</v>
      </c>
      <c r="D419" s="3" t="s">
        <v>89</v>
      </c>
      <c r="E419" s="4" t="str">
        <f t="shared" si="30"/>
        <v>Huyện Thạch Thất</v>
      </c>
      <c r="F419" s="3" t="s">
        <v>1183</v>
      </c>
      <c r="G419" s="4" t="str">
        <f>HYPERLINK("https://diaocthongthai.com/xa-ha-bang-thach-that/","Xã Hạ Bằng")</f>
        <v>Xã Hạ Bằng</v>
      </c>
    </row>
    <row r="420" spans="1:7" x14ac:dyDescent="0.25">
      <c r="A420" s="2">
        <v>419</v>
      </c>
      <c r="B420" s="3" t="s">
        <v>3</v>
      </c>
      <c r="C420" s="4" t="str">
        <f t="shared" si="29"/>
        <v>Hà Nội</v>
      </c>
      <c r="D420" s="3" t="s">
        <v>89</v>
      </c>
      <c r="E420" s="4" t="str">
        <f t="shared" si="30"/>
        <v>Huyện Thạch Thất</v>
      </c>
      <c r="F420" s="3" t="s">
        <v>1184</v>
      </c>
      <c r="G420" s="4" t="str">
        <f>HYPERLINK("https://diaocthongthai.com/xa-dong-truc-thach-that/","Xã Đồng Trúc")</f>
        <v>Xã Đồng Trúc</v>
      </c>
    </row>
    <row r="421" spans="1:7" x14ac:dyDescent="0.25">
      <c r="A421" s="2">
        <v>420</v>
      </c>
      <c r="B421" s="3" t="s">
        <v>3</v>
      </c>
      <c r="C421" s="4" t="str">
        <f t="shared" si="29"/>
        <v>Hà Nội</v>
      </c>
      <c r="D421" s="3" t="s">
        <v>90</v>
      </c>
      <c r="E421" s="4" t="str">
        <f t="shared" ref="E421:E452" si="31">HYPERLINK("https://diaocthongthai.com/ban-do-huyen-chuong-my-tp-ha-noi/","Huyện Chương Mỹ")</f>
        <v>Huyện Chương Mỹ</v>
      </c>
      <c r="F421" s="3" t="s">
        <v>1185</v>
      </c>
      <c r="G421" s="4" t="str">
        <f>HYPERLINK("https://diaocthongthai.com/thi-tran-chuc-son-chuong-my/","Thị trấn Chúc Sơn")</f>
        <v>Thị trấn Chúc Sơn</v>
      </c>
    </row>
    <row r="422" spans="1:7" x14ac:dyDescent="0.25">
      <c r="A422" s="2">
        <v>421</v>
      </c>
      <c r="B422" s="3" t="s">
        <v>3</v>
      </c>
      <c r="C422" s="4" t="str">
        <f t="shared" si="29"/>
        <v>Hà Nội</v>
      </c>
      <c r="D422" s="3" t="s">
        <v>90</v>
      </c>
      <c r="E422" s="4" t="str">
        <f t="shared" si="31"/>
        <v>Huyện Chương Mỹ</v>
      </c>
      <c r="F422" s="3" t="s">
        <v>1186</v>
      </c>
      <c r="G422" s="4" t="str">
        <f>HYPERLINK("https://diaocthongthai.com/thi-tran-xuan-mai-chuong-my/","Thị trấn Xuân Mai")</f>
        <v>Thị trấn Xuân Mai</v>
      </c>
    </row>
    <row r="423" spans="1:7" x14ac:dyDescent="0.25">
      <c r="A423" s="2">
        <v>422</v>
      </c>
      <c r="B423" s="3" t="s">
        <v>3</v>
      </c>
      <c r="C423" s="4" t="str">
        <f t="shared" si="29"/>
        <v>Hà Nội</v>
      </c>
      <c r="D423" s="3" t="s">
        <v>90</v>
      </c>
      <c r="E423" s="4" t="str">
        <f t="shared" si="31"/>
        <v>Huyện Chương Mỹ</v>
      </c>
      <c r="F423" s="3" t="s">
        <v>1187</v>
      </c>
      <c r="G423" s="4" t="str">
        <f>HYPERLINK("https://diaocthongthai.com/xa-phung-chau-chuong-my/","Xã Phụng Châu")</f>
        <v>Xã Phụng Châu</v>
      </c>
    </row>
    <row r="424" spans="1:7" x14ac:dyDescent="0.25">
      <c r="A424" s="2">
        <v>423</v>
      </c>
      <c r="B424" s="3" t="s">
        <v>3</v>
      </c>
      <c r="C424" s="4" t="str">
        <f t="shared" si="29"/>
        <v>Hà Nội</v>
      </c>
      <c r="D424" s="3" t="s">
        <v>90</v>
      </c>
      <c r="E424" s="4" t="str">
        <f t="shared" si="31"/>
        <v>Huyện Chương Mỹ</v>
      </c>
      <c r="F424" s="3" t="s">
        <v>1188</v>
      </c>
      <c r="G424" s="4" t="str">
        <f>HYPERLINK("https://diaocthongthai.com/xa-tien-phuong-chuong-my/","Xã Tiên Phương")</f>
        <v>Xã Tiên Phương</v>
      </c>
    </row>
    <row r="425" spans="1:7" x14ac:dyDescent="0.25">
      <c r="A425" s="2">
        <v>424</v>
      </c>
      <c r="B425" s="3" t="s">
        <v>3</v>
      </c>
      <c r="C425" s="4" t="str">
        <f t="shared" si="29"/>
        <v>Hà Nội</v>
      </c>
      <c r="D425" s="3" t="s">
        <v>90</v>
      </c>
      <c r="E425" s="4" t="str">
        <f t="shared" si="31"/>
        <v>Huyện Chương Mỹ</v>
      </c>
      <c r="F425" s="3" t="s">
        <v>1189</v>
      </c>
      <c r="G425" s="4" t="str">
        <f>HYPERLINK("https://diaocthongthai.com/xa-dong-son-chuong-my/","Xã Đông Sơn")</f>
        <v>Xã Đông Sơn</v>
      </c>
    </row>
    <row r="426" spans="1:7" x14ac:dyDescent="0.25">
      <c r="A426" s="2">
        <v>425</v>
      </c>
      <c r="B426" s="3" t="s">
        <v>3</v>
      </c>
      <c r="C426" s="4" t="str">
        <f t="shared" si="29"/>
        <v>Hà Nội</v>
      </c>
      <c r="D426" s="3" t="s">
        <v>90</v>
      </c>
      <c r="E426" s="4" t="str">
        <f t="shared" si="31"/>
        <v>Huyện Chương Mỹ</v>
      </c>
      <c r="F426" s="3" t="s">
        <v>1190</v>
      </c>
      <c r="G426" s="4" t="str">
        <f>HYPERLINK("https://diaocthongthai.com/xa-dong-phuong-yen-chuong-my/","Xã Đông Phương Yên")</f>
        <v>Xã Đông Phương Yên</v>
      </c>
    </row>
    <row r="427" spans="1:7" x14ac:dyDescent="0.25">
      <c r="A427" s="2">
        <v>426</v>
      </c>
      <c r="B427" s="3" t="s">
        <v>3</v>
      </c>
      <c r="C427" s="4" t="str">
        <f t="shared" si="29"/>
        <v>Hà Nội</v>
      </c>
      <c r="D427" s="3" t="s">
        <v>90</v>
      </c>
      <c r="E427" s="4" t="str">
        <f t="shared" si="31"/>
        <v>Huyện Chương Mỹ</v>
      </c>
      <c r="F427" s="3" t="s">
        <v>1191</v>
      </c>
      <c r="G427" s="4" t="str">
        <f>HYPERLINK("https://diaocthongthai.com/xa-phu-nghia-chuong-my/","Xã Phú Nghĩa")</f>
        <v>Xã Phú Nghĩa</v>
      </c>
    </row>
    <row r="428" spans="1:7" x14ac:dyDescent="0.25">
      <c r="A428" s="2">
        <v>427</v>
      </c>
      <c r="B428" s="3" t="s">
        <v>3</v>
      </c>
      <c r="C428" s="4" t="str">
        <f t="shared" si="29"/>
        <v>Hà Nội</v>
      </c>
      <c r="D428" s="3" t="s">
        <v>90</v>
      </c>
      <c r="E428" s="4" t="str">
        <f t="shared" si="31"/>
        <v>Huyện Chương Mỹ</v>
      </c>
      <c r="F428" s="3" t="s">
        <v>1192</v>
      </c>
      <c r="G428" s="4" t="str">
        <f>HYPERLINK("https://diaocthongthai.com/xa-truong-yen-chuong-my/","Xã Trường Yên")</f>
        <v>Xã Trường Yên</v>
      </c>
    </row>
    <row r="429" spans="1:7" x14ac:dyDescent="0.25">
      <c r="A429" s="2">
        <v>428</v>
      </c>
      <c r="B429" s="3" t="s">
        <v>3</v>
      </c>
      <c r="C429" s="4" t="str">
        <f t="shared" si="29"/>
        <v>Hà Nội</v>
      </c>
      <c r="D429" s="3" t="s">
        <v>90</v>
      </c>
      <c r="E429" s="4" t="str">
        <f t="shared" si="31"/>
        <v>Huyện Chương Mỹ</v>
      </c>
      <c r="F429" s="3" t="s">
        <v>1193</v>
      </c>
      <c r="G429" s="4" t="str">
        <f>HYPERLINK("https://diaocthongthai.com/xa-ngoc-hoa-chuong-my/","Xã Ngọc Hòa")</f>
        <v>Xã Ngọc Hòa</v>
      </c>
    </row>
    <row r="430" spans="1:7" x14ac:dyDescent="0.25">
      <c r="A430" s="2">
        <v>429</v>
      </c>
      <c r="B430" s="3" t="s">
        <v>3</v>
      </c>
      <c r="C430" s="4" t="str">
        <f t="shared" si="29"/>
        <v>Hà Nội</v>
      </c>
      <c r="D430" s="3" t="s">
        <v>90</v>
      </c>
      <c r="E430" s="4" t="str">
        <f t="shared" si="31"/>
        <v>Huyện Chương Mỹ</v>
      </c>
      <c r="F430" s="3" t="s">
        <v>1194</v>
      </c>
      <c r="G430" s="4" t="str">
        <f>HYPERLINK("https://diaocthongthai.com/xa-thuy-xuan-tien-chuong-my/","Xã Thủy Xuân Tiên")</f>
        <v>Xã Thủy Xuân Tiên</v>
      </c>
    </row>
    <row r="431" spans="1:7" x14ac:dyDescent="0.25">
      <c r="A431" s="2">
        <v>430</v>
      </c>
      <c r="B431" s="3" t="s">
        <v>3</v>
      </c>
      <c r="C431" s="4" t="str">
        <f t="shared" si="29"/>
        <v>Hà Nội</v>
      </c>
      <c r="D431" s="3" t="s">
        <v>90</v>
      </c>
      <c r="E431" s="4" t="str">
        <f t="shared" si="31"/>
        <v>Huyện Chương Mỹ</v>
      </c>
      <c r="F431" s="3" t="s">
        <v>1195</v>
      </c>
      <c r="G431" s="4" t="str">
        <f>HYPERLINK("https://diaocthongthai.com/xa-thanh-binh-chuong-my/","Xã Thanh Bình")</f>
        <v>Xã Thanh Bình</v>
      </c>
    </row>
    <row r="432" spans="1:7" x14ac:dyDescent="0.25">
      <c r="A432" s="2">
        <v>431</v>
      </c>
      <c r="B432" s="3" t="s">
        <v>3</v>
      </c>
      <c r="C432" s="4" t="str">
        <f t="shared" si="29"/>
        <v>Hà Nội</v>
      </c>
      <c r="D432" s="3" t="s">
        <v>90</v>
      </c>
      <c r="E432" s="4" t="str">
        <f t="shared" si="31"/>
        <v>Huyện Chương Mỹ</v>
      </c>
      <c r="F432" s="3" t="s">
        <v>1196</v>
      </c>
      <c r="G432" s="4" t="str">
        <f>HYPERLINK("https://diaocthongthai.com/xa-trung-hoa-chuong-my/","Xã Trung Hòa")</f>
        <v>Xã Trung Hòa</v>
      </c>
    </row>
    <row r="433" spans="1:7" x14ac:dyDescent="0.25">
      <c r="A433" s="2">
        <v>432</v>
      </c>
      <c r="B433" s="3" t="s">
        <v>3</v>
      </c>
      <c r="C433" s="4" t="str">
        <f t="shared" si="29"/>
        <v>Hà Nội</v>
      </c>
      <c r="D433" s="3" t="s">
        <v>90</v>
      </c>
      <c r="E433" s="4" t="str">
        <f t="shared" si="31"/>
        <v>Huyện Chương Mỹ</v>
      </c>
      <c r="F433" s="3" t="s">
        <v>1197</v>
      </c>
      <c r="G433" s="4" t="str">
        <f>HYPERLINK("https://diaocthongthai.com/xa-dai-yen-chuong-my/","Xã Đại Yên")</f>
        <v>Xã Đại Yên</v>
      </c>
    </row>
    <row r="434" spans="1:7" x14ac:dyDescent="0.25">
      <c r="A434" s="2">
        <v>433</v>
      </c>
      <c r="B434" s="3" t="s">
        <v>3</v>
      </c>
      <c r="C434" s="4" t="str">
        <f t="shared" si="29"/>
        <v>Hà Nội</v>
      </c>
      <c r="D434" s="3" t="s">
        <v>90</v>
      </c>
      <c r="E434" s="4" t="str">
        <f t="shared" si="31"/>
        <v>Huyện Chương Mỹ</v>
      </c>
      <c r="F434" s="3" t="s">
        <v>1198</v>
      </c>
      <c r="G434" s="4" t="str">
        <f>HYPERLINK("https://diaocthongthai.com/xa-thuy-huong-chuong-my/","Xã Thụy Hương")</f>
        <v>Xã Thụy Hương</v>
      </c>
    </row>
    <row r="435" spans="1:7" x14ac:dyDescent="0.25">
      <c r="A435" s="2">
        <v>434</v>
      </c>
      <c r="B435" s="3" t="s">
        <v>3</v>
      </c>
      <c r="C435" s="4" t="str">
        <f t="shared" si="29"/>
        <v>Hà Nội</v>
      </c>
      <c r="D435" s="3" t="s">
        <v>90</v>
      </c>
      <c r="E435" s="4" t="str">
        <f t="shared" si="31"/>
        <v>Huyện Chương Mỹ</v>
      </c>
      <c r="F435" s="3" t="s">
        <v>1199</v>
      </c>
      <c r="G435" s="4" t="str">
        <f>HYPERLINK("https://diaocthongthai.com/xa-tot-dong-chuong-my/","Xã Tốt Động")</f>
        <v>Xã Tốt Động</v>
      </c>
    </row>
    <row r="436" spans="1:7" x14ac:dyDescent="0.25">
      <c r="A436" s="2">
        <v>435</v>
      </c>
      <c r="B436" s="3" t="s">
        <v>3</v>
      </c>
      <c r="C436" s="4" t="str">
        <f t="shared" si="29"/>
        <v>Hà Nội</v>
      </c>
      <c r="D436" s="3" t="s">
        <v>90</v>
      </c>
      <c r="E436" s="4" t="str">
        <f t="shared" si="31"/>
        <v>Huyện Chương Mỹ</v>
      </c>
      <c r="F436" s="3" t="s">
        <v>1200</v>
      </c>
      <c r="G436" s="4" t="str">
        <f>HYPERLINK("https://diaocthongthai.com/xa-lam-dien-chuong-my/","Xã Lam Điền")</f>
        <v>Xã Lam Điền</v>
      </c>
    </row>
    <row r="437" spans="1:7" x14ac:dyDescent="0.25">
      <c r="A437" s="2">
        <v>436</v>
      </c>
      <c r="B437" s="3" t="s">
        <v>3</v>
      </c>
      <c r="C437" s="4" t="str">
        <f t="shared" si="29"/>
        <v>Hà Nội</v>
      </c>
      <c r="D437" s="3" t="s">
        <v>90</v>
      </c>
      <c r="E437" s="4" t="str">
        <f t="shared" si="31"/>
        <v>Huyện Chương Mỹ</v>
      </c>
      <c r="F437" s="3" t="s">
        <v>1201</v>
      </c>
      <c r="G437" s="4" t="str">
        <f>HYPERLINK("https://diaocthongthai.com/xa-tan-tien-chuong-my/","Xã Tân Tiến")</f>
        <v>Xã Tân Tiến</v>
      </c>
    </row>
    <row r="438" spans="1:7" x14ac:dyDescent="0.25">
      <c r="A438" s="2">
        <v>437</v>
      </c>
      <c r="B438" s="3" t="s">
        <v>3</v>
      </c>
      <c r="C438" s="4" t="str">
        <f t="shared" si="29"/>
        <v>Hà Nội</v>
      </c>
      <c r="D438" s="3" t="s">
        <v>90</v>
      </c>
      <c r="E438" s="4" t="str">
        <f t="shared" si="31"/>
        <v>Huyện Chương Mỹ</v>
      </c>
      <c r="F438" s="3" t="s">
        <v>1202</v>
      </c>
      <c r="G438" s="4" t="str">
        <f>HYPERLINK("https://diaocthongthai.com/xa-nam-phuong-tien-chuong-my/","Xã Nam Phương Tiến")</f>
        <v>Xã Nam Phương Tiến</v>
      </c>
    </row>
    <row r="439" spans="1:7" x14ac:dyDescent="0.25">
      <c r="A439" s="2">
        <v>438</v>
      </c>
      <c r="B439" s="3" t="s">
        <v>3</v>
      </c>
      <c r="C439" s="4" t="str">
        <f t="shared" si="29"/>
        <v>Hà Nội</v>
      </c>
      <c r="D439" s="3" t="s">
        <v>90</v>
      </c>
      <c r="E439" s="4" t="str">
        <f t="shared" si="31"/>
        <v>Huyện Chương Mỹ</v>
      </c>
      <c r="F439" s="3" t="s">
        <v>1203</v>
      </c>
      <c r="G439" s="4" t="str">
        <f>HYPERLINK("https://diaocthongthai.com/xa-hop-dong-chuong-my/","Xã Hợp Đồng")</f>
        <v>Xã Hợp Đồng</v>
      </c>
    </row>
    <row r="440" spans="1:7" x14ac:dyDescent="0.25">
      <c r="A440" s="2">
        <v>439</v>
      </c>
      <c r="B440" s="3" t="s">
        <v>3</v>
      </c>
      <c r="C440" s="4" t="str">
        <f t="shared" si="29"/>
        <v>Hà Nội</v>
      </c>
      <c r="D440" s="3" t="s">
        <v>90</v>
      </c>
      <c r="E440" s="4" t="str">
        <f t="shared" si="31"/>
        <v>Huyện Chương Mỹ</v>
      </c>
      <c r="F440" s="3" t="s">
        <v>1204</v>
      </c>
      <c r="G440" s="4" t="str">
        <f>HYPERLINK("https://diaocthongthai.com/xa-hoang-van-thu-chuong-my/","Xã Hoàng Văn Thụ")</f>
        <v>Xã Hoàng Văn Thụ</v>
      </c>
    </row>
    <row r="441" spans="1:7" x14ac:dyDescent="0.25">
      <c r="A441" s="2">
        <v>440</v>
      </c>
      <c r="B441" s="3" t="s">
        <v>3</v>
      </c>
      <c r="C441" s="4" t="str">
        <f t="shared" si="29"/>
        <v>Hà Nội</v>
      </c>
      <c r="D441" s="3" t="s">
        <v>90</v>
      </c>
      <c r="E441" s="4" t="str">
        <f t="shared" si="31"/>
        <v>Huyện Chương Mỹ</v>
      </c>
      <c r="F441" s="3" t="s">
        <v>1205</v>
      </c>
      <c r="G441" s="4" t="str">
        <f>HYPERLINK("https://diaocthongthai.com/xa-hoang-dieu-chuong-my/","Xã Hoàng Diệu")</f>
        <v>Xã Hoàng Diệu</v>
      </c>
    </row>
    <row r="442" spans="1:7" x14ac:dyDescent="0.25">
      <c r="A442" s="2">
        <v>441</v>
      </c>
      <c r="B442" s="3" t="s">
        <v>3</v>
      </c>
      <c r="C442" s="4" t="str">
        <f t="shared" si="29"/>
        <v>Hà Nội</v>
      </c>
      <c r="D442" s="3" t="s">
        <v>90</v>
      </c>
      <c r="E442" s="4" t="str">
        <f t="shared" si="31"/>
        <v>Huyện Chương Mỹ</v>
      </c>
      <c r="F442" s="3" t="s">
        <v>1206</v>
      </c>
      <c r="G442" s="4" t="str">
        <f>HYPERLINK("https://diaocthongthai.com/xa-huu-van-chuong-my/","Xã Hữu Văn")</f>
        <v>Xã Hữu Văn</v>
      </c>
    </row>
    <row r="443" spans="1:7" x14ac:dyDescent="0.25">
      <c r="A443" s="2">
        <v>442</v>
      </c>
      <c r="B443" s="3" t="s">
        <v>3</v>
      </c>
      <c r="C443" s="4" t="str">
        <f t="shared" si="29"/>
        <v>Hà Nội</v>
      </c>
      <c r="D443" s="3" t="s">
        <v>90</v>
      </c>
      <c r="E443" s="4" t="str">
        <f t="shared" si="31"/>
        <v>Huyện Chương Mỹ</v>
      </c>
      <c r="F443" s="3" t="s">
        <v>1207</v>
      </c>
      <c r="G443" s="4" t="str">
        <f>HYPERLINK("https://diaocthongthai.com/xa-quang-bi-chuong-my/","Xã Quảng Bị")</f>
        <v>Xã Quảng Bị</v>
      </c>
    </row>
    <row r="444" spans="1:7" x14ac:dyDescent="0.25">
      <c r="A444" s="2">
        <v>443</v>
      </c>
      <c r="B444" s="3" t="s">
        <v>3</v>
      </c>
      <c r="C444" s="4" t="str">
        <f t="shared" si="29"/>
        <v>Hà Nội</v>
      </c>
      <c r="D444" s="3" t="s">
        <v>90</v>
      </c>
      <c r="E444" s="4" t="str">
        <f t="shared" si="31"/>
        <v>Huyện Chương Mỹ</v>
      </c>
      <c r="F444" s="3" t="s">
        <v>1208</v>
      </c>
      <c r="G444" s="4" t="str">
        <f>HYPERLINK("https://diaocthongthai.com/xa-my-luong-chuong-my/","Xã Mỹ Lương")</f>
        <v>Xã Mỹ Lương</v>
      </c>
    </row>
    <row r="445" spans="1:7" x14ac:dyDescent="0.25">
      <c r="A445" s="2">
        <v>444</v>
      </c>
      <c r="B445" s="3" t="s">
        <v>3</v>
      </c>
      <c r="C445" s="4" t="str">
        <f t="shared" si="29"/>
        <v>Hà Nội</v>
      </c>
      <c r="D445" s="3" t="s">
        <v>90</v>
      </c>
      <c r="E445" s="4" t="str">
        <f t="shared" si="31"/>
        <v>Huyện Chương Mỹ</v>
      </c>
      <c r="F445" s="3" t="s">
        <v>1209</v>
      </c>
      <c r="G445" s="4" t="str">
        <f>HYPERLINK("https://diaocthongthai.com/xa-thuong-vuc-chuong-my/","Xã Thượng Vực")</f>
        <v>Xã Thượng Vực</v>
      </c>
    </row>
    <row r="446" spans="1:7" x14ac:dyDescent="0.25">
      <c r="A446" s="2">
        <v>445</v>
      </c>
      <c r="B446" s="3" t="s">
        <v>3</v>
      </c>
      <c r="C446" s="4" t="str">
        <f t="shared" si="29"/>
        <v>Hà Nội</v>
      </c>
      <c r="D446" s="3" t="s">
        <v>90</v>
      </c>
      <c r="E446" s="4" t="str">
        <f t="shared" si="31"/>
        <v>Huyện Chương Mỹ</v>
      </c>
      <c r="F446" s="3" t="s">
        <v>1210</v>
      </c>
      <c r="G446" s="4" t="str">
        <f>HYPERLINK("https://diaocthongthai.com/xa-hong-phong-chuong-my/","Xã Hồng Phong")</f>
        <v>Xã Hồng Phong</v>
      </c>
    </row>
    <row r="447" spans="1:7" x14ac:dyDescent="0.25">
      <c r="A447" s="2">
        <v>446</v>
      </c>
      <c r="B447" s="3" t="s">
        <v>3</v>
      </c>
      <c r="C447" s="4" t="str">
        <f t="shared" si="29"/>
        <v>Hà Nội</v>
      </c>
      <c r="D447" s="3" t="s">
        <v>90</v>
      </c>
      <c r="E447" s="4" t="str">
        <f t="shared" si="31"/>
        <v>Huyện Chương Mỹ</v>
      </c>
      <c r="F447" s="3" t="s">
        <v>1211</v>
      </c>
      <c r="G447" s="4" t="str">
        <f>HYPERLINK("https://diaocthongthai.com/xa-dong-phu-chuong-my/","Xã Đồng Phú")</f>
        <v>Xã Đồng Phú</v>
      </c>
    </row>
    <row r="448" spans="1:7" x14ac:dyDescent="0.25">
      <c r="A448" s="2">
        <v>447</v>
      </c>
      <c r="B448" s="3" t="s">
        <v>3</v>
      </c>
      <c r="C448" s="4" t="str">
        <f t="shared" si="29"/>
        <v>Hà Nội</v>
      </c>
      <c r="D448" s="3" t="s">
        <v>90</v>
      </c>
      <c r="E448" s="4" t="str">
        <f t="shared" si="31"/>
        <v>Huyện Chương Mỹ</v>
      </c>
      <c r="F448" s="3" t="s">
        <v>1212</v>
      </c>
      <c r="G448" s="4" t="str">
        <f>HYPERLINK("https://diaocthongthai.com/xa-tran-phu-chuong-my/","Xã Trần Phú")</f>
        <v>Xã Trần Phú</v>
      </c>
    </row>
    <row r="449" spans="1:7" x14ac:dyDescent="0.25">
      <c r="A449" s="2">
        <v>448</v>
      </c>
      <c r="B449" s="3" t="s">
        <v>3</v>
      </c>
      <c r="C449" s="4" t="str">
        <f t="shared" si="29"/>
        <v>Hà Nội</v>
      </c>
      <c r="D449" s="3" t="s">
        <v>90</v>
      </c>
      <c r="E449" s="4" t="str">
        <f t="shared" si="31"/>
        <v>Huyện Chương Mỹ</v>
      </c>
      <c r="F449" s="3" t="s">
        <v>1213</v>
      </c>
      <c r="G449" s="4" t="str">
        <f>HYPERLINK("https://diaocthongthai.com/xa-van-vo-chuong-my/","Xã Văn Võ")</f>
        <v>Xã Văn Võ</v>
      </c>
    </row>
    <row r="450" spans="1:7" x14ac:dyDescent="0.25">
      <c r="A450" s="2">
        <v>449</v>
      </c>
      <c r="B450" s="3" t="s">
        <v>3</v>
      </c>
      <c r="C450" s="4" t="str">
        <f t="shared" ref="C450:C513" si="32">HYPERLINK("https://diaocthongthai.com/ban-do-ha-noi/","Hà Nội")</f>
        <v>Hà Nội</v>
      </c>
      <c r="D450" s="3" t="s">
        <v>90</v>
      </c>
      <c r="E450" s="4" t="str">
        <f t="shared" si="31"/>
        <v>Huyện Chương Mỹ</v>
      </c>
      <c r="F450" s="3" t="s">
        <v>1214</v>
      </c>
      <c r="G450" s="4" t="str">
        <f>HYPERLINK("https://diaocthongthai.com/xa-dong-lac-chuong-my/","Xã Đồng Lạc")</f>
        <v>Xã Đồng Lạc</v>
      </c>
    </row>
    <row r="451" spans="1:7" x14ac:dyDescent="0.25">
      <c r="A451" s="2">
        <v>450</v>
      </c>
      <c r="B451" s="3" t="s">
        <v>3</v>
      </c>
      <c r="C451" s="4" t="str">
        <f t="shared" si="32"/>
        <v>Hà Nội</v>
      </c>
      <c r="D451" s="3" t="s">
        <v>90</v>
      </c>
      <c r="E451" s="4" t="str">
        <f t="shared" si="31"/>
        <v>Huyện Chương Mỹ</v>
      </c>
      <c r="F451" s="3" t="s">
        <v>1215</v>
      </c>
      <c r="G451" s="4" t="str">
        <f>HYPERLINK("https://diaocthongthai.com/xa-hoa-chinh-chuong-my/","Xã Hòa Chính")</f>
        <v>Xã Hòa Chính</v>
      </c>
    </row>
    <row r="452" spans="1:7" x14ac:dyDescent="0.25">
      <c r="A452" s="2">
        <v>451</v>
      </c>
      <c r="B452" s="3" t="s">
        <v>3</v>
      </c>
      <c r="C452" s="4" t="str">
        <f t="shared" si="32"/>
        <v>Hà Nội</v>
      </c>
      <c r="D452" s="3" t="s">
        <v>90</v>
      </c>
      <c r="E452" s="4" t="str">
        <f t="shared" si="31"/>
        <v>Huyện Chương Mỹ</v>
      </c>
      <c r="F452" s="3" t="s">
        <v>1216</v>
      </c>
      <c r="G452" s="4" t="str">
        <f>HYPERLINK("https://diaocthongthai.com/xa-phu-nam-an-chuong-my/","Xã Phú Nam An")</f>
        <v>Xã Phú Nam An</v>
      </c>
    </row>
    <row r="453" spans="1:7" x14ac:dyDescent="0.25">
      <c r="A453" s="2">
        <v>452</v>
      </c>
      <c r="B453" s="3" t="s">
        <v>3</v>
      </c>
      <c r="C453" s="4" t="str">
        <f t="shared" si="32"/>
        <v>Hà Nội</v>
      </c>
      <c r="D453" s="3" t="s">
        <v>91</v>
      </c>
      <c r="E453" s="4" t="str">
        <f t="shared" ref="E453:E473" si="33">HYPERLINK("https://diaocthongthai.com/ban-do-huyen-thanh-oai-tp-ha-noi/","Huyện Thanh Oai")</f>
        <v>Huyện Thanh Oai</v>
      </c>
      <c r="F453" s="3" t="s">
        <v>1217</v>
      </c>
      <c r="G453" s="4" t="str">
        <f>HYPERLINK("https://diaocthongthai.com/thi-tran-kim-bai-thanh-oai/","Thị trấn Kim Bài")</f>
        <v>Thị trấn Kim Bài</v>
      </c>
    </row>
    <row r="454" spans="1:7" x14ac:dyDescent="0.25">
      <c r="A454" s="2">
        <v>453</v>
      </c>
      <c r="B454" s="3" t="s">
        <v>3</v>
      </c>
      <c r="C454" s="4" t="str">
        <f t="shared" si="32"/>
        <v>Hà Nội</v>
      </c>
      <c r="D454" s="3" t="s">
        <v>91</v>
      </c>
      <c r="E454" s="4" t="str">
        <f t="shared" si="33"/>
        <v>Huyện Thanh Oai</v>
      </c>
      <c r="F454" s="3" t="s">
        <v>1218</v>
      </c>
      <c r="G454" s="4" t="str">
        <f>HYPERLINK("https://diaocthongthai.com/xa-cu-khe-thanh-oai/","Xã Cự Khê")</f>
        <v>Xã Cự Khê</v>
      </c>
    </row>
    <row r="455" spans="1:7" x14ac:dyDescent="0.25">
      <c r="A455" s="2">
        <v>454</v>
      </c>
      <c r="B455" s="3" t="s">
        <v>3</v>
      </c>
      <c r="C455" s="4" t="str">
        <f t="shared" si="32"/>
        <v>Hà Nội</v>
      </c>
      <c r="D455" s="3" t="s">
        <v>91</v>
      </c>
      <c r="E455" s="4" t="str">
        <f t="shared" si="33"/>
        <v>Huyện Thanh Oai</v>
      </c>
      <c r="F455" s="3" t="s">
        <v>1219</v>
      </c>
      <c r="G455" s="4" t="str">
        <f>HYPERLINK("https://diaocthongthai.com/xa-bich-hoa-thanh-oai/","Xã Bích Hòa")</f>
        <v>Xã Bích Hòa</v>
      </c>
    </row>
    <row r="456" spans="1:7" x14ac:dyDescent="0.25">
      <c r="A456" s="2">
        <v>455</v>
      </c>
      <c r="B456" s="3" t="s">
        <v>3</v>
      </c>
      <c r="C456" s="4" t="str">
        <f t="shared" si="32"/>
        <v>Hà Nội</v>
      </c>
      <c r="D456" s="3" t="s">
        <v>91</v>
      </c>
      <c r="E456" s="4" t="str">
        <f t="shared" si="33"/>
        <v>Huyện Thanh Oai</v>
      </c>
      <c r="F456" s="3" t="s">
        <v>1220</v>
      </c>
      <c r="G456" s="4" t="str">
        <f>HYPERLINK("https://diaocthongthai.com/xa-my-hung-thanh-oai/","Xã Mỹ Hưng")</f>
        <v>Xã Mỹ Hưng</v>
      </c>
    </row>
    <row r="457" spans="1:7" x14ac:dyDescent="0.25">
      <c r="A457" s="2">
        <v>456</v>
      </c>
      <c r="B457" s="3" t="s">
        <v>3</v>
      </c>
      <c r="C457" s="4" t="str">
        <f t="shared" si="32"/>
        <v>Hà Nội</v>
      </c>
      <c r="D457" s="3" t="s">
        <v>91</v>
      </c>
      <c r="E457" s="4" t="str">
        <f t="shared" si="33"/>
        <v>Huyện Thanh Oai</v>
      </c>
      <c r="F457" s="3" t="s">
        <v>1221</v>
      </c>
      <c r="G457" s="4" t="str">
        <f>HYPERLINK("https://diaocthongthai.com/xa-cao-vien-thanh-oai/","Xã Cao Viên")</f>
        <v>Xã Cao Viên</v>
      </c>
    </row>
    <row r="458" spans="1:7" x14ac:dyDescent="0.25">
      <c r="A458" s="2">
        <v>457</v>
      </c>
      <c r="B458" s="3" t="s">
        <v>3</v>
      </c>
      <c r="C458" s="4" t="str">
        <f t="shared" si="32"/>
        <v>Hà Nội</v>
      </c>
      <c r="D458" s="3" t="s">
        <v>91</v>
      </c>
      <c r="E458" s="4" t="str">
        <f t="shared" si="33"/>
        <v>Huyện Thanh Oai</v>
      </c>
      <c r="F458" s="3" t="s">
        <v>1222</v>
      </c>
      <c r="G458" s="4" t="str">
        <f>HYPERLINK("https://diaocthongthai.com/xa-binh-minh-thanh-oai/","Xã Bình Minh")</f>
        <v>Xã Bình Minh</v>
      </c>
    </row>
    <row r="459" spans="1:7" x14ac:dyDescent="0.25">
      <c r="A459" s="2">
        <v>458</v>
      </c>
      <c r="B459" s="3" t="s">
        <v>3</v>
      </c>
      <c r="C459" s="4" t="str">
        <f t="shared" si="32"/>
        <v>Hà Nội</v>
      </c>
      <c r="D459" s="3" t="s">
        <v>91</v>
      </c>
      <c r="E459" s="4" t="str">
        <f t="shared" si="33"/>
        <v>Huyện Thanh Oai</v>
      </c>
      <c r="F459" s="3" t="s">
        <v>1223</v>
      </c>
      <c r="G459" s="4" t="str">
        <f>HYPERLINK("https://diaocthongthai.com/xa-tam-hung-thanh-oai/","Xã Tam Hưng")</f>
        <v>Xã Tam Hưng</v>
      </c>
    </row>
    <row r="460" spans="1:7" x14ac:dyDescent="0.25">
      <c r="A460" s="2">
        <v>459</v>
      </c>
      <c r="B460" s="3" t="s">
        <v>3</v>
      </c>
      <c r="C460" s="4" t="str">
        <f t="shared" si="32"/>
        <v>Hà Nội</v>
      </c>
      <c r="D460" s="3" t="s">
        <v>91</v>
      </c>
      <c r="E460" s="4" t="str">
        <f t="shared" si="33"/>
        <v>Huyện Thanh Oai</v>
      </c>
      <c r="F460" s="3" t="s">
        <v>1224</v>
      </c>
      <c r="G460" s="4" t="str">
        <f>HYPERLINK("https://diaocthongthai.com/xa-thanh-cao-thanh-oai/","Xã Thanh Cao")</f>
        <v>Xã Thanh Cao</v>
      </c>
    </row>
    <row r="461" spans="1:7" x14ac:dyDescent="0.25">
      <c r="A461" s="2">
        <v>460</v>
      </c>
      <c r="B461" s="3" t="s">
        <v>3</v>
      </c>
      <c r="C461" s="4" t="str">
        <f t="shared" si="32"/>
        <v>Hà Nội</v>
      </c>
      <c r="D461" s="3" t="s">
        <v>91</v>
      </c>
      <c r="E461" s="4" t="str">
        <f t="shared" si="33"/>
        <v>Huyện Thanh Oai</v>
      </c>
      <c r="F461" s="3" t="s">
        <v>1225</v>
      </c>
      <c r="G461" s="4" t="str">
        <f>HYPERLINK("https://diaocthongthai.com/xa-thanh-thuy-thanh-oai/","Xã Thanh Thùy")</f>
        <v>Xã Thanh Thùy</v>
      </c>
    </row>
    <row r="462" spans="1:7" x14ac:dyDescent="0.25">
      <c r="A462" s="2">
        <v>461</v>
      </c>
      <c r="B462" s="3" t="s">
        <v>3</v>
      </c>
      <c r="C462" s="4" t="str">
        <f t="shared" si="32"/>
        <v>Hà Nội</v>
      </c>
      <c r="D462" s="3" t="s">
        <v>91</v>
      </c>
      <c r="E462" s="4" t="str">
        <f t="shared" si="33"/>
        <v>Huyện Thanh Oai</v>
      </c>
      <c r="F462" s="3" t="s">
        <v>1226</v>
      </c>
      <c r="G462" s="4" t="str">
        <f>HYPERLINK("https://diaocthongthai.com/xa-thanh-mai-thanh-oai/","Xã Thanh Mai")</f>
        <v>Xã Thanh Mai</v>
      </c>
    </row>
    <row r="463" spans="1:7" x14ac:dyDescent="0.25">
      <c r="A463" s="2">
        <v>462</v>
      </c>
      <c r="B463" s="3" t="s">
        <v>3</v>
      </c>
      <c r="C463" s="4" t="str">
        <f t="shared" si="32"/>
        <v>Hà Nội</v>
      </c>
      <c r="D463" s="3" t="s">
        <v>91</v>
      </c>
      <c r="E463" s="4" t="str">
        <f t="shared" si="33"/>
        <v>Huyện Thanh Oai</v>
      </c>
      <c r="F463" s="3" t="s">
        <v>1227</v>
      </c>
      <c r="G463" s="4" t="str">
        <f>HYPERLINK("https://diaocthongthai.com/xa-thanh-van-thanh-oai/","Xã Thanh Văn")</f>
        <v>Xã Thanh Văn</v>
      </c>
    </row>
    <row r="464" spans="1:7" x14ac:dyDescent="0.25">
      <c r="A464" s="2">
        <v>463</v>
      </c>
      <c r="B464" s="3" t="s">
        <v>3</v>
      </c>
      <c r="C464" s="4" t="str">
        <f t="shared" si="32"/>
        <v>Hà Nội</v>
      </c>
      <c r="D464" s="3" t="s">
        <v>91</v>
      </c>
      <c r="E464" s="4" t="str">
        <f t="shared" si="33"/>
        <v>Huyện Thanh Oai</v>
      </c>
      <c r="F464" s="3" t="s">
        <v>1228</v>
      </c>
      <c r="G464" s="4" t="str">
        <f>HYPERLINK("https://diaocthongthai.com/xa-do-dong-thanh-oai/","Xã Đỗ Động")</f>
        <v>Xã Đỗ Động</v>
      </c>
    </row>
    <row r="465" spans="1:7" x14ac:dyDescent="0.25">
      <c r="A465" s="2">
        <v>464</v>
      </c>
      <c r="B465" s="3" t="s">
        <v>3</v>
      </c>
      <c r="C465" s="4" t="str">
        <f t="shared" si="32"/>
        <v>Hà Nội</v>
      </c>
      <c r="D465" s="3" t="s">
        <v>91</v>
      </c>
      <c r="E465" s="4" t="str">
        <f t="shared" si="33"/>
        <v>Huyện Thanh Oai</v>
      </c>
      <c r="F465" s="3" t="s">
        <v>1229</v>
      </c>
      <c r="G465" s="4" t="str">
        <f>HYPERLINK("https://diaocthongthai.com/xa-kim-an-thanh-oai/","Xã Kim An")</f>
        <v>Xã Kim An</v>
      </c>
    </row>
    <row r="466" spans="1:7" x14ac:dyDescent="0.25">
      <c r="A466" s="2">
        <v>465</v>
      </c>
      <c r="B466" s="3" t="s">
        <v>3</v>
      </c>
      <c r="C466" s="4" t="str">
        <f t="shared" si="32"/>
        <v>Hà Nội</v>
      </c>
      <c r="D466" s="3" t="s">
        <v>91</v>
      </c>
      <c r="E466" s="4" t="str">
        <f t="shared" si="33"/>
        <v>Huyện Thanh Oai</v>
      </c>
      <c r="F466" s="3" t="s">
        <v>1230</v>
      </c>
      <c r="G466" s="4" t="str">
        <f>HYPERLINK("https://diaocthongthai.com/xa-kim-thu-thanh-oai/","Xã Kim Thư")</f>
        <v>Xã Kim Thư</v>
      </c>
    </row>
    <row r="467" spans="1:7" x14ac:dyDescent="0.25">
      <c r="A467" s="2">
        <v>466</v>
      </c>
      <c r="B467" s="3" t="s">
        <v>3</v>
      </c>
      <c r="C467" s="4" t="str">
        <f t="shared" si="32"/>
        <v>Hà Nội</v>
      </c>
      <c r="D467" s="3" t="s">
        <v>91</v>
      </c>
      <c r="E467" s="4" t="str">
        <f t="shared" si="33"/>
        <v>Huyện Thanh Oai</v>
      </c>
      <c r="F467" s="3" t="s">
        <v>1231</v>
      </c>
      <c r="G467" s="4" t="str">
        <f>HYPERLINK("https://diaocthongthai.com/xa-phuong-trung-thanh-oai/","Xã Phương Trung")</f>
        <v>Xã Phương Trung</v>
      </c>
    </row>
    <row r="468" spans="1:7" x14ac:dyDescent="0.25">
      <c r="A468" s="2">
        <v>467</v>
      </c>
      <c r="B468" s="3" t="s">
        <v>3</v>
      </c>
      <c r="C468" s="4" t="str">
        <f t="shared" si="32"/>
        <v>Hà Nội</v>
      </c>
      <c r="D468" s="3" t="s">
        <v>91</v>
      </c>
      <c r="E468" s="4" t="str">
        <f t="shared" si="33"/>
        <v>Huyện Thanh Oai</v>
      </c>
      <c r="F468" s="3" t="s">
        <v>1232</v>
      </c>
      <c r="G468" s="4" t="str">
        <f>HYPERLINK("https://diaocthongthai.com/xa-tan-uoc-thanh-oai/","Xã Tân Ước")</f>
        <v>Xã Tân Ước</v>
      </c>
    </row>
    <row r="469" spans="1:7" x14ac:dyDescent="0.25">
      <c r="A469" s="2">
        <v>468</v>
      </c>
      <c r="B469" s="3" t="s">
        <v>3</v>
      </c>
      <c r="C469" s="4" t="str">
        <f t="shared" si="32"/>
        <v>Hà Nội</v>
      </c>
      <c r="D469" s="3" t="s">
        <v>91</v>
      </c>
      <c r="E469" s="4" t="str">
        <f t="shared" si="33"/>
        <v>Huyện Thanh Oai</v>
      </c>
      <c r="F469" s="3" t="s">
        <v>1233</v>
      </c>
      <c r="G469" s="4" t="str">
        <f>HYPERLINK("https://diaocthongthai.com/xa-dan-hoa-thanh-oai/","Xã Dân Hòa")</f>
        <v>Xã Dân Hòa</v>
      </c>
    </row>
    <row r="470" spans="1:7" x14ac:dyDescent="0.25">
      <c r="A470" s="2">
        <v>469</v>
      </c>
      <c r="B470" s="3" t="s">
        <v>3</v>
      </c>
      <c r="C470" s="4" t="str">
        <f t="shared" si="32"/>
        <v>Hà Nội</v>
      </c>
      <c r="D470" s="3" t="s">
        <v>91</v>
      </c>
      <c r="E470" s="4" t="str">
        <f t="shared" si="33"/>
        <v>Huyện Thanh Oai</v>
      </c>
      <c r="F470" s="3" t="s">
        <v>1234</v>
      </c>
      <c r="G470" s="4" t="str">
        <f>HYPERLINK("https://diaocthongthai.com/xa-lien-chau-thanh-oai/","Xã Liên Châu")</f>
        <v>Xã Liên Châu</v>
      </c>
    </row>
    <row r="471" spans="1:7" x14ac:dyDescent="0.25">
      <c r="A471" s="2">
        <v>470</v>
      </c>
      <c r="B471" s="3" t="s">
        <v>3</v>
      </c>
      <c r="C471" s="4" t="str">
        <f t="shared" si="32"/>
        <v>Hà Nội</v>
      </c>
      <c r="D471" s="3" t="s">
        <v>91</v>
      </c>
      <c r="E471" s="4" t="str">
        <f t="shared" si="33"/>
        <v>Huyện Thanh Oai</v>
      </c>
      <c r="F471" s="3" t="s">
        <v>1235</v>
      </c>
      <c r="G471" s="4" t="str">
        <f>HYPERLINK("https://diaocthongthai.com/xa-cao-duong-thanh-oai/","Xã Cao Dương")</f>
        <v>Xã Cao Dương</v>
      </c>
    </row>
    <row r="472" spans="1:7" x14ac:dyDescent="0.25">
      <c r="A472" s="2">
        <v>471</v>
      </c>
      <c r="B472" s="3" t="s">
        <v>3</v>
      </c>
      <c r="C472" s="4" t="str">
        <f t="shared" si="32"/>
        <v>Hà Nội</v>
      </c>
      <c r="D472" s="3" t="s">
        <v>91</v>
      </c>
      <c r="E472" s="4" t="str">
        <f t="shared" si="33"/>
        <v>Huyện Thanh Oai</v>
      </c>
      <c r="F472" s="3" t="s">
        <v>1236</v>
      </c>
      <c r="G472" s="4" t="str">
        <f>HYPERLINK("https://diaocthongthai.com/xa-xuan-duong-thanh-oai/","Xã Xuân Dương")</f>
        <v>Xã Xuân Dương</v>
      </c>
    </row>
    <row r="473" spans="1:7" x14ac:dyDescent="0.25">
      <c r="A473" s="2">
        <v>472</v>
      </c>
      <c r="B473" s="3" t="s">
        <v>3</v>
      </c>
      <c r="C473" s="4" t="str">
        <f t="shared" si="32"/>
        <v>Hà Nội</v>
      </c>
      <c r="D473" s="3" t="s">
        <v>91</v>
      </c>
      <c r="E473" s="4" t="str">
        <f t="shared" si="33"/>
        <v>Huyện Thanh Oai</v>
      </c>
      <c r="F473" s="3" t="s">
        <v>1237</v>
      </c>
      <c r="G473" s="4" t="str">
        <f>HYPERLINK("https://diaocthongthai.com/xa-hong-duong-thanh-oai/","Xã Hồng Dương")</f>
        <v>Xã Hồng Dương</v>
      </c>
    </row>
    <row r="474" spans="1:7" x14ac:dyDescent="0.25">
      <c r="A474" s="2">
        <v>473</v>
      </c>
      <c r="B474" s="3" t="s">
        <v>3</v>
      </c>
      <c r="C474" s="4" t="str">
        <f t="shared" si="32"/>
        <v>Hà Nội</v>
      </c>
      <c r="D474" s="3" t="s">
        <v>92</v>
      </c>
      <c r="E474" s="4" t="str">
        <f t="shared" ref="E474:E502" si="34">HYPERLINK("https://diaocthongthai.com/ban-do-huyen-thuong-tin-tp-ha-noi/","Huyện Thường Tín")</f>
        <v>Huyện Thường Tín</v>
      </c>
      <c r="F474" s="3" t="s">
        <v>1238</v>
      </c>
      <c r="G474" s="4" t="str">
        <f>HYPERLINK("https://diaocthongthai.com/thi-tran-thuong-tin-thuong-tin/","Thị trấn Thường Tín")</f>
        <v>Thị trấn Thường Tín</v>
      </c>
    </row>
    <row r="475" spans="1:7" x14ac:dyDescent="0.25">
      <c r="A475" s="2">
        <v>474</v>
      </c>
      <c r="B475" s="3" t="s">
        <v>3</v>
      </c>
      <c r="C475" s="4" t="str">
        <f t="shared" si="32"/>
        <v>Hà Nội</v>
      </c>
      <c r="D475" s="3" t="s">
        <v>92</v>
      </c>
      <c r="E475" s="4" t="str">
        <f t="shared" si="34"/>
        <v>Huyện Thường Tín</v>
      </c>
      <c r="F475" s="3" t="s">
        <v>1239</v>
      </c>
      <c r="G475" s="4" t="str">
        <f>HYPERLINK("https://diaocthongthai.com/xa-ninh-so-thuong-tin/","Xã Ninh Sở")</f>
        <v>Xã Ninh Sở</v>
      </c>
    </row>
    <row r="476" spans="1:7" x14ac:dyDescent="0.25">
      <c r="A476" s="2">
        <v>475</v>
      </c>
      <c r="B476" s="3" t="s">
        <v>3</v>
      </c>
      <c r="C476" s="4" t="str">
        <f t="shared" si="32"/>
        <v>Hà Nội</v>
      </c>
      <c r="D476" s="3" t="s">
        <v>92</v>
      </c>
      <c r="E476" s="4" t="str">
        <f t="shared" si="34"/>
        <v>Huyện Thường Tín</v>
      </c>
      <c r="F476" s="3" t="s">
        <v>1240</v>
      </c>
      <c r="G476" s="4" t="str">
        <f>HYPERLINK("https://diaocthongthai.com/xa-nhi-khe-thuong-tin/","Xã Nhị Khê")</f>
        <v>Xã Nhị Khê</v>
      </c>
    </row>
    <row r="477" spans="1:7" x14ac:dyDescent="0.25">
      <c r="A477" s="2">
        <v>476</v>
      </c>
      <c r="B477" s="3" t="s">
        <v>3</v>
      </c>
      <c r="C477" s="4" t="str">
        <f t="shared" si="32"/>
        <v>Hà Nội</v>
      </c>
      <c r="D477" s="3" t="s">
        <v>92</v>
      </c>
      <c r="E477" s="4" t="str">
        <f t="shared" si="34"/>
        <v>Huyện Thường Tín</v>
      </c>
      <c r="F477" s="3" t="s">
        <v>1241</v>
      </c>
      <c r="G477" s="4" t="str">
        <f>HYPERLINK("https://diaocthongthai.com/xa-duyen-thai-thuong-tin/","Xã Duyên Thái")</f>
        <v>Xã Duyên Thái</v>
      </c>
    </row>
    <row r="478" spans="1:7" x14ac:dyDescent="0.25">
      <c r="A478" s="2">
        <v>477</v>
      </c>
      <c r="B478" s="3" t="s">
        <v>3</v>
      </c>
      <c r="C478" s="4" t="str">
        <f t="shared" si="32"/>
        <v>Hà Nội</v>
      </c>
      <c r="D478" s="3" t="s">
        <v>92</v>
      </c>
      <c r="E478" s="4" t="str">
        <f t="shared" si="34"/>
        <v>Huyện Thường Tín</v>
      </c>
      <c r="F478" s="3" t="s">
        <v>1242</v>
      </c>
      <c r="G478" s="4" t="str">
        <f>HYPERLINK("https://diaocthongthai.com/xa-khanh-ha-thuong-tin/","Xã Khánh Hà")</f>
        <v>Xã Khánh Hà</v>
      </c>
    </row>
    <row r="479" spans="1:7" x14ac:dyDescent="0.25">
      <c r="A479" s="2">
        <v>478</v>
      </c>
      <c r="B479" s="3" t="s">
        <v>3</v>
      </c>
      <c r="C479" s="4" t="str">
        <f t="shared" si="32"/>
        <v>Hà Nội</v>
      </c>
      <c r="D479" s="3" t="s">
        <v>92</v>
      </c>
      <c r="E479" s="4" t="str">
        <f t="shared" si="34"/>
        <v>Huyện Thường Tín</v>
      </c>
      <c r="F479" s="3" t="s">
        <v>1243</v>
      </c>
      <c r="G479" s="4" t="str">
        <f>HYPERLINK("https://diaocthongthai.com/xa-hoa-binh-thuong-tin/","Xã Hòa Bình")</f>
        <v>Xã Hòa Bình</v>
      </c>
    </row>
    <row r="480" spans="1:7" x14ac:dyDescent="0.25">
      <c r="A480" s="2">
        <v>479</v>
      </c>
      <c r="B480" s="3" t="s">
        <v>3</v>
      </c>
      <c r="C480" s="4" t="str">
        <f t="shared" si="32"/>
        <v>Hà Nội</v>
      </c>
      <c r="D480" s="3" t="s">
        <v>92</v>
      </c>
      <c r="E480" s="4" t="str">
        <f t="shared" si="34"/>
        <v>Huyện Thường Tín</v>
      </c>
      <c r="F480" s="3" t="s">
        <v>1244</v>
      </c>
      <c r="G480" s="4" t="str">
        <f>HYPERLINK("https://diaocthongthai.com/xa-van-binh-thuong-tin/","Xã Văn Bình")</f>
        <v>Xã Văn Bình</v>
      </c>
    </row>
    <row r="481" spans="1:7" x14ac:dyDescent="0.25">
      <c r="A481" s="2">
        <v>480</v>
      </c>
      <c r="B481" s="3" t="s">
        <v>3</v>
      </c>
      <c r="C481" s="4" t="str">
        <f t="shared" si="32"/>
        <v>Hà Nội</v>
      </c>
      <c r="D481" s="3" t="s">
        <v>92</v>
      </c>
      <c r="E481" s="4" t="str">
        <f t="shared" si="34"/>
        <v>Huyện Thường Tín</v>
      </c>
      <c r="F481" s="3" t="s">
        <v>1245</v>
      </c>
      <c r="G481" s="4" t="str">
        <f>HYPERLINK("https://diaocthongthai.com/xa-hien-giang-thuong-tin/","Xã Hiền Giang")</f>
        <v>Xã Hiền Giang</v>
      </c>
    </row>
    <row r="482" spans="1:7" x14ac:dyDescent="0.25">
      <c r="A482" s="2">
        <v>481</v>
      </c>
      <c r="B482" s="3" t="s">
        <v>3</v>
      </c>
      <c r="C482" s="4" t="str">
        <f t="shared" si="32"/>
        <v>Hà Nội</v>
      </c>
      <c r="D482" s="3" t="s">
        <v>92</v>
      </c>
      <c r="E482" s="4" t="str">
        <f t="shared" si="34"/>
        <v>Huyện Thường Tín</v>
      </c>
      <c r="F482" s="3" t="s">
        <v>1246</v>
      </c>
      <c r="G482" s="4" t="str">
        <f>HYPERLINK("https://diaocthongthai.com/xa-hong-van-thuong-tin/","Xã Hồng Vân")</f>
        <v>Xã Hồng Vân</v>
      </c>
    </row>
    <row r="483" spans="1:7" x14ac:dyDescent="0.25">
      <c r="A483" s="2">
        <v>482</v>
      </c>
      <c r="B483" s="3" t="s">
        <v>3</v>
      </c>
      <c r="C483" s="4" t="str">
        <f t="shared" si="32"/>
        <v>Hà Nội</v>
      </c>
      <c r="D483" s="3" t="s">
        <v>92</v>
      </c>
      <c r="E483" s="4" t="str">
        <f t="shared" si="34"/>
        <v>Huyện Thường Tín</v>
      </c>
      <c r="F483" s="3" t="s">
        <v>1247</v>
      </c>
      <c r="G483" s="4" t="str">
        <f>HYPERLINK("https://diaocthongthai.com/xa-van-tao-thuong-tin/","Xã Vân Tảo")</f>
        <v>Xã Vân Tảo</v>
      </c>
    </row>
    <row r="484" spans="1:7" x14ac:dyDescent="0.25">
      <c r="A484" s="2">
        <v>483</v>
      </c>
      <c r="B484" s="3" t="s">
        <v>3</v>
      </c>
      <c r="C484" s="4" t="str">
        <f t="shared" si="32"/>
        <v>Hà Nội</v>
      </c>
      <c r="D484" s="3" t="s">
        <v>92</v>
      </c>
      <c r="E484" s="4" t="str">
        <f t="shared" si="34"/>
        <v>Huyện Thường Tín</v>
      </c>
      <c r="F484" s="3" t="s">
        <v>1248</v>
      </c>
      <c r="G484" s="4" t="str">
        <f>HYPERLINK("https://diaocthongthai.com/xa-lien-phuong-thuong-tin/","Xã Liên Phương")</f>
        <v>Xã Liên Phương</v>
      </c>
    </row>
    <row r="485" spans="1:7" x14ac:dyDescent="0.25">
      <c r="A485" s="2">
        <v>484</v>
      </c>
      <c r="B485" s="3" t="s">
        <v>3</v>
      </c>
      <c r="C485" s="4" t="str">
        <f t="shared" si="32"/>
        <v>Hà Nội</v>
      </c>
      <c r="D485" s="3" t="s">
        <v>92</v>
      </c>
      <c r="E485" s="4" t="str">
        <f t="shared" si="34"/>
        <v>Huyện Thường Tín</v>
      </c>
      <c r="F485" s="3" t="s">
        <v>1249</v>
      </c>
      <c r="G485" s="4" t="str">
        <f>HYPERLINK("https://diaocthongthai.com/xa-van-phu-thuong-tin/","Xã Văn Phú")</f>
        <v>Xã Văn Phú</v>
      </c>
    </row>
    <row r="486" spans="1:7" x14ac:dyDescent="0.25">
      <c r="A486" s="2">
        <v>485</v>
      </c>
      <c r="B486" s="3" t="s">
        <v>3</v>
      </c>
      <c r="C486" s="4" t="str">
        <f t="shared" si="32"/>
        <v>Hà Nội</v>
      </c>
      <c r="D486" s="3" t="s">
        <v>92</v>
      </c>
      <c r="E486" s="4" t="str">
        <f t="shared" si="34"/>
        <v>Huyện Thường Tín</v>
      </c>
      <c r="F486" s="3" t="s">
        <v>1250</v>
      </c>
      <c r="G486" s="4" t="str">
        <f>HYPERLINK("https://diaocthongthai.com/xa-tu-nhien-thuong-tin/","Xã Tự Nhiên")</f>
        <v>Xã Tự Nhiên</v>
      </c>
    </row>
    <row r="487" spans="1:7" x14ac:dyDescent="0.25">
      <c r="A487" s="2">
        <v>486</v>
      </c>
      <c r="B487" s="3" t="s">
        <v>3</v>
      </c>
      <c r="C487" s="4" t="str">
        <f t="shared" si="32"/>
        <v>Hà Nội</v>
      </c>
      <c r="D487" s="3" t="s">
        <v>92</v>
      </c>
      <c r="E487" s="4" t="str">
        <f t="shared" si="34"/>
        <v>Huyện Thường Tín</v>
      </c>
      <c r="F487" s="3" t="s">
        <v>1251</v>
      </c>
      <c r="G487" s="4" t="str">
        <f>HYPERLINK("https://diaocthongthai.com/xa-tien-phong-thuong-tin/","Xã Tiền Phong")</f>
        <v>Xã Tiền Phong</v>
      </c>
    </row>
    <row r="488" spans="1:7" x14ac:dyDescent="0.25">
      <c r="A488" s="2">
        <v>487</v>
      </c>
      <c r="B488" s="3" t="s">
        <v>3</v>
      </c>
      <c r="C488" s="4" t="str">
        <f t="shared" si="32"/>
        <v>Hà Nội</v>
      </c>
      <c r="D488" s="3" t="s">
        <v>92</v>
      </c>
      <c r="E488" s="4" t="str">
        <f t="shared" si="34"/>
        <v>Huyện Thường Tín</v>
      </c>
      <c r="F488" s="3" t="s">
        <v>1252</v>
      </c>
      <c r="G488" s="4" t="str">
        <f>HYPERLINK("https://diaocthongthai.com/xa-ha-hoi-thuong-tin/","Xã Hà Hồi")</f>
        <v>Xã Hà Hồi</v>
      </c>
    </row>
    <row r="489" spans="1:7" x14ac:dyDescent="0.25">
      <c r="A489" s="2">
        <v>488</v>
      </c>
      <c r="B489" s="3" t="s">
        <v>3</v>
      </c>
      <c r="C489" s="4" t="str">
        <f t="shared" si="32"/>
        <v>Hà Nội</v>
      </c>
      <c r="D489" s="3" t="s">
        <v>92</v>
      </c>
      <c r="E489" s="4" t="str">
        <f t="shared" si="34"/>
        <v>Huyện Thường Tín</v>
      </c>
      <c r="F489" s="3" t="s">
        <v>1253</v>
      </c>
      <c r="G489" s="4" t="str">
        <f>HYPERLINK("https://diaocthongthai.com/xa-thu-phu-thuong-tin/","Xã Thư Phú")</f>
        <v>Xã Thư Phú</v>
      </c>
    </row>
    <row r="490" spans="1:7" x14ac:dyDescent="0.25">
      <c r="A490" s="2">
        <v>489</v>
      </c>
      <c r="B490" s="3" t="s">
        <v>3</v>
      </c>
      <c r="C490" s="4" t="str">
        <f t="shared" si="32"/>
        <v>Hà Nội</v>
      </c>
      <c r="D490" s="3" t="s">
        <v>92</v>
      </c>
      <c r="E490" s="4" t="str">
        <f t="shared" si="34"/>
        <v>Huyện Thường Tín</v>
      </c>
      <c r="F490" s="3" t="s">
        <v>1254</v>
      </c>
      <c r="G490" s="4" t="str">
        <f>HYPERLINK("https://diaocthongthai.com/xa-nguyen-trai-thuong-tin/","Xã Nguyễn Trãi")</f>
        <v>Xã Nguyễn Trãi</v>
      </c>
    </row>
    <row r="491" spans="1:7" x14ac:dyDescent="0.25">
      <c r="A491" s="2">
        <v>490</v>
      </c>
      <c r="B491" s="3" t="s">
        <v>3</v>
      </c>
      <c r="C491" s="4" t="str">
        <f t="shared" si="32"/>
        <v>Hà Nội</v>
      </c>
      <c r="D491" s="3" t="s">
        <v>92</v>
      </c>
      <c r="E491" s="4" t="str">
        <f t="shared" si="34"/>
        <v>Huyện Thường Tín</v>
      </c>
      <c r="F491" s="3" t="s">
        <v>1255</v>
      </c>
      <c r="G491" s="4" t="str">
        <f>HYPERLINK("https://diaocthongthai.com/xa-quat-dong-thuong-tin/","Xã Quất Động")</f>
        <v>Xã Quất Động</v>
      </c>
    </row>
    <row r="492" spans="1:7" x14ac:dyDescent="0.25">
      <c r="A492" s="2">
        <v>491</v>
      </c>
      <c r="B492" s="3" t="s">
        <v>3</v>
      </c>
      <c r="C492" s="4" t="str">
        <f t="shared" si="32"/>
        <v>Hà Nội</v>
      </c>
      <c r="D492" s="3" t="s">
        <v>92</v>
      </c>
      <c r="E492" s="4" t="str">
        <f t="shared" si="34"/>
        <v>Huyện Thường Tín</v>
      </c>
      <c r="F492" s="3" t="s">
        <v>1256</v>
      </c>
      <c r="G492" s="4" t="str">
        <f>HYPERLINK("https://diaocthongthai.com/xa-chuong-duong-thuong-tin/","Xã Chương Dương")</f>
        <v>Xã Chương Dương</v>
      </c>
    </row>
    <row r="493" spans="1:7" x14ac:dyDescent="0.25">
      <c r="A493" s="2">
        <v>492</v>
      </c>
      <c r="B493" s="3" t="s">
        <v>3</v>
      </c>
      <c r="C493" s="4" t="str">
        <f t="shared" si="32"/>
        <v>Hà Nội</v>
      </c>
      <c r="D493" s="3" t="s">
        <v>92</v>
      </c>
      <c r="E493" s="4" t="str">
        <f t="shared" si="34"/>
        <v>Huyện Thường Tín</v>
      </c>
      <c r="F493" s="3" t="s">
        <v>1257</v>
      </c>
      <c r="G493" s="4" t="str">
        <f>HYPERLINK("https://diaocthongthai.com/xa-tan-minh-thuong-tin/","Xã Tân Minh")</f>
        <v>Xã Tân Minh</v>
      </c>
    </row>
    <row r="494" spans="1:7" x14ac:dyDescent="0.25">
      <c r="A494" s="2">
        <v>493</v>
      </c>
      <c r="B494" s="3" t="s">
        <v>3</v>
      </c>
      <c r="C494" s="4" t="str">
        <f t="shared" si="32"/>
        <v>Hà Nội</v>
      </c>
      <c r="D494" s="3" t="s">
        <v>92</v>
      </c>
      <c r="E494" s="4" t="str">
        <f t="shared" si="34"/>
        <v>Huyện Thường Tín</v>
      </c>
      <c r="F494" s="3" t="s">
        <v>1258</v>
      </c>
      <c r="G494" s="4" t="str">
        <f>HYPERLINK("https://diaocthongthai.com/xa-le-loi-thuong-tin/","Xã Lê Lợi")</f>
        <v>Xã Lê Lợi</v>
      </c>
    </row>
    <row r="495" spans="1:7" x14ac:dyDescent="0.25">
      <c r="A495" s="2">
        <v>494</v>
      </c>
      <c r="B495" s="3" t="s">
        <v>3</v>
      </c>
      <c r="C495" s="4" t="str">
        <f t="shared" si="32"/>
        <v>Hà Nội</v>
      </c>
      <c r="D495" s="3" t="s">
        <v>92</v>
      </c>
      <c r="E495" s="4" t="str">
        <f t="shared" si="34"/>
        <v>Huyện Thường Tín</v>
      </c>
      <c r="F495" s="3" t="s">
        <v>1259</v>
      </c>
      <c r="G495" s="4" t="str">
        <f>HYPERLINK("https://diaocthongthai.com/xa-thang-loi-thuong-tin/","Xã Thắng Lợi")</f>
        <v>Xã Thắng Lợi</v>
      </c>
    </row>
    <row r="496" spans="1:7" x14ac:dyDescent="0.25">
      <c r="A496" s="2">
        <v>495</v>
      </c>
      <c r="B496" s="3" t="s">
        <v>3</v>
      </c>
      <c r="C496" s="4" t="str">
        <f t="shared" si="32"/>
        <v>Hà Nội</v>
      </c>
      <c r="D496" s="3" t="s">
        <v>92</v>
      </c>
      <c r="E496" s="4" t="str">
        <f t="shared" si="34"/>
        <v>Huyện Thường Tín</v>
      </c>
      <c r="F496" s="3" t="s">
        <v>1260</v>
      </c>
      <c r="G496" s="4" t="str">
        <f>HYPERLINK("https://diaocthongthai.com/xa-dung-tien-thuong-tin/","Xã Dũng Tiến")</f>
        <v>Xã Dũng Tiến</v>
      </c>
    </row>
    <row r="497" spans="1:7" x14ac:dyDescent="0.25">
      <c r="A497" s="2">
        <v>496</v>
      </c>
      <c r="B497" s="3" t="s">
        <v>3</v>
      </c>
      <c r="C497" s="4" t="str">
        <f t="shared" si="32"/>
        <v>Hà Nội</v>
      </c>
      <c r="D497" s="3" t="s">
        <v>92</v>
      </c>
      <c r="E497" s="4" t="str">
        <f t="shared" si="34"/>
        <v>Huyện Thường Tín</v>
      </c>
      <c r="F497" s="3" t="s">
        <v>1261</v>
      </c>
      <c r="G497" s="4" t="str">
        <f>HYPERLINK("https://diaocthongthai.com/xa-thong-nhat-thuong-tin/","Xã Thống Nhất")</f>
        <v>Xã Thống Nhất</v>
      </c>
    </row>
    <row r="498" spans="1:7" x14ac:dyDescent="0.25">
      <c r="A498" s="2">
        <v>497</v>
      </c>
      <c r="B498" s="3" t="s">
        <v>3</v>
      </c>
      <c r="C498" s="4" t="str">
        <f t="shared" si="32"/>
        <v>Hà Nội</v>
      </c>
      <c r="D498" s="3" t="s">
        <v>92</v>
      </c>
      <c r="E498" s="4" t="str">
        <f t="shared" si="34"/>
        <v>Huyện Thường Tín</v>
      </c>
      <c r="F498" s="3" t="s">
        <v>1262</v>
      </c>
      <c r="G498" s="4" t="str">
        <f>HYPERLINK("https://diaocthongthai.com/xa-nghiem-xuyen-thuong-tin/","Xã Nghiêm Xuyên")</f>
        <v>Xã Nghiêm Xuyên</v>
      </c>
    </row>
    <row r="499" spans="1:7" x14ac:dyDescent="0.25">
      <c r="A499" s="2">
        <v>498</v>
      </c>
      <c r="B499" s="3" t="s">
        <v>3</v>
      </c>
      <c r="C499" s="4" t="str">
        <f t="shared" si="32"/>
        <v>Hà Nội</v>
      </c>
      <c r="D499" s="3" t="s">
        <v>92</v>
      </c>
      <c r="E499" s="4" t="str">
        <f t="shared" si="34"/>
        <v>Huyện Thường Tín</v>
      </c>
      <c r="F499" s="3" t="s">
        <v>1263</v>
      </c>
      <c r="G499" s="4" t="str">
        <f>HYPERLINK("https://diaocthongthai.com/xa-to-hieu-thuong-tin/","Xã Tô Hiệu")</f>
        <v>Xã Tô Hiệu</v>
      </c>
    </row>
    <row r="500" spans="1:7" x14ac:dyDescent="0.25">
      <c r="A500" s="2">
        <v>499</v>
      </c>
      <c r="B500" s="3" t="s">
        <v>3</v>
      </c>
      <c r="C500" s="4" t="str">
        <f t="shared" si="32"/>
        <v>Hà Nội</v>
      </c>
      <c r="D500" s="3" t="s">
        <v>92</v>
      </c>
      <c r="E500" s="4" t="str">
        <f t="shared" si="34"/>
        <v>Huyện Thường Tín</v>
      </c>
      <c r="F500" s="3" t="s">
        <v>1264</v>
      </c>
      <c r="G500" s="4" t="str">
        <f>HYPERLINK("https://diaocthongthai.com/xa-van-tu-thuong-tin/","Xã Văn Tự")</f>
        <v>Xã Văn Tự</v>
      </c>
    </row>
    <row r="501" spans="1:7" x14ac:dyDescent="0.25">
      <c r="A501" s="2">
        <v>500</v>
      </c>
      <c r="B501" s="3" t="s">
        <v>3</v>
      </c>
      <c r="C501" s="4" t="str">
        <f t="shared" si="32"/>
        <v>Hà Nội</v>
      </c>
      <c r="D501" s="3" t="s">
        <v>92</v>
      </c>
      <c r="E501" s="4" t="str">
        <f t="shared" si="34"/>
        <v>Huyện Thường Tín</v>
      </c>
      <c r="F501" s="3" t="s">
        <v>1265</v>
      </c>
      <c r="G501" s="4" t="str">
        <f>HYPERLINK("https://diaocthongthai.com/xa-van-diem-thuong-tin/","Xã Vạn Điểm")</f>
        <v>Xã Vạn Điểm</v>
      </c>
    </row>
    <row r="502" spans="1:7" x14ac:dyDescent="0.25">
      <c r="A502" s="2">
        <v>501</v>
      </c>
      <c r="B502" s="3" t="s">
        <v>3</v>
      </c>
      <c r="C502" s="4" t="str">
        <f t="shared" si="32"/>
        <v>Hà Nội</v>
      </c>
      <c r="D502" s="3" t="s">
        <v>92</v>
      </c>
      <c r="E502" s="4" t="str">
        <f t="shared" si="34"/>
        <v>Huyện Thường Tín</v>
      </c>
      <c r="F502" s="3" t="s">
        <v>1266</v>
      </c>
      <c r="G502" s="4" t="str">
        <f>HYPERLINK("https://diaocthongthai.com/xa-minh-cuong-thuong-tin/","Xã Minh Cường")</f>
        <v>Xã Minh Cường</v>
      </c>
    </row>
    <row r="503" spans="1:7" x14ac:dyDescent="0.25">
      <c r="A503" s="2">
        <v>502</v>
      </c>
      <c r="B503" s="3" t="s">
        <v>3</v>
      </c>
      <c r="C503" s="4" t="str">
        <f t="shared" si="32"/>
        <v>Hà Nội</v>
      </c>
      <c r="D503" s="3" t="s">
        <v>93</v>
      </c>
      <c r="E503" s="4" t="str">
        <f t="shared" ref="E503:E529" si="35">HYPERLINK("https://diaocthongthai.com/ban-do-huyen-phu-xuyen-tp-ha-noi/","Huyện Phú Xuyên")</f>
        <v>Huyện Phú Xuyên</v>
      </c>
      <c r="F503" s="3" t="s">
        <v>1267</v>
      </c>
      <c r="G503" s="4" t="str">
        <f>HYPERLINK("https://diaocthongthai.com/thi-tran-phu-minh-phu-xuyen/","Thị trấn Phú Minh")</f>
        <v>Thị trấn Phú Minh</v>
      </c>
    </row>
    <row r="504" spans="1:7" x14ac:dyDescent="0.25">
      <c r="A504" s="2">
        <v>503</v>
      </c>
      <c r="B504" s="3" t="s">
        <v>3</v>
      </c>
      <c r="C504" s="4" t="str">
        <f t="shared" si="32"/>
        <v>Hà Nội</v>
      </c>
      <c r="D504" s="3" t="s">
        <v>93</v>
      </c>
      <c r="E504" s="4" t="str">
        <f t="shared" si="35"/>
        <v>Huyện Phú Xuyên</v>
      </c>
      <c r="F504" s="3" t="s">
        <v>1268</v>
      </c>
      <c r="G504" s="4" t="str">
        <f>HYPERLINK("https://diaocthongthai.com/thi-tran-phu-xuyen-phu-xuyen/","Thị trấn Phú Xuyên")</f>
        <v>Thị trấn Phú Xuyên</v>
      </c>
    </row>
    <row r="505" spans="1:7" x14ac:dyDescent="0.25">
      <c r="A505" s="2">
        <v>504</v>
      </c>
      <c r="B505" s="3" t="s">
        <v>3</v>
      </c>
      <c r="C505" s="4" t="str">
        <f t="shared" si="32"/>
        <v>Hà Nội</v>
      </c>
      <c r="D505" s="3" t="s">
        <v>93</v>
      </c>
      <c r="E505" s="4" t="str">
        <f t="shared" si="35"/>
        <v>Huyện Phú Xuyên</v>
      </c>
      <c r="F505" s="3" t="s">
        <v>1269</v>
      </c>
      <c r="G505" s="4" t="str">
        <f>HYPERLINK("https://diaocthongthai.com/xa-hong-minh-phu-xuyen/","Xã Hồng Minh")</f>
        <v>Xã Hồng Minh</v>
      </c>
    </row>
    <row r="506" spans="1:7" x14ac:dyDescent="0.25">
      <c r="A506" s="2">
        <v>505</v>
      </c>
      <c r="B506" s="3" t="s">
        <v>3</v>
      </c>
      <c r="C506" s="4" t="str">
        <f t="shared" si="32"/>
        <v>Hà Nội</v>
      </c>
      <c r="D506" s="3" t="s">
        <v>93</v>
      </c>
      <c r="E506" s="4" t="str">
        <f t="shared" si="35"/>
        <v>Huyện Phú Xuyên</v>
      </c>
      <c r="F506" s="3" t="s">
        <v>1270</v>
      </c>
      <c r="G506" s="4" t="str">
        <f>HYPERLINK("https://diaocthongthai.com/xa-phuong-duc-phu-xuyen/","Xã Phượng Dực")</f>
        <v>Xã Phượng Dực</v>
      </c>
    </row>
    <row r="507" spans="1:7" x14ac:dyDescent="0.25">
      <c r="A507" s="2">
        <v>506</v>
      </c>
      <c r="B507" s="3" t="s">
        <v>3</v>
      </c>
      <c r="C507" s="4" t="str">
        <f t="shared" si="32"/>
        <v>Hà Nội</v>
      </c>
      <c r="D507" s="3" t="s">
        <v>93</v>
      </c>
      <c r="E507" s="4" t="str">
        <f t="shared" si="35"/>
        <v>Huyện Phú Xuyên</v>
      </c>
      <c r="F507" s="3" t="s">
        <v>1271</v>
      </c>
      <c r="G507" s="4" t="str">
        <f>HYPERLINK("https://diaocthongthai.com/xa-nam-tien-phu-xuyen/","Xã Nam Tiến")</f>
        <v>Xã Nam Tiến</v>
      </c>
    </row>
    <row r="508" spans="1:7" x14ac:dyDescent="0.25">
      <c r="A508" s="2">
        <v>507</v>
      </c>
      <c r="B508" s="3" t="s">
        <v>3</v>
      </c>
      <c r="C508" s="4" t="str">
        <f t="shared" si="32"/>
        <v>Hà Nội</v>
      </c>
      <c r="D508" s="3" t="s">
        <v>93</v>
      </c>
      <c r="E508" s="4" t="str">
        <f t="shared" si="35"/>
        <v>Huyện Phú Xuyên</v>
      </c>
      <c r="F508" s="3" t="s">
        <v>1272</v>
      </c>
      <c r="G508" s="4" t="str">
        <f>HYPERLINK("https://diaocthongthai.com/xa-tri-trung-phu-xuyen/","Xã Tri Trung")</f>
        <v>Xã Tri Trung</v>
      </c>
    </row>
    <row r="509" spans="1:7" x14ac:dyDescent="0.25">
      <c r="A509" s="2">
        <v>508</v>
      </c>
      <c r="B509" s="3" t="s">
        <v>3</v>
      </c>
      <c r="C509" s="4" t="str">
        <f t="shared" si="32"/>
        <v>Hà Nội</v>
      </c>
      <c r="D509" s="3" t="s">
        <v>93</v>
      </c>
      <c r="E509" s="4" t="str">
        <f t="shared" si="35"/>
        <v>Huyện Phú Xuyên</v>
      </c>
      <c r="F509" s="3" t="s">
        <v>1273</v>
      </c>
      <c r="G509" s="4" t="str">
        <f>HYPERLINK("https://diaocthongthai.com/xa-dai-thang-phu-xuyen/","Xã Đại Thắng")</f>
        <v>Xã Đại Thắng</v>
      </c>
    </row>
    <row r="510" spans="1:7" x14ac:dyDescent="0.25">
      <c r="A510" s="2">
        <v>509</v>
      </c>
      <c r="B510" s="3" t="s">
        <v>3</v>
      </c>
      <c r="C510" s="4" t="str">
        <f t="shared" si="32"/>
        <v>Hà Nội</v>
      </c>
      <c r="D510" s="3" t="s">
        <v>93</v>
      </c>
      <c r="E510" s="4" t="str">
        <f t="shared" si="35"/>
        <v>Huyện Phú Xuyên</v>
      </c>
      <c r="F510" s="3" t="s">
        <v>1274</v>
      </c>
      <c r="G510" s="4" t="str">
        <f>HYPERLINK("https://diaocthongthai.com/xa-phu-tuc-phu-xuyen/","Xã Phú Túc")</f>
        <v>Xã Phú Túc</v>
      </c>
    </row>
    <row r="511" spans="1:7" x14ac:dyDescent="0.25">
      <c r="A511" s="2">
        <v>510</v>
      </c>
      <c r="B511" s="3" t="s">
        <v>3</v>
      </c>
      <c r="C511" s="4" t="str">
        <f t="shared" si="32"/>
        <v>Hà Nội</v>
      </c>
      <c r="D511" s="3" t="s">
        <v>93</v>
      </c>
      <c r="E511" s="4" t="str">
        <f t="shared" si="35"/>
        <v>Huyện Phú Xuyên</v>
      </c>
      <c r="F511" s="3" t="s">
        <v>1275</v>
      </c>
      <c r="G511" s="4" t="str">
        <f>HYPERLINK("https://diaocthongthai.com/xa-van-hoang-phu-xuyen/","Xã Văn Hoàng")</f>
        <v>Xã Văn Hoàng</v>
      </c>
    </row>
    <row r="512" spans="1:7" x14ac:dyDescent="0.25">
      <c r="A512" s="2">
        <v>511</v>
      </c>
      <c r="B512" s="3" t="s">
        <v>3</v>
      </c>
      <c r="C512" s="4" t="str">
        <f t="shared" si="32"/>
        <v>Hà Nội</v>
      </c>
      <c r="D512" s="3" t="s">
        <v>93</v>
      </c>
      <c r="E512" s="4" t="str">
        <f t="shared" si="35"/>
        <v>Huyện Phú Xuyên</v>
      </c>
      <c r="F512" s="3" t="s">
        <v>1276</v>
      </c>
      <c r="G512" s="4" t="str">
        <f>HYPERLINK("https://diaocthongthai.com/xa-hong-thai-phu-xuyen/","Xã Hồng Thái")</f>
        <v>Xã Hồng Thái</v>
      </c>
    </row>
    <row r="513" spans="1:7" x14ac:dyDescent="0.25">
      <c r="A513" s="2">
        <v>512</v>
      </c>
      <c r="B513" s="3" t="s">
        <v>3</v>
      </c>
      <c r="C513" s="4" t="str">
        <f t="shared" si="32"/>
        <v>Hà Nội</v>
      </c>
      <c r="D513" s="3" t="s">
        <v>93</v>
      </c>
      <c r="E513" s="4" t="str">
        <f t="shared" si="35"/>
        <v>Huyện Phú Xuyên</v>
      </c>
      <c r="F513" s="3" t="s">
        <v>1277</v>
      </c>
      <c r="G513" s="4" t="str">
        <f>HYPERLINK("https://diaocthongthai.com/xa-hoang-long-phu-xuyen/","Xã Hoàng Long")</f>
        <v>Xã Hoàng Long</v>
      </c>
    </row>
    <row r="514" spans="1:7" x14ac:dyDescent="0.25">
      <c r="A514" s="2">
        <v>513</v>
      </c>
      <c r="B514" s="3" t="s">
        <v>3</v>
      </c>
      <c r="C514" s="4" t="str">
        <f t="shared" ref="C514:C580" si="36">HYPERLINK("https://diaocthongthai.com/ban-do-ha-noi/","Hà Nội")</f>
        <v>Hà Nội</v>
      </c>
      <c r="D514" s="3" t="s">
        <v>93</v>
      </c>
      <c r="E514" s="4" t="str">
        <f t="shared" si="35"/>
        <v>Huyện Phú Xuyên</v>
      </c>
      <c r="F514" s="3" t="s">
        <v>1278</v>
      </c>
      <c r="G514" s="4" t="str">
        <f>HYPERLINK("https://diaocthongthai.com/xa-quang-trung-phu-xuyen/","Xã Quang Trung")</f>
        <v>Xã Quang Trung</v>
      </c>
    </row>
    <row r="515" spans="1:7" x14ac:dyDescent="0.25">
      <c r="A515" s="2">
        <v>514</v>
      </c>
      <c r="B515" s="3" t="s">
        <v>3</v>
      </c>
      <c r="C515" s="4" t="str">
        <f t="shared" si="36"/>
        <v>Hà Nội</v>
      </c>
      <c r="D515" s="3" t="s">
        <v>93</v>
      </c>
      <c r="E515" s="4" t="str">
        <f t="shared" si="35"/>
        <v>Huyện Phú Xuyên</v>
      </c>
      <c r="F515" s="3" t="s">
        <v>1279</v>
      </c>
      <c r="G515" s="4" t="str">
        <f>HYPERLINK("https://diaocthongthai.com/xa-nam-phong-phu-xuyen/","Xã Nam Phong")</f>
        <v>Xã Nam Phong</v>
      </c>
    </row>
    <row r="516" spans="1:7" x14ac:dyDescent="0.25">
      <c r="A516" s="2">
        <v>515</v>
      </c>
      <c r="B516" s="3" t="s">
        <v>3</v>
      </c>
      <c r="C516" s="4" t="str">
        <f t="shared" si="36"/>
        <v>Hà Nội</v>
      </c>
      <c r="D516" s="3" t="s">
        <v>93</v>
      </c>
      <c r="E516" s="4" t="str">
        <f t="shared" si="35"/>
        <v>Huyện Phú Xuyên</v>
      </c>
      <c r="F516" s="3" t="s">
        <v>1280</v>
      </c>
      <c r="G516" s="4" t="str">
        <f>HYPERLINK("https://diaocthongthai.com/xa-nam-trieu-phu-xuyen/","Xã Nam Triều")</f>
        <v>Xã Nam Triều</v>
      </c>
    </row>
    <row r="517" spans="1:7" x14ac:dyDescent="0.25">
      <c r="A517" s="2">
        <v>516</v>
      </c>
      <c r="B517" s="3" t="s">
        <v>3</v>
      </c>
      <c r="C517" s="4" t="str">
        <f t="shared" si="36"/>
        <v>Hà Nội</v>
      </c>
      <c r="D517" s="3" t="s">
        <v>93</v>
      </c>
      <c r="E517" s="4" t="str">
        <f t="shared" si="35"/>
        <v>Huyện Phú Xuyên</v>
      </c>
      <c r="F517" s="3" t="s">
        <v>1281</v>
      </c>
      <c r="G517" s="4" t="str">
        <f>HYPERLINK("https://diaocthongthai.com/xa-tan-dan-phu-xuyen/","Xã Tân Dân")</f>
        <v>Xã Tân Dân</v>
      </c>
    </row>
    <row r="518" spans="1:7" x14ac:dyDescent="0.25">
      <c r="A518" s="2">
        <v>517</v>
      </c>
      <c r="B518" s="3" t="s">
        <v>3</v>
      </c>
      <c r="C518" s="4" t="str">
        <f t="shared" si="36"/>
        <v>Hà Nội</v>
      </c>
      <c r="D518" s="3" t="s">
        <v>93</v>
      </c>
      <c r="E518" s="4" t="str">
        <f t="shared" si="35"/>
        <v>Huyện Phú Xuyên</v>
      </c>
      <c r="F518" s="3" t="s">
        <v>1282</v>
      </c>
      <c r="G518" s="4" t="str">
        <f>HYPERLINK("https://diaocthongthai.com/xa-son-ha-phu-xuyen/","Xã Sơn Hà")</f>
        <v>Xã Sơn Hà</v>
      </c>
    </row>
    <row r="519" spans="1:7" x14ac:dyDescent="0.25">
      <c r="A519" s="2">
        <v>518</v>
      </c>
      <c r="B519" s="3" t="s">
        <v>3</v>
      </c>
      <c r="C519" s="4" t="str">
        <f t="shared" si="36"/>
        <v>Hà Nội</v>
      </c>
      <c r="D519" s="3" t="s">
        <v>93</v>
      </c>
      <c r="E519" s="4" t="str">
        <f t="shared" si="35"/>
        <v>Huyện Phú Xuyên</v>
      </c>
      <c r="F519" s="3" t="s">
        <v>1283</v>
      </c>
      <c r="G519" s="4" t="str">
        <f>HYPERLINK("https://diaocthongthai.com/xa-chuyen-my-phu-xuyen/","Xã Chuyên Mỹ")</f>
        <v>Xã Chuyên Mỹ</v>
      </c>
    </row>
    <row r="520" spans="1:7" x14ac:dyDescent="0.25">
      <c r="A520" s="2">
        <v>519</v>
      </c>
      <c r="B520" s="3" t="s">
        <v>3</v>
      </c>
      <c r="C520" s="4" t="str">
        <f t="shared" si="36"/>
        <v>Hà Nội</v>
      </c>
      <c r="D520" s="3" t="s">
        <v>93</v>
      </c>
      <c r="E520" s="4" t="str">
        <f t="shared" si="35"/>
        <v>Huyện Phú Xuyên</v>
      </c>
      <c r="F520" s="3" t="s">
        <v>1284</v>
      </c>
      <c r="G520" s="4" t="str">
        <f>HYPERLINK("https://diaocthongthai.com/xa-khai-thai-phu-xuyen/","Xã Khai Thái")</f>
        <v>Xã Khai Thái</v>
      </c>
    </row>
    <row r="521" spans="1:7" x14ac:dyDescent="0.25">
      <c r="A521" s="2">
        <v>520</v>
      </c>
      <c r="B521" s="3" t="s">
        <v>3</v>
      </c>
      <c r="C521" s="4" t="str">
        <f t="shared" si="36"/>
        <v>Hà Nội</v>
      </c>
      <c r="D521" s="3" t="s">
        <v>93</v>
      </c>
      <c r="E521" s="4" t="str">
        <f t="shared" si="35"/>
        <v>Huyện Phú Xuyên</v>
      </c>
      <c r="F521" s="3" t="s">
        <v>1285</v>
      </c>
      <c r="G521" s="4" t="str">
        <f>HYPERLINK("https://diaocthongthai.com/xa-phuc-tien-phu-xuyen/","Xã Phúc Tiến")</f>
        <v>Xã Phúc Tiến</v>
      </c>
    </row>
    <row r="522" spans="1:7" x14ac:dyDescent="0.25">
      <c r="A522" s="2">
        <v>521</v>
      </c>
      <c r="B522" s="3" t="s">
        <v>3</v>
      </c>
      <c r="C522" s="4" t="str">
        <f t="shared" si="36"/>
        <v>Hà Nội</v>
      </c>
      <c r="D522" s="3" t="s">
        <v>93</v>
      </c>
      <c r="E522" s="4" t="str">
        <f t="shared" si="35"/>
        <v>Huyện Phú Xuyên</v>
      </c>
      <c r="F522" s="3" t="s">
        <v>1286</v>
      </c>
      <c r="G522" s="4" t="str">
        <f>HYPERLINK("https://diaocthongthai.com/xa-van-tu-phu-xuyen/","Xã Vân Từ")</f>
        <v>Xã Vân Từ</v>
      </c>
    </row>
    <row r="523" spans="1:7" x14ac:dyDescent="0.25">
      <c r="A523" s="2">
        <v>522</v>
      </c>
      <c r="B523" s="3" t="s">
        <v>3</v>
      </c>
      <c r="C523" s="4" t="str">
        <f t="shared" si="36"/>
        <v>Hà Nội</v>
      </c>
      <c r="D523" s="3" t="s">
        <v>93</v>
      </c>
      <c r="E523" s="4" t="str">
        <f t="shared" si="35"/>
        <v>Huyện Phú Xuyên</v>
      </c>
      <c r="F523" s="3" t="s">
        <v>1287</v>
      </c>
      <c r="G523" s="4" t="str">
        <f>HYPERLINK("https://diaocthongthai.com/xa-tri-thuy-phu-xuyen/","Xã Tri Thủy")</f>
        <v>Xã Tri Thủy</v>
      </c>
    </row>
    <row r="524" spans="1:7" x14ac:dyDescent="0.25">
      <c r="A524" s="2">
        <v>523</v>
      </c>
      <c r="B524" s="3" t="s">
        <v>3</v>
      </c>
      <c r="C524" s="4" t="str">
        <f t="shared" si="36"/>
        <v>Hà Nội</v>
      </c>
      <c r="D524" s="3" t="s">
        <v>93</v>
      </c>
      <c r="E524" s="4" t="str">
        <f t="shared" si="35"/>
        <v>Huyện Phú Xuyên</v>
      </c>
      <c r="F524" s="3" t="s">
        <v>1288</v>
      </c>
      <c r="G524" s="4" t="str">
        <f>HYPERLINK("https://diaocthongthai.com/xa-dai-xuyen-phu-xuyen/","Xã Đại Xuyên")</f>
        <v>Xã Đại Xuyên</v>
      </c>
    </row>
    <row r="525" spans="1:7" x14ac:dyDescent="0.25">
      <c r="A525" s="2">
        <v>524</v>
      </c>
      <c r="B525" s="3" t="s">
        <v>3</v>
      </c>
      <c r="C525" s="4" t="str">
        <f t="shared" si="36"/>
        <v>Hà Nội</v>
      </c>
      <c r="D525" s="3" t="s">
        <v>93</v>
      </c>
      <c r="E525" s="4" t="str">
        <f t="shared" si="35"/>
        <v>Huyện Phú Xuyên</v>
      </c>
      <c r="F525" s="3" t="s">
        <v>1289</v>
      </c>
      <c r="G525" s="4" t="str">
        <f>HYPERLINK("https://diaocthongthai.com/xa-phu-yen-phu-xuyen/","Xã Phú Yên")</f>
        <v>Xã Phú Yên</v>
      </c>
    </row>
    <row r="526" spans="1:7" x14ac:dyDescent="0.25">
      <c r="A526" s="2">
        <v>525</v>
      </c>
      <c r="B526" s="3" t="s">
        <v>3</v>
      </c>
      <c r="C526" s="4" t="str">
        <f t="shared" si="36"/>
        <v>Hà Nội</v>
      </c>
      <c r="D526" s="3" t="s">
        <v>93</v>
      </c>
      <c r="E526" s="4" t="str">
        <f t="shared" si="35"/>
        <v>Huyện Phú Xuyên</v>
      </c>
      <c r="F526" s="3" t="s">
        <v>1290</v>
      </c>
      <c r="G526" s="4" t="str">
        <f>HYPERLINK("https://diaocthongthai.com/xa-bach-ha-phu-xuyen/","Xã Bạch Hạ")</f>
        <v>Xã Bạch Hạ</v>
      </c>
    </row>
    <row r="527" spans="1:7" x14ac:dyDescent="0.25">
      <c r="A527" s="2">
        <v>526</v>
      </c>
      <c r="B527" s="3" t="s">
        <v>3</v>
      </c>
      <c r="C527" s="4" t="str">
        <f t="shared" si="36"/>
        <v>Hà Nội</v>
      </c>
      <c r="D527" s="3" t="s">
        <v>93</v>
      </c>
      <c r="E527" s="4" t="str">
        <f t="shared" si="35"/>
        <v>Huyện Phú Xuyên</v>
      </c>
      <c r="F527" s="3" t="s">
        <v>1291</v>
      </c>
      <c r="G527" s="4" t="str">
        <f>HYPERLINK("https://diaocthongthai.com/xa-quang-lang-phu-xuyen/","Xã Quang Lãng")</f>
        <v>Xã Quang Lãng</v>
      </c>
    </row>
    <row r="528" spans="1:7" x14ac:dyDescent="0.25">
      <c r="A528" s="2">
        <v>527</v>
      </c>
      <c r="B528" s="3" t="s">
        <v>3</v>
      </c>
      <c r="C528" s="4" t="str">
        <f t="shared" si="36"/>
        <v>Hà Nội</v>
      </c>
      <c r="D528" s="3" t="s">
        <v>93</v>
      </c>
      <c r="E528" s="4" t="str">
        <f t="shared" si="35"/>
        <v>Huyện Phú Xuyên</v>
      </c>
      <c r="F528" s="3" t="s">
        <v>1292</v>
      </c>
      <c r="G528" s="4" t="str">
        <f>HYPERLINK("https://diaocthongthai.com/xa-chau-can-phu-xuyen/","Xã Châu Can")</f>
        <v>Xã Châu Can</v>
      </c>
    </row>
    <row r="529" spans="1:7" x14ac:dyDescent="0.25">
      <c r="A529" s="2">
        <v>528</v>
      </c>
      <c r="B529" s="3" t="s">
        <v>3</v>
      </c>
      <c r="C529" s="4" t="str">
        <f t="shared" si="36"/>
        <v>Hà Nội</v>
      </c>
      <c r="D529" s="3" t="s">
        <v>93</v>
      </c>
      <c r="E529" s="4" t="str">
        <f t="shared" si="35"/>
        <v>Huyện Phú Xuyên</v>
      </c>
      <c r="F529" s="3" t="s">
        <v>1293</v>
      </c>
      <c r="G529" s="4" t="str">
        <f>HYPERLINK("https://diaocthongthai.com/xa-minh-tan-phu-xuyen/","Xã Minh Tân")</f>
        <v>Xã Minh Tân</v>
      </c>
    </row>
    <row r="530" spans="1:7" x14ac:dyDescent="0.25">
      <c r="A530" s="2">
        <v>529</v>
      </c>
      <c r="B530" s="3" t="s">
        <v>3</v>
      </c>
      <c r="C530" s="4" t="str">
        <f t="shared" si="36"/>
        <v>Hà Nội</v>
      </c>
      <c r="D530" s="3" t="s">
        <v>94</v>
      </c>
      <c r="E530" s="4" t="str">
        <f t="shared" ref="E530:E558" si="37">HYPERLINK("https://diaocthongthai.com/ban-do-huyen-ung-hoa-tp-ha-noi/","Huyện Ứng Hòa")</f>
        <v>Huyện Ứng Hòa</v>
      </c>
      <c r="F530" s="3" t="s">
        <v>1294</v>
      </c>
      <c r="G530" s="4" t="str">
        <f>HYPERLINK("https://diaocthongthai.com/thi-tran-van-dinh-ung-hoa/","Thị trấn Vân Đình")</f>
        <v>Thị trấn Vân Đình</v>
      </c>
    </row>
    <row r="531" spans="1:7" x14ac:dyDescent="0.25">
      <c r="A531" s="2">
        <v>530</v>
      </c>
      <c r="B531" s="3" t="s">
        <v>3</v>
      </c>
      <c r="C531" s="4" t="str">
        <f t="shared" si="36"/>
        <v>Hà Nội</v>
      </c>
      <c r="D531" s="3" t="s">
        <v>94</v>
      </c>
      <c r="E531" s="4" t="str">
        <f t="shared" si="37"/>
        <v>Huyện Ứng Hòa</v>
      </c>
      <c r="F531" s="3" t="s">
        <v>1295</v>
      </c>
      <c r="G531" s="4" t="str">
        <f>HYPERLINK("https://diaocthongthai.com/xa-vien-an-ung-hoa/","Xã Viên An")</f>
        <v>Xã Viên An</v>
      </c>
    </row>
    <row r="532" spans="1:7" x14ac:dyDescent="0.25">
      <c r="A532" s="2">
        <v>531</v>
      </c>
      <c r="B532" s="3" t="s">
        <v>3</v>
      </c>
      <c r="C532" s="4" t="str">
        <f t="shared" si="36"/>
        <v>Hà Nội</v>
      </c>
      <c r="D532" s="3" t="s">
        <v>94</v>
      </c>
      <c r="E532" s="4" t="str">
        <f t="shared" si="37"/>
        <v>Huyện Ứng Hòa</v>
      </c>
      <c r="F532" s="3" t="s">
        <v>1296</v>
      </c>
      <c r="G532" s="4" t="str">
        <f>HYPERLINK("https://diaocthongthai.com/xa-vien-noi-ung-hoa/","Xã Viên Nội")</f>
        <v>Xã Viên Nội</v>
      </c>
    </row>
    <row r="533" spans="1:7" x14ac:dyDescent="0.25">
      <c r="A533" s="2">
        <v>532</v>
      </c>
      <c r="B533" s="3" t="s">
        <v>3</v>
      </c>
      <c r="C533" s="4" t="str">
        <f t="shared" si="36"/>
        <v>Hà Nội</v>
      </c>
      <c r="D533" s="3" t="s">
        <v>94</v>
      </c>
      <c r="E533" s="4" t="str">
        <f t="shared" si="37"/>
        <v>Huyện Ứng Hòa</v>
      </c>
      <c r="F533" s="3" t="s">
        <v>1297</v>
      </c>
      <c r="G533" s="4" t="str">
        <f>HYPERLINK("https://diaocthongthai.com/xa-hoa-son-ung-hoa/","Xã Hoa Sơn")</f>
        <v>Xã Hoa Sơn</v>
      </c>
    </row>
    <row r="534" spans="1:7" x14ac:dyDescent="0.25">
      <c r="A534" s="2">
        <v>533</v>
      </c>
      <c r="B534" s="3" t="s">
        <v>3</v>
      </c>
      <c r="C534" s="4" t="str">
        <f t="shared" si="36"/>
        <v>Hà Nội</v>
      </c>
      <c r="D534" s="3" t="s">
        <v>94</v>
      </c>
      <c r="E534" s="4" t="str">
        <f t="shared" si="37"/>
        <v>Huyện Ứng Hòa</v>
      </c>
      <c r="F534" s="3" t="s">
        <v>1298</v>
      </c>
      <c r="G534" s="4" t="str">
        <f>HYPERLINK("https://diaocthongthai.com/xa-quang-phu-cau-ung-hoa/","Xã Quảng Phú Cầu")</f>
        <v>Xã Quảng Phú Cầu</v>
      </c>
    </row>
    <row r="535" spans="1:7" x14ac:dyDescent="0.25">
      <c r="A535" s="2">
        <v>534</v>
      </c>
      <c r="B535" s="3" t="s">
        <v>3</v>
      </c>
      <c r="C535" s="4" t="str">
        <f t="shared" si="36"/>
        <v>Hà Nội</v>
      </c>
      <c r="D535" s="3" t="s">
        <v>94</v>
      </c>
      <c r="E535" s="4" t="str">
        <f t="shared" si="37"/>
        <v>Huyện Ứng Hòa</v>
      </c>
      <c r="F535" s="3" t="s">
        <v>1299</v>
      </c>
      <c r="G535" s="4" t="str">
        <f>HYPERLINK("https://diaocthongthai.com/xa-truong-thinh-ung-hoa/","Xã Trường Thịnh")</f>
        <v>Xã Trường Thịnh</v>
      </c>
    </row>
    <row r="536" spans="1:7" x14ac:dyDescent="0.25">
      <c r="A536" s="2">
        <v>535</v>
      </c>
      <c r="B536" s="3" t="s">
        <v>3</v>
      </c>
      <c r="C536" s="4" t="str">
        <f t="shared" si="36"/>
        <v>Hà Nội</v>
      </c>
      <c r="D536" s="3" t="s">
        <v>94</v>
      </c>
      <c r="E536" s="4" t="str">
        <f t="shared" si="37"/>
        <v>Huyện Ứng Hòa</v>
      </c>
      <c r="F536" s="3" t="s">
        <v>1300</v>
      </c>
      <c r="G536" s="4" t="str">
        <f>HYPERLINK("https://diaocthongthai.com/xa-cao-thanh-ung-hoa/","Xã Cao Thành")</f>
        <v>Xã Cao Thành</v>
      </c>
    </row>
    <row r="537" spans="1:7" x14ac:dyDescent="0.25">
      <c r="A537" s="2">
        <v>536</v>
      </c>
      <c r="B537" s="3" t="s">
        <v>3</v>
      </c>
      <c r="C537" s="4" t="str">
        <f t="shared" si="36"/>
        <v>Hà Nội</v>
      </c>
      <c r="D537" s="3" t="s">
        <v>94</v>
      </c>
      <c r="E537" s="4" t="str">
        <f t="shared" si="37"/>
        <v>Huyện Ứng Hòa</v>
      </c>
      <c r="F537" s="3" t="s">
        <v>1301</v>
      </c>
      <c r="G537" s="4" t="str">
        <f>HYPERLINK("https://diaocthongthai.com/xa-lien-bat-ung-hoa/","Xã Liên Bạt")</f>
        <v>Xã Liên Bạt</v>
      </c>
    </row>
    <row r="538" spans="1:7" x14ac:dyDescent="0.25">
      <c r="A538" s="2">
        <v>537</v>
      </c>
      <c r="B538" s="3" t="s">
        <v>3</v>
      </c>
      <c r="C538" s="4" t="str">
        <f t="shared" si="36"/>
        <v>Hà Nội</v>
      </c>
      <c r="D538" s="3" t="s">
        <v>94</v>
      </c>
      <c r="E538" s="4" t="str">
        <f t="shared" si="37"/>
        <v>Huyện Ứng Hòa</v>
      </c>
      <c r="F538" s="3" t="s">
        <v>1302</v>
      </c>
      <c r="G538" s="4" t="str">
        <f>HYPERLINK("https://diaocthongthai.com/xa-son-cong-ung-hoa/","Xã Sơn Công")</f>
        <v>Xã Sơn Công</v>
      </c>
    </row>
    <row r="539" spans="1:7" x14ac:dyDescent="0.25">
      <c r="A539" s="2">
        <v>538</v>
      </c>
      <c r="B539" s="3" t="s">
        <v>3</v>
      </c>
      <c r="C539" s="4" t="str">
        <f t="shared" si="36"/>
        <v>Hà Nội</v>
      </c>
      <c r="D539" s="3" t="s">
        <v>94</v>
      </c>
      <c r="E539" s="4" t="str">
        <f t="shared" si="37"/>
        <v>Huyện Ứng Hòa</v>
      </c>
      <c r="F539" s="3" t="s">
        <v>1303</v>
      </c>
      <c r="G539" s="4" t="str">
        <f>HYPERLINK("https://diaocthongthai.com/xa-dong-tien-ung-hoa/","Xã Đồng Tiến")</f>
        <v>Xã Đồng Tiến</v>
      </c>
    </row>
    <row r="540" spans="1:7" x14ac:dyDescent="0.25">
      <c r="A540" s="2">
        <v>539</v>
      </c>
      <c r="B540" s="3" t="s">
        <v>3</v>
      </c>
      <c r="C540" s="4" t="str">
        <f t="shared" si="36"/>
        <v>Hà Nội</v>
      </c>
      <c r="D540" s="3" t="s">
        <v>94</v>
      </c>
      <c r="E540" s="4" t="str">
        <f t="shared" si="37"/>
        <v>Huyện Ứng Hòa</v>
      </c>
      <c r="F540" s="3" t="s">
        <v>1304</v>
      </c>
      <c r="G540" s="4" t="str">
        <f>HYPERLINK("https://diaocthongthai.com/xa-phuong-tu-ung-hoa/","Xã Phương Tú")</f>
        <v>Xã Phương Tú</v>
      </c>
    </row>
    <row r="541" spans="1:7" x14ac:dyDescent="0.25">
      <c r="A541" s="2">
        <v>540</v>
      </c>
      <c r="B541" s="3" t="s">
        <v>3</v>
      </c>
      <c r="C541" s="4" t="str">
        <f t="shared" si="36"/>
        <v>Hà Nội</v>
      </c>
      <c r="D541" s="3" t="s">
        <v>94</v>
      </c>
      <c r="E541" s="4" t="str">
        <f t="shared" si="37"/>
        <v>Huyện Ứng Hòa</v>
      </c>
      <c r="F541" s="3" t="s">
        <v>1305</v>
      </c>
      <c r="G541" s="4" t="str">
        <f>HYPERLINK("https://diaocthongthai.com/xa-trung-tu-ung-hoa/","Xã Trung Tú")</f>
        <v>Xã Trung Tú</v>
      </c>
    </row>
    <row r="542" spans="1:7" x14ac:dyDescent="0.25">
      <c r="A542" s="2">
        <v>541</v>
      </c>
      <c r="B542" s="3" t="s">
        <v>3</v>
      </c>
      <c r="C542" s="4" t="str">
        <f t="shared" si="36"/>
        <v>Hà Nội</v>
      </c>
      <c r="D542" s="3" t="s">
        <v>94</v>
      </c>
      <c r="E542" s="4" t="str">
        <f t="shared" si="37"/>
        <v>Huyện Ứng Hòa</v>
      </c>
      <c r="F542" s="3" t="s">
        <v>1306</v>
      </c>
      <c r="G542" s="4" t="str">
        <f>HYPERLINK("https://diaocthongthai.com/xa-dong-tan-ung-hoa/","Xã Đồng Tân")</f>
        <v>Xã Đồng Tân</v>
      </c>
    </row>
    <row r="543" spans="1:7" x14ac:dyDescent="0.25">
      <c r="A543" s="2">
        <v>542</v>
      </c>
      <c r="B543" s="3" t="s">
        <v>3</v>
      </c>
      <c r="C543" s="4" t="str">
        <f t="shared" si="36"/>
        <v>Hà Nội</v>
      </c>
      <c r="D543" s="3" t="s">
        <v>94</v>
      </c>
      <c r="E543" s="4" t="str">
        <f t="shared" si="37"/>
        <v>Huyện Ứng Hòa</v>
      </c>
      <c r="F543" s="3" t="s">
        <v>1307</v>
      </c>
      <c r="G543" s="4" t="str">
        <f>HYPERLINK("https://diaocthongthai.com/xa-tao-duong-van-ung-hoa/","Xã Tảo Dương Văn")</f>
        <v>Xã Tảo Dương Văn</v>
      </c>
    </row>
    <row r="544" spans="1:7" x14ac:dyDescent="0.25">
      <c r="A544" s="2">
        <v>543</v>
      </c>
      <c r="B544" s="3" t="s">
        <v>3</v>
      </c>
      <c r="C544" s="4" t="str">
        <f t="shared" si="36"/>
        <v>Hà Nội</v>
      </c>
      <c r="D544" s="3" t="s">
        <v>94</v>
      </c>
      <c r="E544" s="4" t="str">
        <f t="shared" si="37"/>
        <v>Huyện Ứng Hòa</v>
      </c>
      <c r="F544" s="3" t="s">
        <v>1308</v>
      </c>
      <c r="G544" s="4" t="str">
        <f>HYPERLINK("https://diaocthongthai.com/xa-van-thai-ung-hoa/","Xã Vạn Thái")</f>
        <v>Xã Vạn Thái</v>
      </c>
    </row>
    <row r="545" spans="1:7" x14ac:dyDescent="0.25">
      <c r="A545" s="2">
        <v>544</v>
      </c>
      <c r="B545" s="3" t="s">
        <v>3</v>
      </c>
      <c r="C545" s="4" t="str">
        <f t="shared" si="36"/>
        <v>Hà Nội</v>
      </c>
      <c r="D545" s="3" t="s">
        <v>94</v>
      </c>
      <c r="E545" s="4" t="str">
        <f t="shared" si="37"/>
        <v>Huyện Ứng Hòa</v>
      </c>
      <c r="F545" s="3" t="s">
        <v>1309</v>
      </c>
      <c r="G545" s="4" t="str">
        <f>HYPERLINK("https://diaocthongthai.com/xa-minh-duc-ung-hoa/","Xã Minh Đức")</f>
        <v>Xã Minh Đức</v>
      </c>
    </row>
    <row r="546" spans="1:7" x14ac:dyDescent="0.25">
      <c r="A546" s="2">
        <v>545</v>
      </c>
      <c r="B546" s="3" t="s">
        <v>3</v>
      </c>
      <c r="C546" s="4" t="str">
        <f t="shared" si="36"/>
        <v>Hà Nội</v>
      </c>
      <c r="D546" s="3" t="s">
        <v>94</v>
      </c>
      <c r="E546" s="4" t="str">
        <f t="shared" si="37"/>
        <v>Huyện Ứng Hòa</v>
      </c>
      <c r="F546" s="3" t="s">
        <v>1310</v>
      </c>
      <c r="G546" s="4" t="str">
        <f>HYPERLINK("https://diaocthongthai.com/xa-hoa-lam-ung-hoa/","Xã Hòa Lâm")</f>
        <v>Xã Hòa Lâm</v>
      </c>
    </row>
    <row r="547" spans="1:7" x14ac:dyDescent="0.25">
      <c r="A547" s="2">
        <v>546</v>
      </c>
      <c r="B547" s="3" t="s">
        <v>3</v>
      </c>
      <c r="C547" s="4" t="str">
        <f t="shared" si="36"/>
        <v>Hà Nội</v>
      </c>
      <c r="D547" s="3" t="s">
        <v>94</v>
      </c>
      <c r="E547" s="4" t="str">
        <f t="shared" si="37"/>
        <v>Huyện Ứng Hòa</v>
      </c>
      <c r="F547" s="3" t="s">
        <v>1311</v>
      </c>
      <c r="G547" s="4" t="str">
        <f>HYPERLINK("https://diaocthongthai.com/xa-hoa-xa-ung-hoa/","Xã Hòa Xá")</f>
        <v>Xã Hòa Xá</v>
      </c>
    </row>
    <row r="548" spans="1:7" x14ac:dyDescent="0.25">
      <c r="A548" s="2">
        <v>547</v>
      </c>
      <c r="B548" s="3" t="s">
        <v>3</v>
      </c>
      <c r="C548" s="4" t="str">
        <f t="shared" si="36"/>
        <v>Hà Nội</v>
      </c>
      <c r="D548" s="3" t="s">
        <v>94</v>
      </c>
      <c r="E548" s="4" t="str">
        <f t="shared" si="37"/>
        <v>Huyện Ứng Hòa</v>
      </c>
      <c r="F548" s="3" t="s">
        <v>1312</v>
      </c>
      <c r="G548" s="4" t="str">
        <f>HYPERLINK("https://diaocthongthai.com/xa-tram-long-ung-hoa/","Xã Trầm Lộng")</f>
        <v>Xã Trầm Lộng</v>
      </c>
    </row>
    <row r="549" spans="1:7" x14ac:dyDescent="0.25">
      <c r="A549" s="2">
        <v>548</v>
      </c>
      <c r="B549" s="3" t="s">
        <v>3</v>
      </c>
      <c r="C549" s="4" t="str">
        <f t="shared" si="36"/>
        <v>Hà Nội</v>
      </c>
      <c r="D549" s="3" t="s">
        <v>94</v>
      </c>
      <c r="E549" s="4" t="str">
        <f t="shared" si="37"/>
        <v>Huyện Ứng Hòa</v>
      </c>
      <c r="F549" s="3" t="s">
        <v>1313</v>
      </c>
      <c r="G549" s="4" t="str">
        <f>HYPERLINK("https://diaocthongthai.com/xa-kim-duong-ung-hoa/","Xã Kim Đường")</f>
        <v>Xã Kim Đường</v>
      </c>
    </row>
    <row r="550" spans="1:7" x14ac:dyDescent="0.25">
      <c r="A550" s="2">
        <v>549</v>
      </c>
      <c r="B550" s="3" t="s">
        <v>3</v>
      </c>
      <c r="C550" s="4" t="str">
        <f t="shared" si="36"/>
        <v>Hà Nội</v>
      </c>
      <c r="D550" s="3" t="s">
        <v>94</v>
      </c>
      <c r="E550" s="4" t="str">
        <f t="shared" si="37"/>
        <v>Huyện Ứng Hòa</v>
      </c>
      <c r="F550" s="3" t="s">
        <v>1314</v>
      </c>
      <c r="G550" s="4" t="str">
        <f>HYPERLINK("https://diaocthongthai.com/xa-hoa-nam-ung-hoa/","Xã Hòa Nam")</f>
        <v>Xã Hòa Nam</v>
      </c>
    </row>
    <row r="551" spans="1:7" x14ac:dyDescent="0.25">
      <c r="A551" s="2">
        <v>550</v>
      </c>
      <c r="B551" s="3" t="s">
        <v>3</v>
      </c>
      <c r="C551" s="4" t="str">
        <f t="shared" si="36"/>
        <v>Hà Nội</v>
      </c>
      <c r="D551" s="3" t="s">
        <v>94</v>
      </c>
      <c r="E551" s="4" t="str">
        <f t="shared" si="37"/>
        <v>Huyện Ứng Hòa</v>
      </c>
      <c r="F551" s="3" t="s">
        <v>1315</v>
      </c>
      <c r="G551" s="4" t="str">
        <f>HYPERLINK("https://diaocthongthai.com/xa-hoa-phu-ung-hoa/","Xã Hòa Phú")</f>
        <v>Xã Hòa Phú</v>
      </c>
    </row>
    <row r="552" spans="1:7" x14ac:dyDescent="0.25">
      <c r="A552" s="2">
        <v>551</v>
      </c>
      <c r="B552" s="3" t="s">
        <v>3</v>
      </c>
      <c r="C552" s="4" t="str">
        <f t="shared" si="36"/>
        <v>Hà Nội</v>
      </c>
      <c r="D552" s="3" t="s">
        <v>94</v>
      </c>
      <c r="E552" s="4" t="str">
        <f t="shared" si="37"/>
        <v>Huyện Ứng Hòa</v>
      </c>
      <c r="F552" s="3" t="s">
        <v>1316</v>
      </c>
      <c r="G552" s="4" t="str">
        <f>HYPERLINK("https://diaocthongthai.com/xa-doi-binh-ung-hoa/","Xã Đội Bình")</f>
        <v>Xã Đội Bình</v>
      </c>
    </row>
    <row r="553" spans="1:7" x14ac:dyDescent="0.25">
      <c r="A553" s="2">
        <v>552</v>
      </c>
      <c r="B553" s="3" t="s">
        <v>3</v>
      </c>
      <c r="C553" s="4" t="str">
        <f t="shared" si="36"/>
        <v>Hà Nội</v>
      </c>
      <c r="D553" s="3" t="s">
        <v>94</v>
      </c>
      <c r="E553" s="4" t="str">
        <f t="shared" si="37"/>
        <v>Huyện Ứng Hòa</v>
      </c>
      <c r="F553" s="3" t="s">
        <v>1317</v>
      </c>
      <c r="G553" s="4" t="str">
        <f>HYPERLINK("https://diaocthongthai.com/xa-dai-hung-ung-hoa/","Xã Đại Hùng")</f>
        <v>Xã Đại Hùng</v>
      </c>
    </row>
    <row r="554" spans="1:7" x14ac:dyDescent="0.25">
      <c r="A554" s="2">
        <v>553</v>
      </c>
      <c r="B554" s="3" t="s">
        <v>3</v>
      </c>
      <c r="C554" s="4" t="str">
        <f t="shared" si="36"/>
        <v>Hà Nội</v>
      </c>
      <c r="D554" s="3" t="s">
        <v>94</v>
      </c>
      <c r="E554" s="4" t="str">
        <f t="shared" si="37"/>
        <v>Huyện Ứng Hòa</v>
      </c>
      <c r="F554" s="3" t="s">
        <v>1318</v>
      </c>
      <c r="G554" s="4" t="str">
        <f>HYPERLINK("https://diaocthongthai.com/xa-dong-lo-ung-hoa/","Xã Đông Lỗ")</f>
        <v>Xã Đông Lỗ</v>
      </c>
    </row>
    <row r="555" spans="1:7" x14ac:dyDescent="0.25">
      <c r="A555" s="2">
        <v>554</v>
      </c>
      <c r="B555" s="3" t="s">
        <v>3</v>
      </c>
      <c r="C555" s="4" t="str">
        <f t="shared" si="36"/>
        <v>Hà Nội</v>
      </c>
      <c r="D555" s="3" t="s">
        <v>94</v>
      </c>
      <c r="E555" s="4" t="str">
        <f t="shared" si="37"/>
        <v>Huyện Ứng Hòa</v>
      </c>
      <c r="F555" s="3" t="s">
        <v>1319</v>
      </c>
      <c r="G555" s="4" t="str">
        <f>HYPERLINK("https://diaocthongthai.com/xa-phu-luu-ung-hoa/","Xã Phù Lưu")</f>
        <v>Xã Phù Lưu</v>
      </c>
    </row>
    <row r="556" spans="1:7" x14ac:dyDescent="0.25">
      <c r="A556" s="2">
        <v>555</v>
      </c>
      <c r="B556" s="3" t="s">
        <v>3</v>
      </c>
      <c r="C556" s="4" t="str">
        <f t="shared" si="36"/>
        <v>Hà Nội</v>
      </c>
      <c r="D556" s="3" t="s">
        <v>94</v>
      </c>
      <c r="E556" s="4" t="str">
        <f t="shared" si="37"/>
        <v>Huyện Ứng Hòa</v>
      </c>
      <c r="F556" s="3" t="s">
        <v>1320</v>
      </c>
      <c r="G556" s="4" t="str">
        <f>HYPERLINK("https://diaocthongthai.com/xa-dai-cuong-ung-hoa/","Xã Đại Cường")</f>
        <v>Xã Đại Cường</v>
      </c>
    </row>
    <row r="557" spans="1:7" x14ac:dyDescent="0.25">
      <c r="A557" s="2">
        <v>556</v>
      </c>
      <c r="B557" s="3" t="s">
        <v>3</v>
      </c>
      <c r="C557" s="4" t="str">
        <f t="shared" si="36"/>
        <v>Hà Nội</v>
      </c>
      <c r="D557" s="3" t="s">
        <v>94</v>
      </c>
      <c r="E557" s="4" t="str">
        <f t="shared" si="37"/>
        <v>Huyện Ứng Hòa</v>
      </c>
      <c r="F557" s="3" t="s">
        <v>1321</v>
      </c>
      <c r="G557" s="4" t="str">
        <f>HYPERLINK("https://diaocthongthai.com/xa-luu-hoang-ung-hoa/","Xã Lưu Hoàng")</f>
        <v>Xã Lưu Hoàng</v>
      </c>
    </row>
    <row r="558" spans="1:7" x14ac:dyDescent="0.25">
      <c r="A558" s="2">
        <v>557</v>
      </c>
      <c r="B558" s="3" t="s">
        <v>3</v>
      </c>
      <c r="C558" s="4" t="str">
        <f t="shared" si="36"/>
        <v>Hà Nội</v>
      </c>
      <c r="D558" s="3" t="s">
        <v>94</v>
      </c>
      <c r="E558" s="4" t="str">
        <f t="shared" si="37"/>
        <v>Huyện Ứng Hòa</v>
      </c>
      <c r="F558" s="3" t="s">
        <v>1322</v>
      </c>
      <c r="G558" s="4" t="str">
        <f>HYPERLINK("https://diaocthongthai.com/xa-hong-quang-ung-hoa/","Xã Hồng Quang")</f>
        <v>Xã Hồng Quang</v>
      </c>
    </row>
    <row r="559" spans="1:7" x14ac:dyDescent="0.25">
      <c r="A559" s="2">
        <v>558</v>
      </c>
      <c r="B559" s="3" t="s">
        <v>3</v>
      </c>
      <c r="C559" s="4" t="str">
        <f t="shared" si="36"/>
        <v>Hà Nội</v>
      </c>
      <c r="D559" s="3" t="s">
        <v>95</v>
      </c>
      <c r="E559" s="4" t="str">
        <f t="shared" ref="E559:E580" si="38">HYPERLINK("https://diaocthongthai.com/ban-do-huyen-my-duc-tp-ha-noi/","Huyện Mỹ Đức")</f>
        <v>Huyện Mỹ Đức</v>
      </c>
      <c r="F559" s="3" t="s">
        <v>1323</v>
      </c>
      <c r="G559" s="4" t="str">
        <f>HYPERLINK("https://diaocthongthai.com/thi-tran-dai-nghia-my-duc/","Thị trấn Đại Nghĩa")</f>
        <v>Thị trấn Đại Nghĩa</v>
      </c>
    </row>
    <row r="560" spans="1:7" x14ac:dyDescent="0.25">
      <c r="A560" s="2">
        <v>559</v>
      </c>
      <c r="B560" s="3" t="s">
        <v>3</v>
      </c>
      <c r="C560" s="4" t="str">
        <f t="shared" si="36"/>
        <v>Hà Nội</v>
      </c>
      <c r="D560" s="3" t="s">
        <v>95</v>
      </c>
      <c r="E560" s="4" t="str">
        <f t="shared" si="38"/>
        <v>Huyện Mỹ Đức</v>
      </c>
      <c r="F560" s="3" t="s">
        <v>1324</v>
      </c>
      <c r="G560" s="4" t="str">
        <f>HYPERLINK("https://diaocthongthai.com/xa-dong-tam-my-duc/","Xã Đồng Tâm")</f>
        <v>Xã Đồng Tâm</v>
      </c>
    </row>
    <row r="561" spans="1:7" x14ac:dyDescent="0.25">
      <c r="A561" s="2">
        <v>560</v>
      </c>
      <c r="B561" s="3" t="s">
        <v>3</v>
      </c>
      <c r="C561" s="4" t="str">
        <f t="shared" si="36"/>
        <v>Hà Nội</v>
      </c>
      <c r="D561" s="3" t="s">
        <v>95</v>
      </c>
      <c r="E561" s="4" t="str">
        <f t="shared" si="38"/>
        <v>Huyện Mỹ Đức</v>
      </c>
      <c r="F561" s="3" t="s">
        <v>1325</v>
      </c>
      <c r="G561" s="4" t="str">
        <f>HYPERLINK("https://diaocthongthai.com/xa-thuong-lam-my-duc/","Xã Thượng Lâm")</f>
        <v>Xã Thượng Lâm</v>
      </c>
    </row>
    <row r="562" spans="1:7" x14ac:dyDescent="0.25">
      <c r="A562" s="2">
        <v>561</v>
      </c>
      <c r="B562" s="3" t="s">
        <v>3</v>
      </c>
      <c r="C562" s="4" t="str">
        <f t="shared" si="36"/>
        <v>Hà Nội</v>
      </c>
      <c r="D562" s="3" t="s">
        <v>95</v>
      </c>
      <c r="E562" s="4" t="str">
        <f t="shared" si="38"/>
        <v>Huyện Mỹ Đức</v>
      </c>
      <c r="F562" s="3" t="s">
        <v>1326</v>
      </c>
      <c r="G562" s="4" t="str">
        <f>HYPERLINK("https://diaocthongthai.com/xa-tuy-lai-my-duc/","Xã Tuy Lai")</f>
        <v>Xã Tuy Lai</v>
      </c>
    </row>
    <row r="563" spans="1:7" x14ac:dyDescent="0.25">
      <c r="A563" s="2">
        <v>562</v>
      </c>
      <c r="B563" s="3" t="s">
        <v>3</v>
      </c>
      <c r="C563" s="4" t="str">
        <f t="shared" si="36"/>
        <v>Hà Nội</v>
      </c>
      <c r="D563" s="3" t="s">
        <v>95</v>
      </c>
      <c r="E563" s="4" t="str">
        <f t="shared" si="38"/>
        <v>Huyện Mỹ Đức</v>
      </c>
      <c r="F563" s="3" t="s">
        <v>1327</v>
      </c>
      <c r="G563" s="4" t="str">
        <f>HYPERLINK("https://diaocthongthai.com/xa-phuc-lam-my-duc/","Xã Phúc Lâm")</f>
        <v>Xã Phúc Lâm</v>
      </c>
    </row>
    <row r="564" spans="1:7" x14ac:dyDescent="0.25">
      <c r="A564" s="2">
        <v>563</v>
      </c>
      <c r="B564" s="3" t="s">
        <v>3</v>
      </c>
      <c r="C564" s="4" t="str">
        <f t="shared" si="36"/>
        <v>Hà Nội</v>
      </c>
      <c r="D564" s="3" t="s">
        <v>95</v>
      </c>
      <c r="E564" s="4" t="str">
        <f t="shared" si="38"/>
        <v>Huyện Mỹ Đức</v>
      </c>
      <c r="F564" s="3" t="s">
        <v>1328</v>
      </c>
      <c r="G564" s="4" t="str">
        <f>HYPERLINK("https://diaocthongthai.com/xa-my-thanh-my-duc/","Xã Mỹ Thành")</f>
        <v>Xã Mỹ Thành</v>
      </c>
    </row>
    <row r="565" spans="1:7" x14ac:dyDescent="0.25">
      <c r="A565" s="2">
        <v>564</v>
      </c>
      <c r="B565" s="3" t="s">
        <v>3</v>
      </c>
      <c r="C565" s="4" t="str">
        <f t="shared" si="36"/>
        <v>Hà Nội</v>
      </c>
      <c r="D565" s="3" t="s">
        <v>95</v>
      </c>
      <c r="E565" s="4" t="str">
        <f t="shared" si="38"/>
        <v>Huyện Mỹ Đức</v>
      </c>
      <c r="F565" s="3" t="s">
        <v>1329</v>
      </c>
      <c r="G565" s="4" t="str">
        <f>HYPERLINK("https://diaocthongthai.com/xa-bot-xuyen-my-duc/","Xã Bột Xuyên")</f>
        <v>Xã Bột Xuyên</v>
      </c>
    </row>
    <row r="566" spans="1:7" x14ac:dyDescent="0.25">
      <c r="A566" s="2">
        <v>565</v>
      </c>
      <c r="B566" s="3" t="s">
        <v>3</v>
      </c>
      <c r="C566" s="4" t="str">
        <f t="shared" si="36"/>
        <v>Hà Nội</v>
      </c>
      <c r="D566" s="3" t="s">
        <v>95</v>
      </c>
      <c r="E566" s="4" t="str">
        <f t="shared" si="38"/>
        <v>Huyện Mỹ Đức</v>
      </c>
      <c r="F566" s="3" t="s">
        <v>1330</v>
      </c>
      <c r="G566" s="4" t="str">
        <f>HYPERLINK("https://diaocthongthai.com/xa-an-my-my-duc/","Xã An Mỹ")</f>
        <v>Xã An Mỹ</v>
      </c>
    </row>
    <row r="567" spans="1:7" x14ac:dyDescent="0.25">
      <c r="A567" s="2">
        <v>566</v>
      </c>
      <c r="B567" s="3" t="s">
        <v>3</v>
      </c>
      <c r="C567" s="4" t="str">
        <f t="shared" si="36"/>
        <v>Hà Nội</v>
      </c>
      <c r="D567" s="3" t="s">
        <v>95</v>
      </c>
      <c r="E567" s="4" t="str">
        <f t="shared" si="38"/>
        <v>Huyện Mỹ Đức</v>
      </c>
      <c r="F567" s="3" t="s">
        <v>1331</v>
      </c>
      <c r="G567" s="4" t="str">
        <f>HYPERLINK("https://diaocthongthai.com/xa-hong-son-my-duc/","Xã Hồng Sơn")</f>
        <v>Xã Hồng Sơn</v>
      </c>
    </row>
    <row r="568" spans="1:7" x14ac:dyDescent="0.25">
      <c r="A568" s="2">
        <v>567</v>
      </c>
      <c r="B568" s="3" t="s">
        <v>3</v>
      </c>
      <c r="C568" s="4" t="str">
        <f t="shared" si="36"/>
        <v>Hà Nội</v>
      </c>
      <c r="D568" s="3" t="s">
        <v>95</v>
      </c>
      <c r="E568" s="4" t="str">
        <f t="shared" si="38"/>
        <v>Huyện Mỹ Đức</v>
      </c>
      <c r="F568" s="3" t="s">
        <v>1332</v>
      </c>
      <c r="G568" s="4" t="str">
        <f>HYPERLINK("https://diaocthongthai.com/xa-le-thanh-my-duc/","Xã Lê Thanh")</f>
        <v>Xã Lê Thanh</v>
      </c>
    </row>
    <row r="569" spans="1:7" x14ac:dyDescent="0.25">
      <c r="A569" s="2">
        <v>568</v>
      </c>
      <c r="B569" s="3" t="s">
        <v>3</v>
      </c>
      <c r="C569" s="4" t="str">
        <f t="shared" si="36"/>
        <v>Hà Nội</v>
      </c>
      <c r="D569" s="3" t="s">
        <v>95</v>
      </c>
      <c r="E569" s="4" t="str">
        <f t="shared" si="38"/>
        <v>Huyện Mỹ Đức</v>
      </c>
      <c r="F569" s="3" t="s">
        <v>1333</v>
      </c>
      <c r="G569" s="4" t="str">
        <f>HYPERLINK("https://diaocthongthai.com/xa-xuy-xa-my-duc/","Xã Xuy Xá")</f>
        <v>Xã Xuy Xá</v>
      </c>
    </row>
    <row r="570" spans="1:7" x14ac:dyDescent="0.25">
      <c r="A570" s="2">
        <v>569</v>
      </c>
      <c r="B570" s="3" t="s">
        <v>3</v>
      </c>
      <c r="C570" s="4" t="str">
        <f t="shared" si="36"/>
        <v>Hà Nội</v>
      </c>
      <c r="D570" s="3" t="s">
        <v>95</v>
      </c>
      <c r="E570" s="4" t="str">
        <f t="shared" si="38"/>
        <v>Huyện Mỹ Đức</v>
      </c>
      <c r="F570" s="3" t="s">
        <v>1334</v>
      </c>
      <c r="G570" s="4" t="str">
        <f>HYPERLINK("https://diaocthongthai.com/xa-phung-xa-my-duc/","Xã Phùng Xá")</f>
        <v>Xã Phùng Xá</v>
      </c>
    </row>
    <row r="571" spans="1:7" x14ac:dyDescent="0.25">
      <c r="A571" s="2">
        <v>570</v>
      </c>
      <c r="B571" s="3" t="s">
        <v>3</v>
      </c>
      <c r="C571" s="4" t="str">
        <f t="shared" si="36"/>
        <v>Hà Nội</v>
      </c>
      <c r="D571" s="3" t="s">
        <v>95</v>
      </c>
      <c r="E571" s="4" t="str">
        <f t="shared" si="38"/>
        <v>Huyện Mỹ Đức</v>
      </c>
      <c r="F571" s="3" t="s">
        <v>1335</v>
      </c>
      <c r="G571" s="4" t="str">
        <f>HYPERLINK("https://diaocthongthai.com/xa-phu-luu-te-my-duc/","Xã Phù Lưu Tế")</f>
        <v>Xã Phù Lưu Tế</v>
      </c>
    </row>
    <row r="572" spans="1:7" x14ac:dyDescent="0.25">
      <c r="A572" s="2">
        <v>571</v>
      </c>
      <c r="B572" s="3" t="s">
        <v>3</v>
      </c>
      <c r="C572" s="4" t="str">
        <f t="shared" si="36"/>
        <v>Hà Nội</v>
      </c>
      <c r="D572" s="3" t="s">
        <v>95</v>
      </c>
      <c r="E572" s="4" t="str">
        <f t="shared" si="38"/>
        <v>Huyện Mỹ Đức</v>
      </c>
      <c r="F572" s="3" t="s">
        <v>1336</v>
      </c>
      <c r="G572" s="4" t="str">
        <f>HYPERLINK("https://diaocthongthai.com/xa-dai-hung-my-duc/","Xã Đại Hưng")</f>
        <v>Xã Đại Hưng</v>
      </c>
    </row>
    <row r="573" spans="1:7" x14ac:dyDescent="0.25">
      <c r="A573" s="2">
        <v>572</v>
      </c>
      <c r="B573" s="3" t="s">
        <v>3</v>
      </c>
      <c r="C573" s="4" t="str">
        <f t="shared" si="36"/>
        <v>Hà Nội</v>
      </c>
      <c r="D573" s="3" t="s">
        <v>95</v>
      </c>
      <c r="E573" s="4" t="str">
        <f t="shared" si="38"/>
        <v>Huyện Mỹ Đức</v>
      </c>
      <c r="F573" s="3" t="s">
        <v>1337</v>
      </c>
      <c r="G573" s="4" t="str">
        <f>HYPERLINK("https://diaocthongthai.com/xa-van-kim-my-duc/","Xã Vạn Kim")</f>
        <v>Xã Vạn Kim</v>
      </c>
    </row>
    <row r="574" spans="1:7" x14ac:dyDescent="0.25">
      <c r="A574" s="2">
        <v>573</v>
      </c>
      <c r="B574" s="3" t="s">
        <v>3</v>
      </c>
      <c r="C574" s="4" t="str">
        <f t="shared" si="36"/>
        <v>Hà Nội</v>
      </c>
      <c r="D574" s="3" t="s">
        <v>95</v>
      </c>
      <c r="E574" s="4" t="str">
        <f t="shared" si="38"/>
        <v>Huyện Mỹ Đức</v>
      </c>
      <c r="F574" s="3" t="s">
        <v>1338</v>
      </c>
      <c r="G574" s="4" t="str">
        <f>HYPERLINK("https://diaocthongthai.com/xa-doc-tin-my-duc/","Xã Đốc Tín")</f>
        <v>Xã Đốc Tín</v>
      </c>
    </row>
    <row r="575" spans="1:7" x14ac:dyDescent="0.25">
      <c r="A575" s="2">
        <v>574</v>
      </c>
      <c r="B575" s="3" t="s">
        <v>3</v>
      </c>
      <c r="C575" s="4" t="str">
        <f t="shared" si="36"/>
        <v>Hà Nội</v>
      </c>
      <c r="D575" s="3" t="s">
        <v>95</v>
      </c>
      <c r="E575" s="4" t="str">
        <f t="shared" si="38"/>
        <v>Huyện Mỹ Đức</v>
      </c>
      <c r="F575" s="3" t="s">
        <v>1339</v>
      </c>
      <c r="G575" s="4" t="str">
        <f>HYPERLINK("https://diaocthongthai.com/xa-huong-son-my-duc/","Xã Hương Sơn")</f>
        <v>Xã Hương Sơn</v>
      </c>
    </row>
    <row r="576" spans="1:7" x14ac:dyDescent="0.25">
      <c r="A576" s="2">
        <v>575</v>
      </c>
      <c r="B576" s="3" t="s">
        <v>3</v>
      </c>
      <c r="C576" s="4" t="str">
        <f t="shared" si="36"/>
        <v>Hà Nội</v>
      </c>
      <c r="D576" s="3" t="s">
        <v>95</v>
      </c>
      <c r="E576" s="4" t="str">
        <f t="shared" si="38"/>
        <v>Huyện Mỹ Đức</v>
      </c>
      <c r="F576" s="3" t="s">
        <v>1340</v>
      </c>
      <c r="G576" s="4" t="str">
        <f>HYPERLINK("https://diaocthongthai.com/xa-hung-tien-my-duc/","Xã Hùng Tiến")</f>
        <v>Xã Hùng Tiến</v>
      </c>
    </row>
    <row r="577" spans="1:7" x14ac:dyDescent="0.25">
      <c r="A577" s="2">
        <v>576</v>
      </c>
      <c r="B577" s="3" t="s">
        <v>3</v>
      </c>
      <c r="C577" s="4" t="str">
        <f t="shared" si="36"/>
        <v>Hà Nội</v>
      </c>
      <c r="D577" s="3" t="s">
        <v>95</v>
      </c>
      <c r="E577" s="4" t="str">
        <f t="shared" si="38"/>
        <v>Huyện Mỹ Đức</v>
      </c>
      <c r="F577" s="3" t="s">
        <v>1341</v>
      </c>
      <c r="G577" s="4" t="str">
        <f>HYPERLINK("https://diaocthongthai.com/xa-an-tien-my-duc/","Xã An Tiến")</f>
        <v>Xã An Tiến</v>
      </c>
    </row>
    <row r="578" spans="1:7" x14ac:dyDescent="0.25">
      <c r="A578" s="2">
        <v>577</v>
      </c>
      <c r="B578" s="3" t="s">
        <v>3</v>
      </c>
      <c r="C578" s="4" t="str">
        <f t="shared" si="36"/>
        <v>Hà Nội</v>
      </c>
      <c r="D578" s="3" t="s">
        <v>95</v>
      </c>
      <c r="E578" s="4" t="str">
        <f t="shared" si="38"/>
        <v>Huyện Mỹ Đức</v>
      </c>
      <c r="F578" s="3" t="s">
        <v>1342</v>
      </c>
      <c r="G578" s="4" t="str">
        <f>HYPERLINK("https://diaocthongthai.com/xa-hop-tien-my-duc/","Xã Hợp Tiến")</f>
        <v>Xã Hợp Tiến</v>
      </c>
    </row>
    <row r="579" spans="1:7" x14ac:dyDescent="0.25">
      <c r="A579" s="2">
        <v>578</v>
      </c>
      <c r="B579" s="3" t="s">
        <v>3</v>
      </c>
      <c r="C579" s="4" t="str">
        <f t="shared" si="36"/>
        <v>Hà Nội</v>
      </c>
      <c r="D579" s="3" t="s">
        <v>95</v>
      </c>
      <c r="E579" s="4" t="str">
        <f t="shared" si="38"/>
        <v>Huyện Mỹ Đức</v>
      </c>
      <c r="F579" s="3" t="s">
        <v>1343</v>
      </c>
      <c r="G579" s="4" t="str">
        <f>HYPERLINK("https://diaocthongthai.com/xa-hop-thanh-my-duc/","Xã Hợp Thanh")</f>
        <v>Xã Hợp Thanh</v>
      </c>
    </row>
    <row r="580" spans="1:7" x14ac:dyDescent="0.25">
      <c r="A580" s="2">
        <v>579</v>
      </c>
      <c r="B580" s="3" t="s">
        <v>3</v>
      </c>
      <c r="C580" s="4" t="str">
        <f t="shared" si="36"/>
        <v>Hà Nội</v>
      </c>
      <c r="D580" s="3" t="s">
        <v>95</v>
      </c>
      <c r="E580" s="4" t="str">
        <f t="shared" si="38"/>
        <v>Huyện Mỹ Đức</v>
      </c>
      <c r="F580" s="3" t="s">
        <v>1344</v>
      </c>
      <c r="G580" s="4" t="str">
        <f>HYPERLINK("https://diaocthongthai.com/xa-an-phu-my-duc/","Xã An Phú")</f>
        <v>Xã An Phú</v>
      </c>
    </row>
    <row r="581" spans="1:7" x14ac:dyDescent="0.25">
      <c r="A581" s="2">
        <v>580</v>
      </c>
      <c r="B581" s="3" t="s">
        <v>4</v>
      </c>
      <c r="C581" s="4" t="str">
        <f t="shared" ref="C581:C612" si="39">HYPERLINK("https://diaocthongthai.com/ban-do-ha-giang/","Hà Giang")</f>
        <v>Hà Giang</v>
      </c>
      <c r="D581" s="3" t="s">
        <v>96</v>
      </c>
      <c r="E581" s="4" t="str">
        <f t="shared" ref="E581:E588" si="40">HYPERLINK("https://diaocthongthai.com/ban-do-tp-ha-giang-ha-giang/","Thành phố Hà Giang")</f>
        <v>Thành phố Hà Giang</v>
      </c>
      <c r="F581" s="3" t="s">
        <v>1345</v>
      </c>
      <c r="G581" s="4" t="str">
        <f>HYPERLINK("https://diaocthongthai.com/phuong-quang-trung-tp-ha-giang/","Phường Quang Trung")</f>
        <v>Phường Quang Trung</v>
      </c>
    </row>
    <row r="582" spans="1:7" x14ac:dyDescent="0.25">
      <c r="A582" s="2">
        <v>581</v>
      </c>
      <c r="B582" s="3" t="s">
        <v>4</v>
      </c>
      <c r="C582" s="4" t="str">
        <f t="shared" si="39"/>
        <v>Hà Giang</v>
      </c>
      <c r="D582" s="3" t="s">
        <v>96</v>
      </c>
      <c r="E582" s="4" t="str">
        <f t="shared" si="40"/>
        <v>Thành phố Hà Giang</v>
      </c>
      <c r="F582" s="3" t="s">
        <v>1346</v>
      </c>
      <c r="G582" s="4" t="str">
        <f>HYPERLINK("https://diaocthongthai.com/phuong-tran-phu-tp-ha-giang/","Phường Trần Phú")</f>
        <v>Phường Trần Phú</v>
      </c>
    </row>
    <row r="583" spans="1:7" x14ac:dyDescent="0.25">
      <c r="A583" s="2">
        <v>582</v>
      </c>
      <c r="B583" s="3" t="s">
        <v>4</v>
      </c>
      <c r="C583" s="4" t="str">
        <f t="shared" si="39"/>
        <v>Hà Giang</v>
      </c>
      <c r="D583" s="3" t="s">
        <v>96</v>
      </c>
      <c r="E583" s="4" t="str">
        <f t="shared" si="40"/>
        <v>Thành phố Hà Giang</v>
      </c>
      <c r="F583" s="3" t="s">
        <v>1347</v>
      </c>
      <c r="G583" s="4" t="str">
        <f>HYPERLINK("https://diaocthongthai.com/phuong-ngoc-ha-tp-ha-giang/","Phường Ngọc Hà")</f>
        <v>Phường Ngọc Hà</v>
      </c>
    </row>
    <row r="584" spans="1:7" x14ac:dyDescent="0.25">
      <c r="A584" s="2">
        <v>583</v>
      </c>
      <c r="B584" s="3" t="s">
        <v>4</v>
      </c>
      <c r="C584" s="4" t="str">
        <f t="shared" si="39"/>
        <v>Hà Giang</v>
      </c>
      <c r="D584" s="3" t="s">
        <v>96</v>
      </c>
      <c r="E584" s="4" t="str">
        <f t="shared" si="40"/>
        <v>Thành phố Hà Giang</v>
      </c>
      <c r="F584" s="3" t="s">
        <v>1348</v>
      </c>
      <c r="G584" s="4" t="str">
        <f>HYPERLINK("https://diaocthongthai.com/phuong-nguyen-trai-tp-ha-giang/","Phường Nguyễn Trãi")</f>
        <v>Phường Nguyễn Trãi</v>
      </c>
    </row>
    <row r="585" spans="1:7" x14ac:dyDescent="0.25">
      <c r="A585" s="2">
        <v>584</v>
      </c>
      <c r="B585" s="3" t="s">
        <v>4</v>
      </c>
      <c r="C585" s="4" t="str">
        <f t="shared" si="39"/>
        <v>Hà Giang</v>
      </c>
      <c r="D585" s="3" t="s">
        <v>96</v>
      </c>
      <c r="E585" s="4" t="str">
        <f t="shared" si="40"/>
        <v>Thành phố Hà Giang</v>
      </c>
      <c r="F585" s="3" t="s">
        <v>1349</v>
      </c>
      <c r="G585" s="4" t="str">
        <f>HYPERLINK("https://diaocthongthai.com/phuong-minh-khai-tp-ha-giang/","Phường Minh Khai")</f>
        <v>Phường Minh Khai</v>
      </c>
    </row>
    <row r="586" spans="1:7" x14ac:dyDescent="0.25">
      <c r="A586" s="2">
        <v>585</v>
      </c>
      <c r="B586" s="3" t="s">
        <v>4</v>
      </c>
      <c r="C586" s="4" t="str">
        <f t="shared" si="39"/>
        <v>Hà Giang</v>
      </c>
      <c r="D586" s="3" t="s">
        <v>96</v>
      </c>
      <c r="E586" s="4" t="str">
        <f t="shared" si="40"/>
        <v>Thành phố Hà Giang</v>
      </c>
      <c r="F586" s="3" t="s">
        <v>1350</v>
      </c>
      <c r="G586" s="4" t="str">
        <f>HYPERLINK("https://diaocthongthai.com/xa-ngoc-duong-tp-ha-giang/","Xã Ngọc Đường")</f>
        <v>Xã Ngọc Đường</v>
      </c>
    </row>
    <row r="587" spans="1:7" x14ac:dyDescent="0.25">
      <c r="A587" s="2">
        <v>586</v>
      </c>
      <c r="B587" s="3" t="s">
        <v>4</v>
      </c>
      <c r="C587" s="4" t="str">
        <f t="shared" si="39"/>
        <v>Hà Giang</v>
      </c>
      <c r="D587" s="3" t="s">
        <v>96</v>
      </c>
      <c r="E587" s="4" t="str">
        <f t="shared" si="40"/>
        <v>Thành phố Hà Giang</v>
      </c>
      <c r="F587" s="3" t="s">
        <v>1351</v>
      </c>
      <c r="G587" s="4" t="str">
        <f>HYPERLINK("https://diaocthongthai.com/xa-phuong-do-tp-ha-giang/","Xã Phương Độ")</f>
        <v>Xã Phương Độ</v>
      </c>
    </row>
    <row r="588" spans="1:7" x14ac:dyDescent="0.25">
      <c r="A588" s="2">
        <v>587</v>
      </c>
      <c r="B588" s="3" t="s">
        <v>4</v>
      </c>
      <c r="C588" s="4" t="str">
        <f t="shared" si="39"/>
        <v>Hà Giang</v>
      </c>
      <c r="D588" s="3" t="s">
        <v>96</v>
      </c>
      <c r="E588" s="4" t="str">
        <f t="shared" si="40"/>
        <v>Thành phố Hà Giang</v>
      </c>
      <c r="F588" s="3" t="s">
        <v>1352</v>
      </c>
      <c r="G588" s="4" t="str">
        <f>HYPERLINK("https://diaocthongthai.com/xa-phuong-thien-tp-ha-giang/","Xã Phương Thiện")</f>
        <v>Xã Phương Thiện</v>
      </c>
    </row>
    <row r="589" spans="1:7" x14ac:dyDescent="0.25">
      <c r="A589" s="2">
        <v>588</v>
      </c>
      <c r="B589" s="3" t="s">
        <v>4</v>
      </c>
      <c r="C589" s="4" t="str">
        <f t="shared" si="39"/>
        <v>Hà Giang</v>
      </c>
      <c r="D589" s="3" t="s">
        <v>97</v>
      </c>
      <c r="E589" s="4" t="str">
        <f t="shared" ref="E589:E607" si="41">HYPERLINK("https://diaocthongthai.com/ban-do-huyen-dong-van-ha-giang/","Huyện Đồng Văn")</f>
        <v>Huyện Đồng Văn</v>
      </c>
      <c r="F589" s="3" t="s">
        <v>1353</v>
      </c>
      <c r="G589" s="4" t="str">
        <f>HYPERLINK("https://diaocthongthai.com/thi-tran-pho-bang-dong-van/","Thị trấn Phó Bảng")</f>
        <v>Thị trấn Phó Bảng</v>
      </c>
    </row>
    <row r="590" spans="1:7" x14ac:dyDescent="0.25">
      <c r="A590" s="2">
        <v>589</v>
      </c>
      <c r="B590" s="3" t="s">
        <v>4</v>
      </c>
      <c r="C590" s="4" t="str">
        <f t="shared" si="39"/>
        <v>Hà Giang</v>
      </c>
      <c r="D590" s="3" t="s">
        <v>97</v>
      </c>
      <c r="E590" s="4" t="str">
        <f t="shared" si="41"/>
        <v>Huyện Đồng Văn</v>
      </c>
      <c r="F590" s="3" t="s">
        <v>1354</v>
      </c>
      <c r="G590" s="4" t="str">
        <f>HYPERLINK("https://diaocthongthai.com/xa-lung-cu-dong-van/","Xã Lũng Cú")</f>
        <v>Xã Lũng Cú</v>
      </c>
    </row>
    <row r="591" spans="1:7" x14ac:dyDescent="0.25">
      <c r="A591" s="2">
        <v>590</v>
      </c>
      <c r="B591" s="3" t="s">
        <v>4</v>
      </c>
      <c r="C591" s="4" t="str">
        <f t="shared" si="39"/>
        <v>Hà Giang</v>
      </c>
      <c r="D591" s="3" t="s">
        <v>97</v>
      </c>
      <c r="E591" s="4" t="str">
        <f t="shared" si="41"/>
        <v>Huyện Đồng Văn</v>
      </c>
      <c r="F591" s="3" t="s">
        <v>1355</v>
      </c>
      <c r="G591" s="4" t="str">
        <f>HYPERLINK("https://diaocthongthai.com/xa-ma-le-dong-van/","Xã Má Lé")</f>
        <v>Xã Má Lé</v>
      </c>
    </row>
    <row r="592" spans="1:7" x14ac:dyDescent="0.25">
      <c r="A592" s="2">
        <v>591</v>
      </c>
      <c r="B592" s="3" t="s">
        <v>4</v>
      </c>
      <c r="C592" s="4" t="str">
        <f t="shared" si="39"/>
        <v>Hà Giang</v>
      </c>
      <c r="D592" s="3" t="s">
        <v>97</v>
      </c>
      <c r="E592" s="4" t="str">
        <f t="shared" si="41"/>
        <v>Huyện Đồng Văn</v>
      </c>
      <c r="F592" s="3" t="s">
        <v>1356</v>
      </c>
      <c r="G592" s="4" t="str">
        <f>HYPERLINK("https://diaocthongthai.com/thi-tran-dong-van-dong-van/","Thị trấn Đồng Văn")</f>
        <v>Thị trấn Đồng Văn</v>
      </c>
    </row>
    <row r="593" spans="1:7" x14ac:dyDescent="0.25">
      <c r="A593" s="2">
        <v>592</v>
      </c>
      <c r="B593" s="3" t="s">
        <v>4</v>
      </c>
      <c r="C593" s="4" t="str">
        <f t="shared" si="39"/>
        <v>Hà Giang</v>
      </c>
      <c r="D593" s="3" t="s">
        <v>97</v>
      </c>
      <c r="E593" s="4" t="str">
        <f t="shared" si="41"/>
        <v>Huyện Đồng Văn</v>
      </c>
      <c r="F593" s="3" t="s">
        <v>1357</v>
      </c>
      <c r="G593" s="4" t="str">
        <f>HYPERLINK("https://diaocthongthai.com/xa-lung-tao-dong-van/","Xã Lũng Táo")</f>
        <v>Xã Lũng Táo</v>
      </c>
    </row>
    <row r="594" spans="1:7" x14ac:dyDescent="0.25">
      <c r="A594" s="2">
        <v>593</v>
      </c>
      <c r="B594" s="3" t="s">
        <v>4</v>
      </c>
      <c r="C594" s="4" t="str">
        <f t="shared" si="39"/>
        <v>Hà Giang</v>
      </c>
      <c r="D594" s="3" t="s">
        <v>97</v>
      </c>
      <c r="E594" s="4" t="str">
        <f t="shared" si="41"/>
        <v>Huyện Đồng Văn</v>
      </c>
      <c r="F594" s="3" t="s">
        <v>1358</v>
      </c>
      <c r="G594" s="4" t="str">
        <f>HYPERLINK("https://diaocthongthai.com/xa-pho-la-dong-van/","Xã Phố Là")</f>
        <v>Xã Phố Là</v>
      </c>
    </row>
    <row r="595" spans="1:7" x14ac:dyDescent="0.25">
      <c r="A595" s="2">
        <v>594</v>
      </c>
      <c r="B595" s="3" t="s">
        <v>4</v>
      </c>
      <c r="C595" s="4" t="str">
        <f t="shared" si="39"/>
        <v>Hà Giang</v>
      </c>
      <c r="D595" s="3" t="s">
        <v>97</v>
      </c>
      <c r="E595" s="4" t="str">
        <f t="shared" si="41"/>
        <v>Huyện Đồng Văn</v>
      </c>
      <c r="F595" s="3" t="s">
        <v>1359</v>
      </c>
      <c r="G595" s="4" t="str">
        <f>HYPERLINK("https://diaocthongthai.com/xa-thai-phin-tung-dong-van/","Xã Thài Phìn Tủng")</f>
        <v>Xã Thài Phìn Tủng</v>
      </c>
    </row>
    <row r="596" spans="1:7" x14ac:dyDescent="0.25">
      <c r="A596" s="2">
        <v>595</v>
      </c>
      <c r="B596" s="3" t="s">
        <v>4</v>
      </c>
      <c r="C596" s="4" t="str">
        <f t="shared" si="39"/>
        <v>Hà Giang</v>
      </c>
      <c r="D596" s="3" t="s">
        <v>97</v>
      </c>
      <c r="E596" s="4" t="str">
        <f t="shared" si="41"/>
        <v>Huyện Đồng Văn</v>
      </c>
      <c r="F596" s="3" t="s">
        <v>1360</v>
      </c>
      <c r="G596" s="4" t="str">
        <f>HYPERLINK("https://diaocthongthai.com/xa-sung-la-dong-van/","Xã Sủng Là")</f>
        <v>Xã Sủng Là</v>
      </c>
    </row>
    <row r="597" spans="1:7" x14ac:dyDescent="0.25">
      <c r="A597" s="2">
        <v>596</v>
      </c>
      <c r="B597" s="3" t="s">
        <v>4</v>
      </c>
      <c r="C597" s="4" t="str">
        <f t="shared" si="39"/>
        <v>Hà Giang</v>
      </c>
      <c r="D597" s="3" t="s">
        <v>97</v>
      </c>
      <c r="E597" s="4" t="str">
        <f t="shared" si="41"/>
        <v>Huyện Đồng Văn</v>
      </c>
      <c r="F597" s="3" t="s">
        <v>1361</v>
      </c>
      <c r="G597" s="4" t="str">
        <f>HYPERLINK("https://diaocthongthai.com/xa-sa-phin-dong-van/","Xã Xà Phìn")</f>
        <v>Xã Xà Phìn</v>
      </c>
    </row>
    <row r="598" spans="1:7" x14ac:dyDescent="0.25">
      <c r="A598" s="2">
        <v>597</v>
      </c>
      <c r="B598" s="3" t="s">
        <v>4</v>
      </c>
      <c r="C598" s="4" t="str">
        <f t="shared" si="39"/>
        <v>Hà Giang</v>
      </c>
      <c r="D598" s="3" t="s">
        <v>97</v>
      </c>
      <c r="E598" s="4" t="str">
        <f t="shared" si="41"/>
        <v>Huyện Đồng Văn</v>
      </c>
      <c r="F598" s="3" t="s">
        <v>1362</v>
      </c>
      <c r="G598" s="4" t="str">
        <f>HYPERLINK("https://diaocthongthai.com/xa-ta-phin-dong-van/","Xã Tả Phìn")</f>
        <v>Xã Tả Phìn</v>
      </c>
    </row>
    <row r="599" spans="1:7" x14ac:dyDescent="0.25">
      <c r="A599" s="2">
        <v>598</v>
      </c>
      <c r="B599" s="3" t="s">
        <v>4</v>
      </c>
      <c r="C599" s="4" t="str">
        <f t="shared" si="39"/>
        <v>Hà Giang</v>
      </c>
      <c r="D599" s="3" t="s">
        <v>97</v>
      </c>
      <c r="E599" s="4" t="str">
        <f t="shared" si="41"/>
        <v>Huyện Đồng Văn</v>
      </c>
      <c r="F599" s="3" t="s">
        <v>1363</v>
      </c>
      <c r="G599" s="4" t="str">
        <f>HYPERLINK("https://diaocthongthai.com/xa-ta-lung-dong-van/","Xã Tả Lủng")</f>
        <v>Xã Tả Lủng</v>
      </c>
    </row>
    <row r="600" spans="1:7" x14ac:dyDescent="0.25">
      <c r="A600" s="2">
        <v>599</v>
      </c>
      <c r="B600" s="3" t="s">
        <v>4</v>
      </c>
      <c r="C600" s="4" t="str">
        <f t="shared" si="39"/>
        <v>Hà Giang</v>
      </c>
      <c r="D600" s="3" t="s">
        <v>97</v>
      </c>
      <c r="E600" s="4" t="str">
        <f t="shared" si="41"/>
        <v>Huyện Đồng Văn</v>
      </c>
      <c r="F600" s="3" t="s">
        <v>1364</v>
      </c>
      <c r="G600" s="4" t="str">
        <f>HYPERLINK("https://diaocthongthai.com/xa-pho-cao-dong-van/","Xã Phố Cáo")</f>
        <v>Xã Phố Cáo</v>
      </c>
    </row>
    <row r="601" spans="1:7" x14ac:dyDescent="0.25">
      <c r="A601" s="2">
        <v>600</v>
      </c>
      <c r="B601" s="3" t="s">
        <v>4</v>
      </c>
      <c r="C601" s="4" t="str">
        <f t="shared" si="39"/>
        <v>Hà Giang</v>
      </c>
      <c r="D601" s="3" t="s">
        <v>97</v>
      </c>
      <c r="E601" s="4" t="str">
        <f t="shared" si="41"/>
        <v>Huyện Đồng Văn</v>
      </c>
      <c r="F601" s="3" t="s">
        <v>1365</v>
      </c>
      <c r="G601" s="4" t="str">
        <f>HYPERLINK("https://diaocthongthai.com/xa-sinh-lung-dong-van/","Xã Sính Lủng")</f>
        <v>Xã Sính Lủng</v>
      </c>
    </row>
    <row r="602" spans="1:7" x14ac:dyDescent="0.25">
      <c r="A602" s="2">
        <v>601</v>
      </c>
      <c r="B602" s="3" t="s">
        <v>4</v>
      </c>
      <c r="C602" s="4" t="str">
        <f t="shared" si="39"/>
        <v>Hà Giang</v>
      </c>
      <c r="D602" s="3" t="s">
        <v>97</v>
      </c>
      <c r="E602" s="4" t="str">
        <f t="shared" si="41"/>
        <v>Huyện Đồng Văn</v>
      </c>
      <c r="F602" s="3" t="s">
        <v>1366</v>
      </c>
      <c r="G602" s="4" t="str">
        <f>HYPERLINK("https://diaocthongthai.com/xa-sang-tung-dong-van/","Xã Sảng Tủng")</f>
        <v>Xã Sảng Tủng</v>
      </c>
    </row>
    <row r="603" spans="1:7" x14ac:dyDescent="0.25">
      <c r="A603" s="2">
        <v>602</v>
      </c>
      <c r="B603" s="3" t="s">
        <v>4</v>
      </c>
      <c r="C603" s="4" t="str">
        <f t="shared" si="39"/>
        <v>Hà Giang</v>
      </c>
      <c r="D603" s="3" t="s">
        <v>97</v>
      </c>
      <c r="E603" s="4" t="str">
        <f t="shared" si="41"/>
        <v>Huyện Đồng Văn</v>
      </c>
      <c r="F603" s="3" t="s">
        <v>1367</v>
      </c>
      <c r="G603" s="4" t="str">
        <f>HYPERLINK("https://diaocthongthai.com/xa-lung-thau-dong-van/","Xã Lũng Thầu")</f>
        <v>Xã Lũng Thầu</v>
      </c>
    </row>
    <row r="604" spans="1:7" x14ac:dyDescent="0.25">
      <c r="A604" s="2">
        <v>603</v>
      </c>
      <c r="B604" s="3" t="s">
        <v>4</v>
      </c>
      <c r="C604" s="4" t="str">
        <f t="shared" si="39"/>
        <v>Hà Giang</v>
      </c>
      <c r="D604" s="3" t="s">
        <v>97</v>
      </c>
      <c r="E604" s="4" t="str">
        <f t="shared" si="41"/>
        <v>Huyện Đồng Văn</v>
      </c>
      <c r="F604" s="3" t="s">
        <v>1368</v>
      </c>
      <c r="G604" s="4" t="str">
        <f>HYPERLINK("https://diaocthongthai.com/xa-ho-quang-phin-dong-van/","Xã Hố Quáng Phìn")</f>
        <v>Xã Hố Quáng Phìn</v>
      </c>
    </row>
    <row r="605" spans="1:7" x14ac:dyDescent="0.25">
      <c r="A605" s="2">
        <v>604</v>
      </c>
      <c r="B605" s="3" t="s">
        <v>4</v>
      </c>
      <c r="C605" s="4" t="str">
        <f t="shared" si="39"/>
        <v>Hà Giang</v>
      </c>
      <c r="D605" s="3" t="s">
        <v>97</v>
      </c>
      <c r="E605" s="4" t="str">
        <f t="shared" si="41"/>
        <v>Huyện Đồng Văn</v>
      </c>
      <c r="F605" s="3" t="s">
        <v>1369</v>
      </c>
      <c r="G605" s="4" t="str">
        <f>HYPERLINK("https://diaocthongthai.com/xa-van-chai-dong-van/","Xã Vần Chải")</f>
        <v>Xã Vần Chải</v>
      </c>
    </row>
    <row r="606" spans="1:7" x14ac:dyDescent="0.25">
      <c r="A606" s="2">
        <v>605</v>
      </c>
      <c r="B606" s="3" t="s">
        <v>4</v>
      </c>
      <c r="C606" s="4" t="str">
        <f t="shared" si="39"/>
        <v>Hà Giang</v>
      </c>
      <c r="D606" s="3" t="s">
        <v>97</v>
      </c>
      <c r="E606" s="4" t="str">
        <f t="shared" si="41"/>
        <v>Huyện Đồng Văn</v>
      </c>
      <c r="F606" s="3" t="s">
        <v>1370</v>
      </c>
      <c r="G606" s="4" t="str">
        <f>HYPERLINK("https://diaocthongthai.com/xa-lung-phin-dong-van/","Xã Lũng Phìn")</f>
        <v>Xã Lũng Phìn</v>
      </c>
    </row>
    <row r="607" spans="1:7" x14ac:dyDescent="0.25">
      <c r="A607" s="2">
        <v>606</v>
      </c>
      <c r="B607" s="3" t="s">
        <v>4</v>
      </c>
      <c r="C607" s="4" t="str">
        <f t="shared" si="39"/>
        <v>Hà Giang</v>
      </c>
      <c r="D607" s="3" t="s">
        <v>97</v>
      </c>
      <c r="E607" s="4" t="str">
        <f t="shared" si="41"/>
        <v>Huyện Đồng Văn</v>
      </c>
      <c r="F607" s="3" t="s">
        <v>1371</v>
      </c>
      <c r="G607" s="4" t="str">
        <f>HYPERLINK("https://diaocthongthai.com/xa-sung-trai-dong-van/","Xã Sủng Trái")</f>
        <v>Xã Sủng Trái</v>
      </c>
    </row>
    <row r="608" spans="1:7" x14ac:dyDescent="0.25">
      <c r="A608" s="2">
        <v>607</v>
      </c>
      <c r="B608" s="3" t="s">
        <v>4</v>
      </c>
      <c r="C608" s="4" t="str">
        <f t="shared" si="39"/>
        <v>Hà Giang</v>
      </c>
      <c r="D608" s="3" t="s">
        <v>98</v>
      </c>
      <c r="E608" s="4" t="str">
        <f t="shared" ref="E608:E625" si="42">HYPERLINK("https://diaocthongthai.com/ban-do-huyen-meo-vac-ha-giang/","Huyện Mèo Vạc")</f>
        <v>Huyện Mèo Vạc</v>
      </c>
      <c r="F608" s="3" t="s">
        <v>1372</v>
      </c>
      <c r="G608" s="4" t="str">
        <f>HYPERLINK("https://diaocthongthai.com/thi-tran-meo-vac-meo-vac/","Thị trấn Mèo Vạc")</f>
        <v>Thị trấn Mèo Vạc</v>
      </c>
    </row>
    <row r="609" spans="1:7" x14ac:dyDescent="0.25">
      <c r="A609" s="2">
        <v>608</v>
      </c>
      <c r="B609" s="3" t="s">
        <v>4</v>
      </c>
      <c r="C609" s="4" t="str">
        <f t="shared" si="39"/>
        <v>Hà Giang</v>
      </c>
      <c r="D609" s="3" t="s">
        <v>98</v>
      </c>
      <c r="E609" s="4" t="str">
        <f t="shared" si="42"/>
        <v>Huyện Mèo Vạc</v>
      </c>
      <c r="F609" s="3" t="s">
        <v>1373</v>
      </c>
      <c r="G609" s="4" t="str">
        <f>HYPERLINK("https://diaocthongthai.com/xa-thuong-phung-meo-vac/","Xã Thượng Phùng")</f>
        <v>Xã Thượng Phùng</v>
      </c>
    </row>
    <row r="610" spans="1:7" x14ac:dyDescent="0.25">
      <c r="A610" s="2">
        <v>609</v>
      </c>
      <c r="B610" s="3" t="s">
        <v>4</v>
      </c>
      <c r="C610" s="4" t="str">
        <f t="shared" si="39"/>
        <v>Hà Giang</v>
      </c>
      <c r="D610" s="3" t="s">
        <v>98</v>
      </c>
      <c r="E610" s="4" t="str">
        <f t="shared" si="42"/>
        <v>Huyện Mèo Vạc</v>
      </c>
      <c r="F610" s="3" t="s">
        <v>1374</v>
      </c>
      <c r="G610" s="4" t="str">
        <f>HYPERLINK("https://diaocthongthai.com/xa-pai-lung-meo-vac/","Xã Pải Lủng")</f>
        <v>Xã Pải Lủng</v>
      </c>
    </row>
    <row r="611" spans="1:7" x14ac:dyDescent="0.25">
      <c r="A611" s="2">
        <v>610</v>
      </c>
      <c r="B611" s="3" t="s">
        <v>4</v>
      </c>
      <c r="C611" s="4" t="str">
        <f t="shared" si="39"/>
        <v>Hà Giang</v>
      </c>
      <c r="D611" s="3" t="s">
        <v>98</v>
      </c>
      <c r="E611" s="4" t="str">
        <f t="shared" si="42"/>
        <v>Huyện Mèo Vạc</v>
      </c>
      <c r="F611" s="3" t="s">
        <v>1375</v>
      </c>
      <c r="G611" s="4" t="str">
        <f>HYPERLINK("https://diaocthongthai.com/xa-xin-cai-meo-vac/","Xã Xín Cái")</f>
        <v>Xã Xín Cái</v>
      </c>
    </row>
    <row r="612" spans="1:7" x14ac:dyDescent="0.25">
      <c r="A612" s="2">
        <v>611</v>
      </c>
      <c r="B612" s="3" t="s">
        <v>4</v>
      </c>
      <c r="C612" s="4" t="str">
        <f t="shared" si="39"/>
        <v>Hà Giang</v>
      </c>
      <c r="D612" s="3" t="s">
        <v>98</v>
      </c>
      <c r="E612" s="4" t="str">
        <f t="shared" si="42"/>
        <v>Huyện Mèo Vạc</v>
      </c>
      <c r="F612" s="3" t="s">
        <v>1376</v>
      </c>
      <c r="G612" s="4" t="str">
        <f>HYPERLINK("https://diaocthongthai.com/xa-pa-vi-meo-vac/","Xã Pả Vi")</f>
        <v>Xã Pả Vi</v>
      </c>
    </row>
    <row r="613" spans="1:7" x14ac:dyDescent="0.25">
      <c r="A613" s="2">
        <v>612</v>
      </c>
      <c r="B613" s="3" t="s">
        <v>4</v>
      </c>
      <c r="C613" s="4" t="str">
        <f t="shared" ref="C613:C644" si="43">HYPERLINK("https://diaocthongthai.com/ban-do-ha-giang/","Hà Giang")</f>
        <v>Hà Giang</v>
      </c>
      <c r="D613" s="3" t="s">
        <v>98</v>
      </c>
      <c r="E613" s="4" t="str">
        <f t="shared" si="42"/>
        <v>Huyện Mèo Vạc</v>
      </c>
      <c r="F613" s="3" t="s">
        <v>1377</v>
      </c>
      <c r="G613" s="4" t="str">
        <f>HYPERLINK("https://diaocthongthai.com/xa-giang-chu-phin-meo-vac/","Xã Giàng Chu Phìn")</f>
        <v>Xã Giàng Chu Phìn</v>
      </c>
    </row>
    <row r="614" spans="1:7" x14ac:dyDescent="0.25">
      <c r="A614" s="2">
        <v>613</v>
      </c>
      <c r="B614" s="3" t="s">
        <v>4</v>
      </c>
      <c r="C614" s="4" t="str">
        <f t="shared" si="43"/>
        <v>Hà Giang</v>
      </c>
      <c r="D614" s="3" t="s">
        <v>98</v>
      </c>
      <c r="E614" s="4" t="str">
        <f t="shared" si="42"/>
        <v>Huyện Mèo Vạc</v>
      </c>
      <c r="F614" s="3" t="s">
        <v>1378</v>
      </c>
      <c r="G614" s="4" t="str">
        <f>HYPERLINK("https://diaocthongthai.com/xa-sung-tra-meo-vac/","Xã Sủng Trà")</f>
        <v>Xã Sủng Trà</v>
      </c>
    </row>
    <row r="615" spans="1:7" x14ac:dyDescent="0.25">
      <c r="A615" s="2">
        <v>614</v>
      </c>
      <c r="B615" s="3" t="s">
        <v>4</v>
      </c>
      <c r="C615" s="4" t="str">
        <f t="shared" si="43"/>
        <v>Hà Giang</v>
      </c>
      <c r="D615" s="3" t="s">
        <v>98</v>
      </c>
      <c r="E615" s="4" t="str">
        <f t="shared" si="42"/>
        <v>Huyện Mèo Vạc</v>
      </c>
      <c r="F615" s="3" t="s">
        <v>1379</v>
      </c>
      <c r="G615" s="4" t="str">
        <f>HYPERLINK("https://diaocthongthai.com/xa-sung-mang-meo-vac/","Xã Sủng Máng")</f>
        <v>Xã Sủng Máng</v>
      </c>
    </row>
    <row r="616" spans="1:7" x14ac:dyDescent="0.25">
      <c r="A616" s="2">
        <v>615</v>
      </c>
      <c r="B616" s="3" t="s">
        <v>4</v>
      </c>
      <c r="C616" s="4" t="str">
        <f t="shared" si="43"/>
        <v>Hà Giang</v>
      </c>
      <c r="D616" s="3" t="s">
        <v>98</v>
      </c>
      <c r="E616" s="4" t="str">
        <f t="shared" si="42"/>
        <v>Huyện Mèo Vạc</v>
      </c>
      <c r="F616" s="3" t="s">
        <v>1380</v>
      </c>
      <c r="G616" s="4" t="str">
        <f>HYPERLINK("https://diaocthongthai.com/xa-son-vi-meo-vac/","Xã Sơn Vĩ")</f>
        <v>Xã Sơn Vĩ</v>
      </c>
    </row>
    <row r="617" spans="1:7" x14ac:dyDescent="0.25">
      <c r="A617" s="2">
        <v>616</v>
      </c>
      <c r="B617" s="3" t="s">
        <v>4</v>
      </c>
      <c r="C617" s="4" t="str">
        <f t="shared" si="43"/>
        <v>Hà Giang</v>
      </c>
      <c r="D617" s="3" t="s">
        <v>98</v>
      </c>
      <c r="E617" s="4" t="str">
        <f t="shared" si="42"/>
        <v>Huyện Mèo Vạc</v>
      </c>
      <c r="F617" s="3" t="s">
        <v>1381</v>
      </c>
      <c r="G617" s="4" t="str">
        <f>HYPERLINK("https://diaocthongthai.com/xa-ta-lung-meo-vac/","Xã Tả Lủng")</f>
        <v>Xã Tả Lủng</v>
      </c>
    </row>
    <row r="618" spans="1:7" x14ac:dyDescent="0.25">
      <c r="A618" s="2">
        <v>617</v>
      </c>
      <c r="B618" s="3" t="s">
        <v>4</v>
      </c>
      <c r="C618" s="4" t="str">
        <f t="shared" si="43"/>
        <v>Hà Giang</v>
      </c>
      <c r="D618" s="3" t="s">
        <v>98</v>
      </c>
      <c r="E618" s="4" t="str">
        <f t="shared" si="42"/>
        <v>Huyện Mèo Vạc</v>
      </c>
      <c r="F618" s="3" t="s">
        <v>1382</v>
      </c>
      <c r="G618" s="4" t="str">
        <f>HYPERLINK("https://diaocthongthai.com/xa-can-chu-phin-meo-vac/","Xã Cán Chu Phìn")</f>
        <v>Xã Cán Chu Phìn</v>
      </c>
    </row>
    <row r="619" spans="1:7" x14ac:dyDescent="0.25">
      <c r="A619" s="2">
        <v>618</v>
      </c>
      <c r="B619" s="3" t="s">
        <v>4</v>
      </c>
      <c r="C619" s="4" t="str">
        <f t="shared" si="43"/>
        <v>Hà Giang</v>
      </c>
      <c r="D619" s="3" t="s">
        <v>98</v>
      </c>
      <c r="E619" s="4" t="str">
        <f t="shared" si="42"/>
        <v>Huyện Mèo Vạc</v>
      </c>
      <c r="F619" s="3" t="s">
        <v>1383</v>
      </c>
      <c r="G619" s="4" t="str">
        <f>HYPERLINK("https://diaocthongthai.com/xa-lung-pu-meo-vac/","Xã Lũng Pù")</f>
        <v>Xã Lũng Pù</v>
      </c>
    </row>
    <row r="620" spans="1:7" x14ac:dyDescent="0.25">
      <c r="A620" s="2">
        <v>619</v>
      </c>
      <c r="B620" s="3" t="s">
        <v>4</v>
      </c>
      <c r="C620" s="4" t="str">
        <f t="shared" si="43"/>
        <v>Hà Giang</v>
      </c>
      <c r="D620" s="3" t="s">
        <v>98</v>
      </c>
      <c r="E620" s="4" t="str">
        <f t="shared" si="42"/>
        <v>Huyện Mèo Vạc</v>
      </c>
      <c r="F620" s="3" t="s">
        <v>1384</v>
      </c>
      <c r="G620" s="4" t="str">
        <f>HYPERLINK("https://diaocthongthai.com/xa-lung-chinh-meo-vac/","Xã Lũng Chinh")</f>
        <v>Xã Lũng Chinh</v>
      </c>
    </row>
    <row r="621" spans="1:7" x14ac:dyDescent="0.25">
      <c r="A621" s="2">
        <v>620</v>
      </c>
      <c r="B621" s="3" t="s">
        <v>4</v>
      </c>
      <c r="C621" s="4" t="str">
        <f t="shared" si="43"/>
        <v>Hà Giang</v>
      </c>
      <c r="D621" s="3" t="s">
        <v>98</v>
      </c>
      <c r="E621" s="4" t="str">
        <f t="shared" si="42"/>
        <v>Huyện Mèo Vạc</v>
      </c>
      <c r="F621" s="3" t="s">
        <v>1385</v>
      </c>
      <c r="G621" s="4" t="str">
        <f>HYPERLINK("https://diaocthongthai.com/xa-tat-nga-meo-vac/","Xã Tát Ngà")</f>
        <v>Xã Tát Ngà</v>
      </c>
    </row>
    <row r="622" spans="1:7" x14ac:dyDescent="0.25">
      <c r="A622" s="2">
        <v>621</v>
      </c>
      <c r="B622" s="3" t="s">
        <v>4</v>
      </c>
      <c r="C622" s="4" t="str">
        <f t="shared" si="43"/>
        <v>Hà Giang</v>
      </c>
      <c r="D622" s="3" t="s">
        <v>98</v>
      </c>
      <c r="E622" s="4" t="str">
        <f t="shared" si="42"/>
        <v>Huyện Mèo Vạc</v>
      </c>
      <c r="F622" s="3" t="s">
        <v>1386</v>
      </c>
      <c r="G622" s="4" t="str">
        <f>HYPERLINK("https://diaocthongthai.com/xa-nam-ban-meo-vac/","Xã Nậm Ban")</f>
        <v>Xã Nậm Ban</v>
      </c>
    </row>
    <row r="623" spans="1:7" x14ac:dyDescent="0.25">
      <c r="A623" s="2">
        <v>622</v>
      </c>
      <c r="B623" s="3" t="s">
        <v>4</v>
      </c>
      <c r="C623" s="4" t="str">
        <f t="shared" si="43"/>
        <v>Hà Giang</v>
      </c>
      <c r="D623" s="3" t="s">
        <v>98</v>
      </c>
      <c r="E623" s="4" t="str">
        <f t="shared" si="42"/>
        <v>Huyện Mèo Vạc</v>
      </c>
      <c r="F623" s="3" t="s">
        <v>1387</v>
      </c>
      <c r="G623" s="4" t="str">
        <f>HYPERLINK("https://diaocthongthai.com/xa-khau-vai-meo-vac/","Xã Khâu Vai")</f>
        <v>Xã Khâu Vai</v>
      </c>
    </row>
    <row r="624" spans="1:7" x14ac:dyDescent="0.25">
      <c r="A624" s="2">
        <v>623</v>
      </c>
      <c r="B624" s="3" t="s">
        <v>4</v>
      </c>
      <c r="C624" s="4" t="str">
        <f t="shared" si="43"/>
        <v>Hà Giang</v>
      </c>
      <c r="D624" s="3" t="s">
        <v>98</v>
      </c>
      <c r="E624" s="4" t="str">
        <f t="shared" si="42"/>
        <v>Huyện Mèo Vạc</v>
      </c>
      <c r="F624" s="3" t="s">
        <v>1388</v>
      </c>
      <c r="G624" s="4" t="str">
        <f>HYPERLINK("https://diaocthongthai.com/xa-niem-tong-meo-vac/","Xã Niêm Tòng")</f>
        <v>Xã Niêm Tòng</v>
      </c>
    </row>
    <row r="625" spans="1:7" x14ac:dyDescent="0.25">
      <c r="A625" s="2">
        <v>624</v>
      </c>
      <c r="B625" s="3" t="s">
        <v>4</v>
      </c>
      <c r="C625" s="4" t="str">
        <f t="shared" si="43"/>
        <v>Hà Giang</v>
      </c>
      <c r="D625" s="3" t="s">
        <v>98</v>
      </c>
      <c r="E625" s="4" t="str">
        <f t="shared" si="42"/>
        <v>Huyện Mèo Vạc</v>
      </c>
      <c r="F625" s="3" t="s">
        <v>1389</v>
      </c>
      <c r="G625" s="4" t="str">
        <f>HYPERLINK("https://diaocthongthai.com/xa-niem-son-meo-vac/","Xã Niêm Sơn")</f>
        <v>Xã Niêm Sơn</v>
      </c>
    </row>
    <row r="626" spans="1:7" x14ac:dyDescent="0.25">
      <c r="A626" s="2">
        <v>625</v>
      </c>
      <c r="B626" s="3" t="s">
        <v>4</v>
      </c>
      <c r="C626" s="4" t="str">
        <f t="shared" si="43"/>
        <v>Hà Giang</v>
      </c>
      <c r="D626" s="3" t="s">
        <v>99</v>
      </c>
      <c r="E626" s="4" t="str">
        <f t="shared" ref="E626:E643" si="44">HYPERLINK("https://diaocthongthai.com/ban-do-huyen-yen-minh-ha-giang/","Huyện Yên Minh")</f>
        <v>Huyện Yên Minh</v>
      </c>
      <c r="F626" s="3" t="s">
        <v>1390</v>
      </c>
      <c r="G626" s="4" t="str">
        <f>HYPERLINK("https://diaocthongthai.com/thi-tran-yen-minh-yen-minh/","Thị trấn Yên Minh")</f>
        <v>Thị trấn Yên Minh</v>
      </c>
    </row>
    <row r="627" spans="1:7" x14ac:dyDescent="0.25">
      <c r="A627" s="2">
        <v>626</v>
      </c>
      <c r="B627" s="3" t="s">
        <v>4</v>
      </c>
      <c r="C627" s="4" t="str">
        <f t="shared" si="43"/>
        <v>Hà Giang</v>
      </c>
      <c r="D627" s="3" t="s">
        <v>99</v>
      </c>
      <c r="E627" s="4" t="str">
        <f t="shared" si="44"/>
        <v>Huyện Yên Minh</v>
      </c>
      <c r="F627" s="3" t="s">
        <v>1391</v>
      </c>
      <c r="G627" s="4" t="str">
        <f>HYPERLINK("https://diaocthongthai.com/xa-thang-mo-yen-minh/","Xã Thắng Mố")</f>
        <v>Xã Thắng Mố</v>
      </c>
    </row>
    <row r="628" spans="1:7" x14ac:dyDescent="0.25">
      <c r="A628" s="2">
        <v>627</v>
      </c>
      <c r="B628" s="3" t="s">
        <v>4</v>
      </c>
      <c r="C628" s="4" t="str">
        <f t="shared" si="43"/>
        <v>Hà Giang</v>
      </c>
      <c r="D628" s="3" t="s">
        <v>99</v>
      </c>
      <c r="E628" s="4" t="str">
        <f t="shared" si="44"/>
        <v>Huyện Yên Minh</v>
      </c>
      <c r="F628" s="3" t="s">
        <v>1392</v>
      </c>
      <c r="G628" s="4" t="str">
        <f>HYPERLINK("https://diaocthongthai.com/xa-phu-lung-yen-minh/","Xã Phú Lũng")</f>
        <v>Xã Phú Lũng</v>
      </c>
    </row>
    <row r="629" spans="1:7" x14ac:dyDescent="0.25">
      <c r="A629" s="2">
        <v>628</v>
      </c>
      <c r="B629" s="3" t="s">
        <v>4</v>
      </c>
      <c r="C629" s="4" t="str">
        <f t="shared" si="43"/>
        <v>Hà Giang</v>
      </c>
      <c r="D629" s="3" t="s">
        <v>99</v>
      </c>
      <c r="E629" s="4" t="str">
        <f t="shared" si="44"/>
        <v>Huyện Yên Minh</v>
      </c>
      <c r="F629" s="3" t="s">
        <v>1393</v>
      </c>
      <c r="G629" s="4" t="str">
        <f>HYPERLINK("https://diaocthongthai.com/xa-sung-chang-yen-minh/","Xã Sủng Tráng")</f>
        <v>Xã Sủng Tráng</v>
      </c>
    </row>
    <row r="630" spans="1:7" x14ac:dyDescent="0.25">
      <c r="A630" s="2">
        <v>629</v>
      </c>
      <c r="B630" s="3" t="s">
        <v>4</v>
      </c>
      <c r="C630" s="4" t="str">
        <f t="shared" si="43"/>
        <v>Hà Giang</v>
      </c>
      <c r="D630" s="3" t="s">
        <v>99</v>
      </c>
      <c r="E630" s="4" t="str">
        <f t="shared" si="44"/>
        <v>Huyện Yên Minh</v>
      </c>
      <c r="F630" s="3" t="s">
        <v>1394</v>
      </c>
      <c r="G630" s="4" t="str">
        <f>HYPERLINK("https://diaocthongthai.com/xa-bach-dich-yen-minh/","Xã Bạch Đích")</f>
        <v>Xã Bạch Đích</v>
      </c>
    </row>
    <row r="631" spans="1:7" x14ac:dyDescent="0.25">
      <c r="A631" s="2">
        <v>630</v>
      </c>
      <c r="B631" s="3" t="s">
        <v>4</v>
      </c>
      <c r="C631" s="4" t="str">
        <f t="shared" si="43"/>
        <v>Hà Giang</v>
      </c>
      <c r="D631" s="3" t="s">
        <v>99</v>
      </c>
      <c r="E631" s="4" t="str">
        <f t="shared" si="44"/>
        <v>Huyện Yên Minh</v>
      </c>
      <c r="F631" s="3" t="s">
        <v>1395</v>
      </c>
      <c r="G631" s="4" t="str">
        <f>HYPERLINK("https://diaocthongthai.com/xa-na-khe-yen-minh/","Xã Na Khê")</f>
        <v>Xã Na Khê</v>
      </c>
    </row>
    <row r="632" spans="1:7" x14ac:dyDescent="0.25">
      <c r="A632" s="2">
        <v>631</v>
      </c>
      <c r="B632" s="3" t="s">
        <v>4</v>
      </c>
      <c r="C632" s="4" t="str">
        <f t="shared" si="43"/>
        <v>Hà Giang</v>
      </c>
      <c r="D632" s="3" t="s">
        <v>99</v>
      </c>
      <c r="E632" s="4" t="str">
        <f t="shared" si="44"/>
        <v>Huyện Yên Minh</v>
      </c>
      <c r="F632" s="3" t="s">
        <v>1396</v>
      </c>
      <c r="G632" s="4" t="str">
        <f>HYPERLINK("https://diaocthongthai.com/xa-sung-thai-yen-minh/","Xã Sủng Thài")</f>
        <v>Xã Sủng Thài</v>
      </c>
    </row>
    <row r="633" spans="1:7" x14ac:dyDescent="0.25">
      <c r="A633" s="2">
        <v>632</v>
      </c>
      <c r="B633" s="3" t="s">
        <v>4</v>
      </c>
      <c r="C633" s="4" t="str">
        <f t="shared" si="43"/>
        <v>Hà Giang</v>
      </c>
      <c r="D633" s="3" t="s">
        <v>99</v>
      </c>
      <c r="E633" s="4" t="str">
        <f t="shared" si="44"/>
        <v>Huyện Yên Minh</v>
      </c>
      <c r="F633" s="3" t="s">
        <v>1397</v>
      </c>
      <c r="G633" s="4" t="str">
        <f>HYPERLINK("https://diaocthongthai.com/xa-huu-vinh-yen-minh/","Xã Hữu Vinh")</f>
        <v>Xã Hữu Vinh</v>
      </c>
    </row>
    <row r="634" spans="1:7" x14ac:dyDescent="0.25">
      <c r="A634" s="2">
        <v>633</v>
      </c>
      <c r="B634" s="3" t="s">
        <v>4</v>
      </c>
      <c r="C634" s="4" t="str">
        <f t="shared" si="43"/>
        <v>Hà Giang</v>
      </c>
      <c r="D634" s="3" t="s">
        <v>99</v>
      </c>
      <c r="E634" s="4" t="str">
        <f t="shared" si="44"/>
        <v>Huyện Yên Minh</v>
      </c>
      <c r="F634" s="3" t="s">
        <v>1398</v>
      </c>
      <c r="G634" s="4" t="str">
        <f>HYPERLINK("https://diaocthongthai.com/xa-lao-va-chai-yen-minh/","Xã Lao Và Chải")</f>
        <v>Xã Lao Và Chải</v>
      </c>
    </row>
    <row r="635" spans="1:7" x14ac:dyDescent="0.25">
      <c r="A635" s="2">
        <v>634</v>
      </c>
      <c r="B635" s="3" t="s">
        <v>4</v>
      </c>
      <c r="C635" s="4" t="str">
        <f t="shared" si="43"/>
        <v>Hà Giang</v>
      </c>
      <c r="D635" s="3" t="s">
        <v>99</v>
      </c>
      <c r="E635" s="4" t="str">
        <f t="shared" si="44"/>
        <v>Huyện Yên Minh</v>
      </c>
      <c r="F635" s="3" t="s">
        <v>1399</v>
      </c>
      <c r="G635" s="4" t="str">
        <f>HYPERLINK("https://diaocthongthai.com/xa-mau-due-yen-minh/","Xã Mậu Duệ")</f>
        <v>Xã Mậu Duệ</v>
      </c>
    </row>
    <row r="636" spans="1:7" x14ac:dyDescent="0.25">
      <c r="A636" s="2">
        <v>635</v>
      </c>
      <c r="B636" s="3" t="s">
        <v>4</v>
      </c>
      <c r="C636" s="4" t="str">
        <f t="shared" si="43"/>
        <v>Hà Giang</v>
      </c>
      <c r="D636" s="3" t="s">
        <v>99</v>
      </c>
      <c r="E636" s="4" t="str">
        <f t="shared" si="44"/>
        <v>Huyện Yên Minh</v>
      </c>
      <c r="F636" s="3" t="s">
        <v>1400</v>
      </c>
      <c r="G636" s="4" t="str">
        <f>HYPERLINK("https://diaocthongthai.com/xa-dong-minh-yen-minh/","Xã Đông Minh")</f>
        <v>Xã Đông Minh</v>
      </c>
    </row>
    <row r="637" spans="1:7" x14ac:dyDescent="0.25">
      <c r="A637" s="2">
        <v>636</v>
      </c>
      <c r="B637" s="3" t="s">
        <v>4</v>
      </c>
      <c r="C637" s="4" t="str">
        <f t="shared" si="43"/>
        <v>Hà Giang</v>
      </c>
      <c r="D637" s="3" t="s">
        <v>99</v>
      </c>
      <c r="E637" s="4" t="str">
        <f t="shared" si="44"/>
        <v>Huyện Yên Minh</v>
      </c>
      <c r="F637" s="3" t="s">
        <v>1401</v>
      </c>
      <c r="G637" s="4" t="str">
        <f>HYPERLINK("https://diaocthongthai.com/xa-mau-long-yen-minh/","Xã Mậu Long")</f>
        <v>Xã Mậu Long</v>
      </c>
    </row>
    <row r="638" spans="1:7" x14ac:dyDescent="0.25">
      <c r="A638" s="2">
        <v>637</v>
      </c>
      <c r="B638" s="3" t="s">
        <v>4</v>
      </c>
      <c r="C638" s="4" t="str">
        <f t="shared" si="43"/>
        <v>Hà Giang</v>
      </c>
      <c r="D638" s="3" t="s">
        <v>99</v>
      </c>
      <c r="E638" s="4" t="str">
        <f t="shared" si="44"/>
        <v>Huyện Yên Minh</v>
      </c>
      <c r="F638" s="3" t="s">
        <v>1402</v>
      </c>
      <c r="G638" s="4" t="str">
        <f>HYPERLINK("https://diaocthongthai.com/xa-ngam-la-yen-minh/","Xã Ngam La")</f>
        <v>Xã Ngam La</v>
      </c>
    </row>
    <row r="639" spans="1:7" x14ac:dyDescent="0.25">
      <c r="A639" s="2">
        <v>638</v>
      </c>
      <c r="B639" s="3" t="s">
        <v>4</v>
      </c>
      <c r="C639" s="4" t="str">
        <f t="shared" si="43"/>
        <v>Hà Giang</v>
      </c>
      <c r="D639" s="3" t="s">
        <v>99</v>
      </c>
      <c r="E639" s="4" t="str">
        <f t="shared" si="44"/>
        <v>Huyện Yên Minh</v>
      </c>
      <c r="F639" s="3" t="s">
        <v>1403</v>
      </c>
      <c r="G639" s="4" t="str">
        <f>HYPERLINK("https://diaocthongthai.com/xa-ngoc-long-yen-minh/","Xã Ngọc Long")</f>
        <v>Xã Ngọc Long</v>
      </c>
    </row>
    <row r="640" spans="1:7" x14ac:dyDescent="0.25">
      <c r="A640" s="2">
        <v>639</v>
      </c>
      <c r="B640" s="3" t="s">
        <v>4</v>
      </c>
      <c r="C640" s="4" t="str">
        <f t="shared" si="43"/>
        <v>Hà Giang</v>
      </c>
      <c r="D640" s="3" t="s">
        <v>99</v>
      </c>
      <c r="E640" s="4" t="str">
        <f t="shared" si="44"/>
        <v>Huyện Yên Minh</v>
      </c>
      <c r="F640" s="3" t="s">
        <v>1404</v>
      </c>
      <c r="G640" s="4" t="str">
        <f>HYPERLINK("https://diaocthongthai.com/xa-duong-thuong-yen-minh/","Xã Đường Thượng")</f>
        <v>Xã Đường Thượng</v>
      </c>
    </row>
    <row r="641" spans="1:7" x14ac:dyDescent="0.25">
      <c r="A641" s="2">
        <v>640</v>
      </c>
      <c r="B641" s="3" t="s">
        <v>4</v>
      </c>
      <c r="C641" s="4" t="str">
        <f t="shared" si="43"/>
        <v>Hà Giang</v>
      </c>
      <c r="D641" s="3" t="s">
        <v>99</v>
      </c>
      <c r="E641" s="4" t="str">
        <f t="shared" si="44"/>
        <v>Huyện Yên Minh</v>
      </c>
      <c r="F641" s="3" t="s">
        <v>1405</v>
      </c>
      <c r="G641" s="4" t="str">
        <f>HYPERLINK("https://diaocthongthai.com/xa-lung-ho-yen-minh/","Xã Lũng Hồ")</f>
        <v>Xã Lũng Hồ</v>
      </c>
    </row>
    <row r="642" spans="1:7" x14ac:dyDescent="0.25">
      <c r="A642" s="2">
        <v>641</v>
      </c>
      <c r="B642" s="3" t="s">
        <v>4</v>
      </c>
      <c r="C642" s="4" t="str">
        <f t="shared" si="43"/>
        <v>Hà Giang</v>
      </c>
      <c r="D642" s="3" t="s">
        <v>99</v>
      </c>
      <c r="E642" s="4" t="str">
        <f t="shared" si="44"/>
        <v>Huyện Yên Minh</v>
      </c>
      <c r="F642" s="3" t="s">
        <v>1406</v>
      </c>
      <c r="G642" s="4" t="str">
        <f>HYPERLINK("https://diaocthongthai.com/xa-du-tien-yen-minh/","Xã Du Tiến")</f>
        <v>Xã Du Tiến</v>
      </c>
    </row>
    <row r="643" spans="1:7" x14ac:dyDescent="0.25">
      <c r="A643" s="2">
        <v>642</v>
      </c>
      <c r="B643" s="3" t="s">
        <v>4</v>
      </c>
      <c r="C643" s="4" t="str">
        <f t="shared" si="43"/>
        <v>Hà Giang</v>
      </c>
      <c r="D643" s="3" t="s">
        <v>99</v>
      </c>
      <c r="E643" s="4" t="str">
        <f t="shared" si="44"/>
        <v>Huyện Yên Minh</v>
      </c>
      <c r="F643" s="3" t="s">
        <v>1407</v>
      </c>
      <c r="G643" s="4" t="str">
        <f>HYPERLINK("https://diaocthongthai.com/xa-du-gia-yen-minh/","Xã Du Già")</f>
        <v>Xã Du Già</v>
      </c>
    </row>
    <row r="644" spans="1:7" x14ac:dyDescent="0.25">
      <c r="A644" s="2">
        <v>643</v>
      </c>
      <c r="B644" s="3" t="s">
        <v>4</v>
      </c>
      <c r="C644" s="4" t="str">
        <f t="shared" si="43"/>
        <v>Hà Giang</v>
      </c>
      <c r="D644" s="3" t="s">
        <v>100</v>
      </c>
      <c r="E644" s="4" t="str">
        <f t="shared" ref="E644:E656" si="45">HYPERLINK("https://diaocthongthai.com/ban-do-huyen-quan-ba-ha-giang/","Huyện Quản Bạ")</f>
        <v>Huyện Quản Bạ</v>
      </c>
      <c r="F644" s="3" t="s">
        <v>1408</v>
      </c>
      <c r="G644" s="4" t="str">
        <f>HYPERLINK("https://diaocthongthai.com/thi-tran-tam-son-quan-ba/","Thị trấn Tam Sơn")</f>
        <v>Thị trấn Tam Sơn</v>
      </c>
    </row>
    <row r="645" spans="1:7" x14ac:dyDescent="0.25">
      <c r="A645" s="2">
        <v>644</v>
      </c>
      <c r="B645" s="3" t="s">
        <v>4</v>
      </c>
      <c r="C645" s="4" t="str">
        <f t="shared" ref="C645:C676" si="46">HYPERLINK("https://diaocthongthai.com/ban-do-ha-giang/","Hà Giang")</f>
        <v>Hà Giang</v>
      </c>
      <c r="D645" s="3" t="s">
        <v>100</v>
      </c>
      <c r="E645" s="4" t="str">
        <f t="shared" si="45"/>
        <v>Huyện Quản Bạ</v>
      </c>
      <c r="F645" s="3" t="s">
        <v>1409</v>
      </c>
      <c r="G645" s="4" t="str">
        <f>HYPERLINK("https://diaocthongthai.com/xa-bat-dai-son-quan-ba/","Xã Bát Đại Sơn")</f>
        <v>Xã Bát Đại Sơn</v>
      </c>
    </row>
    <row r="646" spans="1:7" x14ac:dyDescent="0.25">
      <c r="A646" s="2">
        <v>645</v>
      </c>
      <c r="B646" s="3" t="s">
        <v>4</v>
      </c>
      <c r="C646" s="4" t="str">
        <f t="shared" si="46"/>
        <v>Hà Giang</v>
      </c>
      <c r="D646" s="3" t="s">
        <v>100</v>
      </c>
      <c r="E646" s="4" t="str">
        <f t="shared" si="45"/>
        <v>Huyện Quản Bạ</v>
      </c>
      <c r="F646" s="3" t="s">
        <v>1410</v>
      </c>
      <c r="G646" s="4" t="str">
        <f>HYPERLINK("https://diaocthongthai.com/xa-nghia-thuan-quan-ba/","Xã Nghĩa Thuận")</f>
        <v>Xã Nghĩa Thuận</v>
      </c>
    </row>
    <row r="647" spans="1:7" x14ac:dyDescent="0.25">
      <c r="A647" s="2">
        <v>646</v>
      </c>
      <c r="B647" s="3" t="s">
        <v>4</v>
      </c>
      <c r="C647" s="4" t="str">
        <f t="shared" si="46"/>
        <v>Hà Giang</v>
      </c>
      <c r="D647" s="3" t="s">
        <v>100</v>
      </c>
      <c r="E647" s="4" t="str">
        <f t="shared" si="45"/>
        <v>Huyện Quản Bạ</v>
      </c>
      <c r="F647" s="3" t="s">
        <v>1411</v>
      </c>
      <c r="G647" s="4" t="str">
        <f>HYPERLINK("https://diaocthongthai.com/xa-can-ty-quan-ba/","Xã Cán Tỷ")</f>
        <v>Xã Cán Tỷ</v>
      </c>
    </row>
    <row r="648" spans="1:7" x14ac:dyDescent="0.25">
      <c r="A648" s="2">
        <v>647</v>
      </c>
      <c r="B648" s="3" t="s">
        <v>4</v>
      </c>
      <c r="C648" s="4" t="str">
        <f t="shared" si="46"/>
        <v>Hà Giang</v>
      </c>
      <c r="D648" s="3" t="s">
        <v>100</v>
      </c>
      <c r="E648" s="4" t="str">
        <f t="shared" si="45"/>
        <v>Huyện Quản Bạ</v>
      </c>
      <c r="F648" s="3" t="s">
        <v>1412</v>
      </c>
      <c r="G648" s="4" t="str">
        <f>HYPERLINK("https://diaocthongthai.com/xa-cao-ma-po-quan-ba/","Xã Cao Mã Pờ")</f>
        <v>Xã Cao Mã Pờ</v>
      </c>
    </row>
    <row r="649" spans="1:7" x14ac:dyDescent="0.25">
      <c r="A649" s="2">
        <v>648</v>
      </c>
      <c r="B649" s="3" t="s">
        <v>4</v>
      </c>
      <c r="C649" s="4" t="str">
        <f t="shared" si="46"/>
        <v>Hà Giang</v>
      </c>
      <c r="D649" s="3" t="s">
        <v>100</v>
      </c>
      <c r="E649" s="4" t="str">
        <f t="shared" si="45"/>
        <v>Huyện Quản Bạ</v>
      </c>
      <c r="F649" s="3" t="s">
        <v>1413</v>
      </c>
      <c r="G649" s="4" t="str">
        <f>HYPERLINK("https://diaocthongthai.com/xa-thanh-van-quan-ba/","Xã Thanh Vân")</f>
        <v>Xã Thanh Vân</v>
      </c>
    </row>
    <row r="650" spans="1:7" x14ac:dyDescent="0.25">
      <c r="A650" s="2">
        <v>649</v>
      </c>
      <c r="B650" s="3" t="s">
        <v>4</v>
      </c>
      <c r="C650" s="4" t="str">
        <f t="shared" si="46"/>
        <v>Hà Giang</v>
      </c>
      <c r="D650" s="3" t="s">
        <v>100</v>
      </c>
      <c r="E650" s="4" t="str">
        <f t="shared" si="45"/>
        <v>Huyện Quản Bạ</v>
      </c>
      <c r="F650" s="3" t="s">
        <v>1414</v>
      </c>
      <c r="G650" s="4" t="str">
        <f>HYPERLINK("https://diaocthongthai.com/xa-tung-vai-quan-ba/","Xã Tùng Vài")</f>
        <v>Xã Tùng Vài</v>
      </c>
    </row>
    <row r="651" spans="1:7" x14ac:dyDescent="0.25">
      <c r="A651" s="2">
        <v>650</v>
      </c>
      <c r="B651" s="3" t="s">
        <v>4</v>
      </c>
      <c r="C651" s="4" t="str">
        <f t="shared" si="46"/>
        <v>Hà Giang</v>
      </c>
      <c r="D651" s="3" t="s">
        <v>100</v>
      </c>
      <c r="E651" s="4" t="str">
        <f t="shared" si="45"/>
        <v>Huyện Quản Bạ</v>
      </c>
      <c r="F651" s="3" t="s">
        <v>1415</v>
      </c>
      <c r="G651" s="4" t="str">
        <f>HYPERLINK("https://diaocthongthai.com/xa-dong-ha-quan-ba/","Xã Đông Hà")</f>
        <v>Xã Đông Hà</v>
      </c>
    </row>
    <row r="652" spans="1:7" x14ac:dyDescent="0.25">
      <c r="A652" s="2">
        <v>651</v>
      </c>
      <c r="B652" s="3" t="s">
        <v>4</v>
      </c>
      <c r="C652" s="4" t="str">
        <f t="shared" si="46"/>
        <v>Hà Giang</v>
      </c>
      <c r="D652" s="3" t="s">
        <v>100</v>
      </c>
      <c r="E652" s="4" t="str">
        <f t="shared" si="45"/>
        <v>Huyện Quản Bạ</v>
      </c>
      <c r="F652" s="3" t="s">
        <v>1416</v>
      </c>
      <c r="G652" s="4" t="str">
        <f>HYPERLINK("https://diaocthongthai.com/xa-quan-ba-quan-ba/","Xã Quản Bạ")</f>
        <v>Xã Quản Bạ</v>
      </c>
    </row>
    <row r="653" spans="1:7" x14ac:dyDescent="0.25">
      <c r="A653" s="2">
        <v>652</v>
      </c>
      <c r="B653" s="3" t="s">
        <v>4</v>
      </c>
      <c r="C653" s="4" t="str">
        <f t="shared" si="46"/>
        <v>Hà Giang</v>
      </c>
      <c r="D653" s="3" t="s">
        <v>100</v>
      </c>
      <c r="E653" s="4" t="str">
        <f t="shared" si="45"/>
        <v>Huyện Quản Bạ</v>
      </c>
      <c r="F653" s="3" t="s">
        <v>1417</v>
      </c>
      <c r="G653" s="4" t="str">
        <f>HYPERLINK("https://diaocthongthai.com/xa-lung-tam-quan-ba/","Xã Lùng Tám")</f>
        <v>Xã Lùng Tám</v>
      </c>
    </row>
    <row r="654" spans="1:7" x14ac:dyDescent="0.25">
      <c r="A654" s="2">
        <v>653</v>
      </c>
      <c r="B654" s="3" t="s">
        <v>4</v>
      </c>
      <c r="C654" s="4" t="str">
        <f t="shared" si="46"/>
        <v>Hà Giang</v>
      </c>
      <c r="D654" s="3" t="s">
        <v>100</v>
      </c>
      <c r="E654" s="4" t="str">
        <f t="shared" si="45"/>
        <v>Huyện Quản Bạ</v>
      </c>
      <c r="F654" s="3" t="s">
        <v>1418</v>
      </c>
      <c r="G654" s="4" t="str">
        <f>HYPERLINK("https://diaocthongthai.com/xa-quyet-tien-quan-ba/","Xã Quyết Tiến")</f>
        <v>Xã Quyết Tiến</v>
      </c>
    </row>
    <row r="655" spans="1:7" x14ac:dyDescent="0.25">
      <c r="A655" s="2">
        <v>654</v>
      </c>
      <c r="B655" s="3" t="s">
        <v>4</v>
      </c>
      <c r="C655" s="4" t="str">
        <f t="shared" si="46"/>
        <v>Hà Giang</v>
      </c>
      <c r="D655" s="3" t="s">
        <v>100</v>
      </c>
      <c r="E655" s="4" t="str">
        <f t="shared" si="45"/>
        <v>Huyện Quản Bạ</v>
      </c>
      <c r="F655" s="3" t="s">
        <v>1419</v>
      </c>
      <c r="G655" s="4" t="str">
        <f>HYPERLINK("https://diaocthongthai.com/xa-ta-van-quan-ba/","Xã Tả Ván")</f>
        <v>Xã Tả Ván</v>
      </c>
    </row>
    <row r="656" spans="1:7" x14ac:dyDescent="0.25">
      <c r="A656" s="2">
        <v>655</v>
      </c>
      <c r="B656" s="3" t="s">
        <v>4</v>
      </c>
      <c r="C656" s="4" t="str">
        <f t="shared" si="46"/>
        <v>Hà Giang</v>
      </c>
      <c r="D656" s="3" t="s">
        <v>100</v>
      </c>
      <c r="E656" s="4" t="str">
        <f t="shared" si="45"/>
        <v>Huyện Quản Bạ</v>
      </c>
      <c r="F656" s="3" t="s">
        <v>1420</v>
      </c>
      <c r="G656" s="4" t="str">
        <f>HYPERLINK("https://diaocthongthai.com/xa-thai-an-quan-ba/","Xã Thái An")</f>
        <v>Xã Thái An</v>
      </c>
    </row>
    <row r="657" spans="1:7" x14ac:dyDescent="0.25">
      <c r="A657" s="2">
        <v>656</v>
      </c>
      <c r="B657" s="3" t="s">
        <v>4</v>
      </c>
      <c r="C657" s="4" t="str">
        <f t="shared" si="46"/>
        <v>Hà Giang</v>
      </c>
      <c r="D657" s="3" t="s">
        <v>101</v>
      </c>
      <c r="E657" s="4" t="str">
        <f t="shared" ref="E657:E680" si="47">HYPERLINK("https://diaocthongthai.com/ban-do-huyen-vi-xuyen-ha-giang/","Huyện Vị Xuyên")</f>
        <v>Huyện Vị Xuyên</v>
      </c>
      <c r="F657" s="3" t="s">
        <v>1421</v>
      </c>
      <c r="G657" s="4" t="str">
        <f>HYPERLINK("https://diaocthongthai.com/xa-kim-thach-vi-xuyen/","Xã Kim Thạch")</f>
        <v>Xã Kim Thạch</v>
      </c>
    </row>
    <row r="658" spans="1:7" x14ac:dyDescent="0.25">
      <c r="A658" s="2">
        <v>657</v>
      </c>
      <c r="B658" s="3" t="s">
        <v>4</v>
      </c>
      <c r="C658" s="4" t="str">
        <f t="shared" si="46"/>
        <v>Hà Giang</v>
      </c>
      <c r="D658" s="3" t="s">
        <v>101</v>
      </c>
      <c r="E658" s="4" t="str">
        <f t="shared" si="47"/>
        <v>Huyện Vị Xuyên</v>
      </c>
      <c r="F658" s="3" t="s">
        <v>1422</v>
      </c>
      <c r="G658" s="4" t="str">
        <f>HYPERLINK("https://diaocthongthai.com/xa-phu-linh-vi-xuyen/","Xã Phú Linh")</f>
        <v>Xã Phú Linh</v>
      </c>
    </row>
    <row r="659" spans="1:7" x14ac:dyDescent="0.25">
      <c r="A659" s="2">
        <v>658</v>
      </c>
      <c r="B659" s="3" t="s">
        <v>4</v>
      </c>
      <c r="C659" s="4" t="str">
        <f t="shared" si="46"/>
        <v>Hà Giang</v>
      </c>
      <c r="D659" s="3" t="s">
        <v>101</v>
      </c>
      <c r="E659" s="4" t="str">
        <f t="shared" si="47"/>
        <v>Huyện Vị Xuyên</v>
      </c>
      <c r="F659" s="3" t="s">
        <v>1423</v>
      </c>
      <c r="G659" s="4" t="str">
        <f>HYPERLINK("https://diaocthongthai.com/xa-kim-linh-vi-xuyen/","Xã Kim Linh")</f>
        <v>Xã Kim Linh</v>
      </c>
    </row>
    <row r="660" spans="1:7" x14ac:dyDescent="0.25">
      <c r="A660" s="2">
        <v>659</v>
      </c>
      <c r="B660" s="3" t="s">
        <v>4</v>
      </c>
      <c r="C660" s="4" t="str">
        <f t="shared" si="46"/>
        <v>Hà Giang</v>
      </c>
      <c r="D660" s="3" t="s">
        <v>101</v>
      </c>
      <c r="E660" s="4" t="str">
        <f t="shared" si="47"/>
        <v>Huyện Vị Xuyên</v>
      </c>
      <c r="F660" s="3" t="s">
        <v>1424</v>
      </c>
      <c r="G660" s="4" t="str">
        <f>HYPERLINK("https://diaocthongthai.com/thi-tran-vi-xuyen-vi-xuyen/","Thị trấn Vị Xuyên")</f>
        <v>Thị trấn Vị Xuyên</v>
      </c>
    </row>
    <row r="661" spans="1:7" x14ac:dyDescent="0.25">
      <c r="A661" s="2">
        <v>660</v>
      </c>
      <c r="B661" s="3" t="s">
        <v>4</v>
      </c>
      <c r="C661" s="4" t="str">
        <f t="shared" si="46"/>
        <v>Hà Giang</v>
      </c>
      <c r="D661" s="3" t="s">
        <v>101</v>
      </c>
      <c r="E661" s="4" t="str">
        <f t="shared" si="47"/>
        <v>Huyện Vị Xuyên</v>
      </c>
      <c r="F661" s="3" t="s">
        <v>1425</v>
      </c>
      <c r="G661" s="4" t="str">
        <f>HYPERLINK("https://diaocthongthai.com/thi-tran-nong-truong-viet-lam-vi-xuyen/","Thị trấn Nông Trường Việt Lâm")</f>
        <v>Thị trấn Nông Trường Việt Lâm</v>
      </c>
    </row>
    <row r="662" spans="1:7" x14ac:dyDescent="0.25">
      <c r="A662" s="2">
        <v>661</v>
      </c>
      <c r="B662" s="3" t="s">
        <v>4</v>
      </c>
      <c r="C662" s="4" t="str">
        <f t="shared" si="46"/>
        <v>Hà Giang</v>
      </c>
      <c r="D662" s="3" t="s">
        <v>101</v>
      </c>
      <c r="E662" s="4" t="str">
        <f t="shared" si="47"/>
        <v>Huyện Vị Xuyên</v>
      </c>
      <c r="F662" s="3" t="s">
        <v>1426</v>
      </c>
      <c r="G662" s="4" t="str">
        <f>HYPERLINK("https://diaocthongthai.com/xa-minh-tan-vi-xuyen/","Xã Minh Tân")</f>
        <v>Xã Minh Tân</v>
      </c>
    </row>
    <row r="663" spans="1:7" x14ac:dyDescent="0.25">
      <c r="A663" s="2">
        <v>662</v>
      </c>
      <c r="B663" s="3" t="s">
        <v>4</v>
      </c>
      <c r="C663" s="4" t="str">
        <f t="shared" si="46"/>
        <v>Hà Giang</v>
      </c>
      <c r="D663" s="3" t="s">
        <v>101</v>
      </c>
      <c r="E663" s="4" t="str">
        <f t="shared" si="47"/>
        <v>Huyện Vị Xuyên</v>
      </c>
      <c r="F663" s="3" t="s">
        <v>1427</v>
      </c>
      <c r="G663" s="4" t="str">
        <f>HYPERLINK("https://diaocthongthai.com/xa-thuan-hoa-vi-xuyen/","Xã Thuận Hoà")</f>
        <v>Xã Thuận Hoà</v>
      </c>
    </row>
    <row r="664" spans="1:7" x14ac:dyDescent="0.25">
      <c r="A664" s="2">
        <v>663</v>
      </c>
      <c r="B664" s="3" t="s">
        <v>4</v>
      </c>
      <c r="C664" s="4" t="str">
        <f t="shared" si="46"/>
        <v>Hà Giang</v>
      </c>
      <c r="D664" s="3" t="s">
        <v>101</v>
      </c>
      <c r="E664" s="4" t="str">
        <f t="shared" si="47"/>
        <v>Huyện Vị Xuyên</v>
      </c>
      <c r="F664" s="3" t="s">
        <v>1428</v>
      </c>
      <c r="G664" s="4" t="str">
        <f>HYPERLINK("https://diaocthongthai.com/xa-tung-ba-vi-xuyen/","Xã Tùng Bá")</f>
        <v>Xã Tùng Bá</v>
      </c>
    </row>
    <row r="665" spans="1:7" x14ac:dyDescent="0.25">
      <c r="A665" s="2">
        <v>664</v>
      </c>
      <c r="B665" s="3" t="s">
        <v>4</v>
      </c>
      <c r="C665" s="4" t="str">
        <f t="shared" si="46"/>
        <v>Hà Giang</v>
      </c>
      <c r="D665" s="3" t="s">
        <v>101</v>
      </c>
      <c r="E665" s="4" t="str">
        <f t="shared" si="47"/>
        <v>Huyện Vị Xuyên</v>
      </c>
      <c r="F665" s="3" t="s">
        <v>1429</v>
      </c>
      <c r="G665" s="4" t="str">
        <f>HYPERLINK("https://diaocthongthai.com/xa-thanh-thuy-vi-xuyen/","Xã Thanh Thủy")</f>
        <v>Xã Thanh Thủy</v>
      </c>
    </row>
    <row r="666" spans="1:7" x14ac:dyDescent="0.25">
      <c r="A666" s="2">
        <v>665</v>
      </c>
      <c r="B666" s="3" t="s">
        <v>4</v>
      </c>
      <c r="C666" s="4" t="str">
        <f t="shared" si="46"/>
        <v>Hà Giang</v>
      </c>
      <c r="D666" s="3" t="s">
        <v>101</v>
      </c>
      <c r="E666" s="4" t="str">
        <f t="shared" si="47"/>
        <v>Huyện Vị Xuyên</v>
      </c>
      <c r="F666" s="3" t="s">
        <v>1430</v>
      </c>
      <c r="G666" s="4" t="str">
        <f>HYPERLINK("https://diaocthongthai.com/xa-thanh-duc-vi-xuyen/","Xã Thanh Đức")</f>
        <v>Xã Thanh Đức</v>
      </c>
    </row>
    <row r="667" spans="1:7" x14ac:dyDescent="0.25">
      <c r="A667" s="2">
        <v>666</v>
      </c>
      <c r="B667" s="3" t="s">
        <v>4</v>
      </c>
      <c r="C667" s="4" t="str">
        <f t="shared" si="46"/>
        <v>Hà Giang</v>
      </c>
      <c r="D667" s="3" t="s">
        <v>101</v>
      </c>
      <c r="E667" s="4" t="str">
        <f t="shared" si="47"/>
        <v>Huyện Vị Xuyên</v>
      </c>
      <c r="F667" s="3" t="s">
        <v>1431</v>
      </c>
      <c r="G667" s="4" t="str">
        <f>HYPERLINK("https://diaocthongthai.com/xa-phong-quang-vi-xuyen/","Xã Phong Quang")</f>
        <v>Xã Phong Quang</v>
      </c>
    </row>
    <row r="668" spans="1:7" x14ac:dyDescent="0.25">
      <c r="A668" s="2">
        <v>667</v>
      </c>
      <c r="B668" s="3" t="s">
        <v>4</v>
      </c>
      <c r="C668" s="4" t="str">
        <f t="shared" si="46"/>
        <v>Hà Giang</v>
      </c>
      <c r="D668" s="3" t="s">
        <v>101</v>
      </c>
      <c r="E668" s="4" t="str">
        <f t="shared" si="47"/>
        <v>Huyện Vị Xuyên</v>
      </c>
      <c r="F668" s="3" t="s">
        <v>1432</v>
      </c>
      <c r="G668" s="4" t="str">
        <f>HYPERLINK("https://diaocthongthai.com/xa-xin-chai-vi-xuyen/","Xã Xín Chải")</f>
        <v>Xã Xín Chải</v>
      </c>
    </row>
    <row r="669" spans="1:7" x14ac:dyDescent="0.25">
      <c r="A669" s="2">
        <v>668</v>
      </c>
      <c r="B669" s="3" t="s">
        <v>4</v>
      </c>
      <c r="C669" s="4" t="str">
        <f t="shared" si="46"/>
        <v>Hà Giang</v>
      </c>
      <c r="D669" s="3" t="s">
        <v>101</v>
      </c>
      <c r="E669" s="4" t="str">
        <f t="shared" si="47"/>
        <v>Huyện Vị Xuyên</v>
      </c>
      <c r="F669" s="3" t="s">
        <v>1433</v>
      </c>
      <c r="G669" s="4" t="str">
        <f>HYPERLINK("https://diaocthongthai.com/xa-phuong-tien-vi-xuyen/","Xã Phương Tiến")</f>
        <v>Xã Phương Tiến</v>
      </c>
    </row>
    <row r="670" spans="1:7" x14ac:dyDescent="0.25">
      <c r="A670" s="2">
        <v>669</v>
      </c>
      <c r="B670" s="3" t="s">
        <v>4</v>
      </c>
      <c r="C670" s="4" t="str">
        <f t="shared" si="46"/>
        <v>Hà Giang</v>
      </c>
      <c r="D670" s="3" t="s">
        <v>101</v>
      </c>
      <c r="E670" s="4" t="str">
        <f t="shared" si="47"/>
        <v>Huyện Vị Xuyên</v>
      </c>
      <c r="F670" s="3" t="s">
        <v>1434</v>
      </c>
      <c r="G670" s="4" t="str">
        <f>HYPERLINK("https://diaocthongthai.com/xa-lao-chai-vi-xuyen/","Xã Lao Chải")</f>
        <v>Xã Lao Chải</v>
      </c>
    </row>
    <row r="671" spans="1:7" x14ac:dyDescent="0.25">
      <c r="A671" s="2">
        <v>670</v>
      </c>
      <c r="B671" s="3" t="s">
        <v>4</v>
      </c>
      <c r="C671" s="4" t="str">
        <f t="shared" si="46"/>
        <v>Hà Giang</v>
      </c>
      <c r="D671" s="3" t="s">
        <v>101</v>
      </c>
      <c r="E671" s="4" t="str">
        <f t="shared" si="47"/>
        <v>Huyện Vị Xuyên</v>
      </c>
      <c r="F671" s="3" t="s">
        <v>1435</v>
      </c>
      <c r="G671" s="4" t="str">
        <f>HYPERLINK("https://diaocthongthai.com/xa-cao-bo-vi-xuyen/","Xã Cao Bồ")</f>
        <v>Xã Cao Bồ</v>
      </c>
    </row>
    <row r="672" spans="1:7" x14ac:dyDescent="0.25">
      <c r="A672" s="2">
        <v>671</v>
      </c>
      <c r="B672" s="3" t="s">
        <v>4</v>
      </c>
      <c r="C672" s="4" t="str">
        <f t="shared" si="46"/>
        <v>Hà Giang</v>
      </c>
      <c r="D672" s="3" t="s">
        <v>101</v>
      </c>
      <c r="E672" s="4" t="str">
        <f t="shared" si="47"/>
        <v>Huyện Vị Xuyên</v>
      </c>
      <c r="F672" s="3" t="s">
        <v>1436</v>
      </c>
      <c r="G672" s="4" t="str">
        <f>HYPERLINK("https://diaocthongthai.com/xa-dao-duc-vi-xuyen/","Xã Đạo Đức")</f>
        <v>Xã Đạo Đức</v>
      </c>
    </row>
    <row r="673" spans="1:7" x14ac:dyDescent="0.25">
      <c r="A673" s="2">
        <v>672</v>
      </c>
      <c r="B673" s="3" t="s">
        <v>4</v>
      </c>
      <c r="C673" s="4" t="str">
        <f t="shared" si="46"/>
        <v>Hà Giang</v>
      </c>
      <c r="D673" s="3" t="s">
        <v>101</v>
      </c>
      <c r="E673" s="4" t="str">
        <f t="shared" si="47"/>
        <v>Huyện Vị Xuyên</v>
      </c>
      <c r="F673" s="3" t="s">
        <v>1437</v>
      </c>
      <c r="G673" s="4" t="str">
        <f>HYPERLINK("https://diaocthongthai.com/xa-thuong-son-vi-xuyen/","Xã Thượng Sơn")</f>
        <v>Xã Thượng Sơn</v>
      </c>
    </row>
    <row r="674" spans="1:7" x14ac:dyDescent="0.25">
      <c r="A674" s="2">
        <v>673</v>
      </c>
      <c r="B674" s="3" t="s">
        <v>4</v>
      </c>
      <c r="C674" s="4" t="str">
        <f t="shared" si="46"/>
        <v>Hà Giang</v>
      </c>
      <c r="D674" s="3" t="s">
        <v>101</v>
      </c>
      <c r="E674" s="4" t="str">
        <f t="shared" si="47"/>
        <v>Huyện Vị Xuyên</v>
      </c>
      <c r="F674" s="3" t="s">
        <v>1438</v>
      </c>
      <c r="G674" s="4" t="str">
        <f>HYPERLINK("https://diaocthongthai.com/xa-linh-ho-vi-xuyen/","Xã Linh Hồ")</f>
        <v>Xã Linh Hồ</v>
      </c>
    </row>
    <row r="675" spans="1:7" x14ac:dyDescent="0.25">
      <c r="A675" s="2">
        <v>674</v>
      </c>
      <c r="B675" s="3" t="s">
        <v>4</v>
      </c>
      <c r="C675" s="4" t="str">
        <f t="shared" si="46"/>
        <v>Hà Giang</v>
      </c>
      <c r="D675" s="3" t="s">
        <v>101</v>
      </c>
      <c r="E675" s="4" t="str">
        <f t="shared" si="47"/>
        <v>Huyện Vị Xuyên</v>
      </c>
      <c r="F675" s="3" t="s">
        <v>1439</v>
      </c>
      <c r="G675" s="4" t="str">
        <f>HYPERLINK("https://diaocthongthai.com/xa-quang-ngan-vi-xuyen/","Xã Quảng Ngần")</f>
        <v>Xã Quảng Ngần</v>
      </c>
    </row>
    <row r="676" spans="1:7" x14ac:dyDescent="0.25">
      <c r="A676" s="2">
        <v>675</v>
      </c>
      <c r="B676" s="3" t="s">
        <v>4</v>
      </c>
      <c r="C676" s="4" t="str">
        <f t="shared" si="46"/>
        <v>Hà Giang</v>
      </c>
      <c r="D676" s="3" t="s">
        <v>101</v>
      </c>
      <c r="E676" s="4" t="str">
        <f t="shared" si="47"/>
        <v>Huyện Vị Xuyên</v>
      </c>
      <c r="F676" s="3" t="s">
        <v>1440</v>
      </c>
      <c r="G676" s="4" t="str">
        <f>HYPERLINK("https://diaocthongthai.com/xa-viet-lam-vi-xuyen/","Xã Việt Lâm")</f>
        <v>Xã Việt Lâm</v>
      </c>
    </row>
    <row r="677" spans="1:7" x14ac:dyDescent="0.25">
      <c r="A677" s="2">
        <v>676</v>
      </c>
      <c r="B677" s="3" t="s">
        <v>4</v>
      </c>
      <c r="C677" s="4" t="str">
        <f t="shared" ref="C677:C708" si="48">HYPERLINK("https://diaocthongthai.com/ban-do-ha-giang/","Hà Giang")</f>
        <v>Hà Giang</v>
      </c>
      <c r="D677" s="3" t="s">
        <v>101</v>
      </c>
      <c r="E677" s="4" t="str">
        <f t="shared" si="47"/>
        <v>Huyện Vị Xuyên</v>
      </c>
      <c r="F677" s="3" t="s">
        <v>1441</v>
      </c>
      <c r="G677" s="4" t="str">
        <f>HYPERLINK("https://diaocthongthai.com/xa-ngoc-linh-vi-xuyen/","Xã Ngọc Linh")</f>
        <v>Xã Ngọc Linh</v>
      </c>
    </row>
    <row r="678" spans="1:7" x14ac:dyDescent="0.25">
      <c r="A678" s="2">
        <v>677</v>
      </c>
      <c r="B678" s="3" t="s">
        <v>4</v>
      </c>
      <c r="C678" s="4" t="str">
        <f t="shared" si="48"/>
        <v>Hà Giang</v>
      </c>
      <c r="D678" s="3" t="s">
        <v>101</v>
      </c>
      <c r="E678" s="4" t="str">
        <f t="shared" si="47"/>
        <v>Huyện Vị Xuyên</v>
      </c>
      <c r="F678" s="3" t="s">
        <v>1442</v>
      </c>
      <c r="G678" s="4" t="str">
        <f>HYPERLINK("https://diaocthongthai.com/xa-ngoc-minh-vi-xuyen/","Xã Ngọc Minh")</f>
        <v>Xã Ngọc Minh</v>
      </c>
    </row>
    <row r="679" spans="1:7" x14ac:dyDescent="0.25">
      <c r="A679" s="2">
        <v>678</v>
      </c>
      <c r="B679" s="3" t="s">
        <v>4</v>
      </c>
      <c r="C679" s="4" t="str">
        <f t="shared" si="48"/>
        <v>Hà Giang</v>
      </c>
      <c r="D679" s="3" t="s">
        <v>101</v>
      </c>
      <c r="E679" s="4" t="str">
        <f t="shared" si="47"/>
        <v>Huyện Vị Xuyên</v>
      </c>
      <c r="F679" s="3" t="s">
        <v>1443</v>
      </c>
      <c r="G679" s="4" t="str">
        <f>HYPERLINK("https://diaocthongthai.com/xa-bach-ngoc-vi-xuyen/","Xã Bạch Ngọc")</f>
        <v>Xã Bạch Ngọc</v>
      </c>
    </row>
    <row r="680" spans="1:7" x14ac:dyDescent="0.25">
      <c r="A680" s="2">
        <v>679</v>
      </c>
      <c r="B680" s="3" t="s">
        <v>4</v>
      </c>
      <c r="C680" s="4" t="str">
        <f t="shared" si="48"/>
        <v>Hà Giang</v>
      </c>
      <c r="D680" s="3" t="s">
        <v>101</v>
      </c>
      <c r="E680" s="4" t="str">
        <f t="shared" si="47"/>
        <v>Huyện Vị Xuyên</v>
      </c>
      <c r="F680" s="3" t="s">
        <v>1444</v>
      </c>
      <c r="G680" s="4" t="str">
        <f>HYPERLINK("https://diaocthongthai.com/xa-trung-thanh-vi-xuyen/","Xã Trung Thành")</f>
        <v>Xã Trung Thành</v>
      </c>
    </row>
    <row r="681" spans="1:7" x14ac:dyDescent="0.25">
      <c r="A681" s="2">
        <v>680</v>
      </c>
      <c r="B681" s="3" t="s">
        <v>4</v>
      </c>
      <c r="C681" s="4" t="str">
        <f t="shared" si="48"/>
        <v>Hà Giang</v>
      </c>
      <c r="D681" s="3" t="s">
        <v>102</v>
      </c>
      <c r="E681" s="4" t="str">
        <f t="shared" ref="E681:E693" si="49">HYPERLINK("https://diaocthongthai.com/ban-do-huyen-bac-me-ha-giang/","Huyện Bắc Mê")</f>
        <v>Huyện Bắc Mê</v>
      </c>
      <c r="F681" s="3" t="s">
        <v>1445</v>
      </c>
      <c r="G681" s="4" t="str">
        <f>HYPERLINK("https://diaocthongthai.com/xa-minh-son-bac-me/","Xã Minh Sơn")</f>
        <v>Xã Minh Sơn</v>
      </c>
    </row>
    <row r="682" spans="1:7" x14ac:dyDescent="0.25">
      <c r="A682" s="2">
        <v>681</v>
      </c>
      <c r="B682" s="3" t="s">
        <v>4</v>
      </c>
      <c r="C682" s="4" t="str">
        <f t="shared" si="48"/>
        <v>Hà Giang</v>
      </c>
      <c r="D682" s="3" t="s">
        <v>102</v>
      </c>
      <c r="E682" s="4" t="str">
        <f t="shared" si="49"/>
        <v>Huyện Bắc Mê</v>
      </c>
      <c r="F682" s="3" t="s">
        <v>1446</v>
      </c>
      <c r="G682" s="4" t="str">
        <f>HYPERLINK("https://diaocthongthai.com/xa-giap-trung-bac-me/","Xã Giáp Trung")</f>
        <v>Xã Giáp Trung</v>
      </c>
    </row>
    <row r="683" spans="1:7" x14ac:dyDescent="0.25">
      <c r="A683" s="2">
        <v>682</v>
      </c>
      <c r="B683" s="3" t="s">
        <v>4</v>
      </c>
      <c r="C683" s="4" t="str">
        <f t="shared" si="48"/>
        <v>Hà Giang</v>
      </c>
      <c r="D683" s="3" t="s">
        <v>102</v>
      </c>
      <c r="E683" s="4" t="str">
        <f t="shared" si="49"/>
        <v>Huyện Bắc Mê</v>
      </c>
      <c r="F683" s="3" t="s">
        <v>1447</v>
      </c>
      <c r="G683" s="4" t="str">
        <f>HYPERLINK("https://diaocthongthai.com/xa-yen-dinh-bac-me/","Xã Yên Định")</f>
        <v>Xã Yên Định</v>
      </c>
    </row>
    <row r="684" spans="1:7" x14ac:dyDescent="0.25">
      <c r="A684" s="2">
        <v>683</v>
      </c>
      <c r="B684" s="3" t="s">
        <v>4</v>
      </c>
      <c r="C684" s="4" t="str">
        <f t="shared" si="48"/>
        <v>Hà Giang</v>
      </c>
      <c r="D684" s="3" t="s">
        <v>102</v>
      </c>
      <c r="E684" s="4" t="str">
        <f t="shared" si="49"/>
        <v>Huyện Bắc Mê</v>
      </c>
      <c r="F684" s="3" t="s">
        <v>1448</v>
      </c>
      <c r="G684" s="4" t="str">
        <f>HYPERLINK("https://diaocthongthai.com/thi-tran-yen-phu-bac-me/","Thị trấn Yên Phú")</f>
        <v>Thị trấn Yên Phú</v>
      </c>
    </row>
    <row r="685" spans="1:7" x14ac:dyDescent="0.25">
      <c r="A685" s="2">
        <v>684</v>
      </c>
      <c r="B685" s="3" t="s">
        <v>4</v>
      </c>
      <c r="C685" s="4" t="str">
        <f t="shared" si="48"/>
        <v>Hà Giang</v>
      </c>
      <c r="D685" s="3" t="s">
        <v>102</v>
      </c>
      <c r="E685" s="4" t="str">
        <f t="shared" si="49"/>
        <v>Huyện Bắc Mê</v>
      </c>
      <c r="F685" s="3" t="s">
        <v>1449</v>
      </c>
      <c r="G685" s="4" t="str">
        <f>HYPERLINK("https://diaocthongthai.com/xa-minh-ngoc-bac-me/","Xã Minh Ngọc")</f>
        <v>Xã Minh Ngọc</v>
      </c>
    </row>
    <row r="686" spans="1:7" x14ac:dyDescent="0.25">
      <c r="A686" s="2">
        <v>685</v>
      </c>
      <c r="B686" s="3" t="s">
        <v>4</v>
      </c>
      <c r="C686" s="4" t="str">
        <f t="shared" si="48"/>
        <v>Hà Giang</v>
      </c>
      <c r="D686" s="3" t="s">
        <v>102</v>
      </c>
      <c r="E686" s="4" t="str">
        <f t="shared" si="49"/>
        <v>Huyện Bắc Mê</v>
      </c>
      <c r="F686" s="3" t="s">
        <v>1450</v>
      </c>
      <c r="G686" s="4" t="str">
        <f>HYPERLINK("https://diaocthongthai.com/xa-yen-phong-bac-me/","Xã Yên Phong")</f>
        <v>Xã Yên Phong</v>
      </c>
    </row>
    <row r="687" spans="1:7" x14ac:dyDescent="0.25">
      <c r="A687" s="2">
        <v>686</v>
      </c>
      <c r="B687" s="3" t="s">
        <v>4</v>
      </c>
      <c r="C687" s="4" t="str">
        <f t="shared" si="48"/>
        <v>Hà Giang</v>
      </c>
      <c r="D687" s="3" t="s">
        <v>102</v>
      </c>
      <c r="E687" s="4" t="str">
        <f t="shared" si="49"/>
        <v>Huyện Bắc Mê</v>
      </c>
      <c r="F687" s="3" t="s">
        <v>1451</v>
      </c>
      <c r="G687" s="4" t="str">
        <f>HYPERLINK("https://diaocthongthai.com/xa-lac-nong-bac-me/","Xã Lạc Nông")</f>
        <v>Xã Lạc Nông</v>
      </c>
    </row>
    <row r="688" spans="1:7" x14ac:dyDescent="0.25">
      <c r="A688" s="2">
        <v>687</v>
      </c>
      <c r="B688" s="3" t="s">
        <v>4</v>
      </c>
      <c r="C688" s="4" t="str">
        <f t="shared" si="48"/>
        <v>Hà Giang</v>
      </c>
      <c r="D688" s="3" t="s">
        <v>102</v>
      </c>
      <c r="E688" s="4" t="str">
        <f t="shared" si="49"/>
        <v>Huyện Bắc Mê</v>
      </c>
      <c r="F688" s="3" t="s">
        <v>1452</v>
      </c>
      <c r="G688" s="4" t="str">
        <f>HYPERLINK("https://diaocthongthai.com/xa-phu-nam-bac-me/","Xã Phú Nam")</f>
        <v>Xã Phú Nam</v>
      </c>
    </row>
    <row r="689" spans="1:7" x14ac:dyDescent="0.25">
      <c r="A689" s="2">
        <v>688</v>
      </c>
      <c r="B689" s="3" t="s">
        <v>4</v>
      </c>
      <c r="C689" s="4" t="str">
        <f t="shared" si="48"/>
        <v>Hà Giang</v>
      </c>
      <c r="D689" s="3" t="s">
        <v>102</v>
      </c>
      <c r="E689" s="4" t="str">
        <f t="shared" si="49"/>
        <v>Huyện Bắc Mê</v>
      </c>
      <c r="F689" s="3" t="s">
        <v>1453</v>
      </c>
      <c r="G689" s="4" t="str">
        <f>HYPERLINK("https://diaocthongthai.com/xa-yen-cuong-bac-me/","Xã Yên Cường")</f>
        <v>Xã Yên Cường</v>
      </c>
    </row>
    <row r="690" spans="1:7" x14ac:dyDescent="0.25">
      <c r="A690" s="2">
        <v>689</v>
      </c>
      <c r="B690" s="3" t="s">
        <v>4</v>
      </c>
      <c r="C690" s="4" t="str">
        <f t="shared" si="48"/>
        <v>Hà Giang</v>
      </c>
      <c r="D690" s="3" t="s">
        <v>102</v>
      </c>
      <c r="E690" s="4" t="str">
        <f t="shared" si="49"/>
        <v>Huyện Bắc Mê</v>
      </c>
      <c r="F690" s="3" t="s">
        <v>1454</v>
      </c>
      <c r="G690" s="4" t="str">
        <f>HYPERLINK("https://diaocthongthai.com/xa-thuong-tan-bac-me/","Xã Thượng Tân")</f>
        <v>Xã Thượng Tân</v>
      </c>
    </row>
    <row r="691" spans="1:7" x14ac:dyDescent="0.25">
      <c r="A691" s="2">
        <v>690</v>
      </c>
      <c r="B691" s="3" t="s">
        <v>4</v>
      </c>
      <c r="C691" s="4" t="str">
        <f t="shared" si="48"/>
        <v>Hà Giang</v>
      </c>
      <c r="D691" s="3" t="s">
        <v>102</v>
      </c>
      <c r="E691" s="4" t="str">
        <f t="shared" si="49"/>
        <v>Huyện Bắc Mê</v>
      </c>
      <c r="F691" s="3" t="s">
        <v>1455</v>
      </c>
      <c r="G691" s="4" t="str">
        <f>HYPERLINK("https://diaocthongthai.com/xa-duong-am-bac-me/","Xã Đường Âm")</f>
        <v>Xã Đường Âm</v>
      </c>
    </row>
    <row r="692" spans="1:7" x14ac:dyDescent="0.25">
      <c r="A692" s="2">
        <v>691</v>
      </c>
      <c r="B692" s="3" t="s">
        <v>4</v>
      </c>
      <c r="C692" s="4" t="str">
        <f t="shared" si="48"/>
        <v>Hà Giang</v>
      </c>
      <c r="D692" s="3" t="s">
        <v>102</v>
      </c>
      <c r="E692" s="4" t="str">
        <f t="shared" si="49"/>
        <v>Huyện Bắc Mê</v>
      </c>
      <c r="F692" s="3" t="s">
        <v>1456</v>
      </c>
      <c r="G692" s="4" t="str">
        <f>HYPERLINK("https://diaocthongthai.com/xa-duong-hong-bac-me/","Xã Đường Hồng")</f>
        <v>Xã Đường Hồng</v>
      </c>
    </row>
    <row r="693" spans="1:7" x14ac:dyDescent="0.25">
      <c r="A693" s="2">
        <v>692</v>
      </c>
      <c r="B693" s="3" t="s">
        <v>4</v>
      </c>
      <c r="C693" s="4" t="str">
        <f t="shared" si="48"/>
        <v>Hà Giang</v>
      </c>
      <c r="D693" s="3" t="s">
        <v>102</v>
      </c>
      <c r="E693" s="4" t="str">
        <f t="shared" si="49"/>
        <v>Huyện Bắc Mê</v>
      </c>
      <c r="F693" s="3" t="s">
        <v>1457</v>
      </c>
      <c r="G693" s="4" t="str">
        <f>HYPERLINK("https://diaocthongthai.com/xa-phieng-luong-bac-me/","Xã Phiêng Luông")</f>
        <v>Xã Phiêng Luông</v>
      </c>
    </row>
    <row r="694" spans="1:7" x14ac:dyDescent="0.25">
      <c r="A694" s="2">
        <v>693</v>
      </c>
      <c r="B694" s="3" t="s">
        <v>4</v>
      </c>
      <c r="C694" s="4" t="str">
        <f t="shared" si="48"/>
        <v>Hà Giang</v>
      </c>
      <c r="D694" s="3" t="s">
        <v>103</v>
      </c>
      <c r="E694" s="4" t="str">
        <f t="shared" ref="E694:E717" si="50">HYPERLINK("https://diaocthongthai.com/ban-do-huyen-hoang-su-phi-ha-giang/","Huyện Hoàng Su Phì")</f>
        <v>Huyện Hoàng Su Phì</v>
      </c>
      <c r="F694" s="3" t="s">
        <v>1458</v>
      </c>
      <c r="G694" s="4" t="str">
        <f>HYPERLINK("https://diaocthongthai.com/thi-tran-vinh-quang-hoang-su-phi/","Thị trấn Vinh Quang")</f>
        <v>Thị trấn Vinh Quang</v>
      </c>
    </row>
    <row r="695" spans="1:7" x14ac:dyDescent="0.25">
      <c r="A695" s="2">
        <v>694</v>
      </c>
      <c r="B695" s="3" t="s">
        <v>4</v>
      </c>
      <c r="C695" s="4" t="str">
        <f t="shared" si="48"/>
        <v>Hà Giang</v>
      </c>
      <c r="D695" s="3" t="s">
        <v>103</v>
      </c>
      <c r="E695" s="4" t="str">
        <f t="shared" si="50"/>
        <v>Huyện Hoàng Su Phì</v>
      </c>
      <c r="F695" s="3" t="s">
        <v>1459</v>
      </c>
      <c r="G695" s="4" t="str">
        <f>HYPERLINK("https://diaocthongthai.com/xa-ban-may-hoang-su-phi/","Xã Bản Máy")</f>
        <v>Xã Bản Máy</v>
      </c>
    </row>
    <row r="696" spans="1:7" x14ac:dyDescent="0.25">
      <c r="A696" s="2">
        <v>695</v>
      </c>
      <c r="B696" s="3" t="s">
        <v>4</v>
      </c>
      <c r="C696" s="4" t="str">
        <f t="shared" si="48"/>
        <v>Hà Giang</v>
      </c>
      <c r="D696" s="3" t="s">
        <v>103</v>
      </c>
      <c r="E696" s="4" t="str">
        <f t="shared" si="50"/>
        <v>Huyện Hoàng Su Phì</v>
      </c>
      <c r="F696" s="3" t="s">
        <v>1460</v>
      </c>
      <c r="G696" s="4" t="str">
        <f>HYPERLINK("https://diaocthongthai.com/xa-thang-tin-hoang-su-phi/","Xã Thàng Tín")</f>
        <v>Xã Thàng Tín</v>
      </c>
    </row>
    <row r="697" spans="1:7" x14ac:dyDescent="0.25">
      <c r="A697" s="2">
        <v>696</v>
      </c>
      <c r="B697" s="3" t="s">
        <v>4</v>
      </c>
      <c r="C697" s="4" t="str">
        <f t="shared" si="48"/>
        <v>Hà Giang</v>
      </c>
      <c r="D697" s="3" t="s">
        <v>103</v>
      </c>
      <c r="E697" s="4" t="str">
        <f t="shared" si="50"/>
        <v>Huyện Hoàng Su Phì</v>
      </c>
      <c r="F697" s="3" t="s">
        <v>1461</v>
      </c>
      <c r="G697" s="4" t="str">
        <f>HYPERLINK("https://diaocthongthai.com/xa-then-chu-phin-hoang-su-phi/","Xã Thèn Chu Phìn")</f>
        <v>Xã Thèn Chu Phìn</v>
      </c>
    </row>
    <row r="698" spans="1:7" x14ac:dyDescent="0.25">
      <c r="A698" s="2">
        <v>697</v>
      </c>
      <c r="B698" s="3" t="s">
        <v>4</v>
      </c>
      <c r="C698" s="4" t="str">
        <f t="shared" si="48"/>
        <v>Hà Giang</v>
      </c>
      <c r="D698" s="3" t="s">
        <v>103</v>
      </c>
      <c r="E698" s="4" t="str">
        <f t="shared" si="50"/>
        <v>Huyện Hoàng Su Phì</v>
      </c>
      <c r="F698" s="3" t="s">
        <v>1462</v>
      </c>
      <c r="G698" s="4" t="str">
        <f>HYPERLINK("https://diaocthongthai.com/xa-po-lo-hoang-su-phi/","Xã Pố Lồ")</f>
        <v>Xã Pố Lồ</v>
      </c>
    </row>
    <row r="699" spans="1:7" x14ac:dyDescent="0.25">
      <c r="A699" s="2">
        <v>698</v>
      </c>
      <c r="B699" s="3" t="s">
        <v>4</v>
      </c>
      <c r="C699" s="4" t="str">
        <f t="shared" si="48"/>
        <v>Hà Giang</v>
      </c>
      <c r="D699" s="3" t="s">
        <v>103</v>
      </c>
      <c r="E699" s="4" t="str">
        <f t="shared" si="50"/>
        <v>Huyện Hoàng Su Phì</v>
      </c>
      <c r="F699" s="3" t="s">
        <v>1463</v>
      </c>
      <c r="G699" s="4" t="str">
        <f>HYPERLINK("https://diaocthongthai.com/xa-ban-phung-hoang-su-phi/","Xã Bản Phùng")</f>
        <v>Xã Bản Phùng</v>
      </c>
    </row>
    <row r="700" spans="1:7" x14ac:dyDescent="0.25">
      <c r="A700" s="2">
        <v>699</v>
      </c>
      <c r="B700" s="3" t="s">
        <v>4</v>
      </c>
      <c r="C700" s="4" t="str">
        <f t="shared" si="48"/>
        <v>Hà Giang</v>
      </c>
      <c r="D700" s="3" t="s">
        <v>103</v>
      </c>
      <c r="E700" s="4" t="str">
        <f t="shared" si="50"/>
        <v>Huyện Hoàng Su Phì</v>
      </c>
      <c r="F700" s="3" t="s">
        <v>1464</v>
      </c>
      <c r="G700" s="4" t="str">
        <f>HYPERLINK("https://diaocthongthai.com/xa-tung-san-hoang-su-phi/","Xã Túng Sán")</f>
        <v>Xã Túng Sán</v>
      </c>
    </row>
    <row r="701" spans="1:7" x14ac:dyDescent="0.25">
      <c r="A701" s="2">
        <v>700</v>
      </c>
      <c r="B701" s="3" t="s">
        <v>4</v>
      </c>
      <c r="C701" s="4" t="str">
        <f t="shared" si="48"/>
        <v>Hà Giang</v>
      </c>
      <c r="D701" s="3" t="s">
        <v>103</v>
      </c>
      <c r="E701" s="4" t="str">
        <f t="shared" si="50"/>
        <v>Huyện Hoàng Su Phì</v>
      </c>
      <c r="F701" s="3" t="s">
        <v>1465</v>
      </c>
      <c r="G701" s="4" t="str">
        <f>HYPERLINK("https://diaocthongthai.com/xa-chien-pho-hoang-su-phi/","Xã Chiến Phố")</f>
        <v>Xã Chiến Phố</v>
      </c>
    </row>
    <row r="702" spans="1:7" x14ac:dyDescent="0.25">
      <c r="A702" s="2">
        <v>701</v>
      </c>
      <c r="B702" s="3" t="s">
        <v>4</v>
      </c>
      <c r="C702" s="4" t="str">
        <f t="shared" si="48"/>
        <v>Hà Giang</v>
      </c>
      <c r="D702" s="3" t="s">
        <v>103</v>
      </c>
      <c r="E702" s="4" t="str">
        <f t="shared" si="50"/>
        <v>Huyện Hoàng Su Phì</v>
      </c>
      <c r="F702" s="3" t="s">
        <v>1466</v>
      </c>
      <c r="G702" s="4" t="str">
        <f>HYPERLINK("https://diaocthongthai.com/xa-dan-van-hoang-su-phi/","Xã Đản Ván")</f>
        <v>Xã Đản Ván</v>
      </c>
    </row>
    <row r="703" spans="1:7" x14ac:dyDescent="0.25">
      <c r="A703" s="2">
        <v>702</v>
      </c>
      <c r="B703" s="3" t="s">
        <v>4</v>
      </c>
      <c r="C703" s="4" t="str">
        <f t="shared" si="48"/>
        <v>Hà Giang</v>
      </c>
      <c r="D703" s="3" t="s">
        <v>103</v>
      </c>
      <c r="E703" s="4" t="str">
        <f t="shared" si="50"/>
        <v>Huyện Hoàng Su Phì</v>
      </c>
      <c r="F703" s="3" t="s">
        <v>1467</v>
      </c>
      <c r="G703" s="4" t="str">
        <f>HYPERLINK("https://diaocthongthai.com/xa-tu-nhan-hoang-su-phi/","Xã Tụ Nhân")</f>
        <v>Xã Tụ Nhân</v>
      </c>
    </row>
    <row r="704" spans="1:7" x14ac:dyDescent="0.25">
      <c r="A704" s="2">
        <v>703</v>
      </c>
      <c r="B704" s="3" t="s">
        <v>4</v>
      </c>
      <c r="C704" s="4" t="str">
        <f t="shared" si="48"/>
        <v>Hà Giang</v>
      </c>
      <c r="D704" s="3" t="s">
        <v>103</v>
      </c>
      <c r="E704" s="4" t="str">
        <f t="shared" si="50"/>
        <v>Huyện Hoàng Su Phì</v>
      </c>
      <c r="F704" s="3" t="s">
        <v>1468</v>
      </c>
      <c r="G704" s="4" t="str">
        <f>HYPERLINK("https://diaocthongthai.com/xa-tan-tien-hoang-su-phi/","Xã Tân Tiến")</f>
        <v>Xã Tân Tiến</v>
      </c>
    </row>
    <row r="705" spans="1:7" x14ac:dyDescent="0.25">
      <c r="A705" s="2">
        <v>704</v>
      </c>
      <c r="B705" s="3" t="s">
        <v>4</v>
      </c>
      <c r="C705" s="4" t="str">
        <f t="shared" si="48"/>
        <v>Hà Giang</v>
      </c>
      <c r="D705" s="3" t="s">
        <v>103</v>
      </c>
      <c r="E705" s="4" t="str">
        <f t="shared" si="50"/>
        <v>Huyện Hoàng Su Phì</v>
      </c>
      <c r="F705" s="3" t="s">
        <v>1469</v>
      </c>
      <c r="G705" s="4" t="str">
        <f>HYPERLINK("https://diaocthongthai.com/xa-nang-don-hoang-su-phi/","Xã Nàng Đôn")</f>
        <v>Xã Nàng Đôn</v>
      </c>
    </row>
    <row r="706" spans="1:7" x14ac:dyDescent="0.25">
      <c r="A706" s="2">
        <v>705</v>
      </c>
      <c r="B706" s="3" t="s">
        <v>4</v>
      </c>
      <c r="C706" s="4" t="str">
        <f t="shared" si="48"/>
        <v>Hà Giang</v>
      </c>
      <c r="D706" s="3" t="s">
        <v>103</v>
      </c>
      <c r="E706" s="4" t="str">
        <f t="shared" si="50"/>
        <v>Huyện Hoàng Su Phì</v>
      </c>
      <c r="F706" s="3" t="s">
        <v>1470</v>
      </c>
      <c r="G706" s="4" t="str">
        <f>HYPERLINK("https://diaocthongthai.com/xa-po-ly-ngai-hoang-su-phi/","Xã Pờ Ly Ngài")</f>
        <v>Xã Pờ Ly Ngài</v>
      </c>
    </row>
    <row r="707" spans="1:7" x14ac:dyDescent="0.25">
      <c r="A707" s="2">
        <v>706</v>
      </c>
      <c r="B707" s="3" t="s">
        <v>4</v>
      </c>
      <c r="C707" s="4" t="str">
        <f t="shared" si="48"/>
        <v>Hà Giang</v>
      </c>
      <c r="D707" s="3" t="s">
        <v>103</v>
      </c>
      <c r="E707" s="4" t="str">
        <f t="shared" si="50"/>
        <v>Huyện Hoàng Su Phì</v>
      </c>
      <c r="F707" s="3" t="s">
        <v>1471</v>
      </c>
      <c r="G707" s="4" t="str">
        <f>HYPERLINK("https://diaocthongthai.com/xa-san-xa-ho-hoang-su-phi/","Xã Sán Xả Hồ")</f>
        <v>Xã Sán Xả Hồ</v>
      </c>
    </row>
    <row r="708" spans="1:7" x14ac:dyDescent="0.25">
      <c r="A708" s="2">
        <v>707</v>
      </c>
      <c r="B708" s="3" t="s">
        <v>4</v>
      </c>
      <c r="C708" s="4" t="str">
        <f t="shared" si="48"/>
        <v>Hà Giang</v>
      </c>
      <c r="D708" s="3" t="s">
        <v>103</v>
      </c>
      <c r="E708" s="4" t="str">
        <f t="shared" si="50"/>
        <v>Huyện Hoàng Su Phì</v>
      </c>
      <c r="F708" s="3" t="s">
        <v>1472</v>
      </c>
      <c r="G708" s="4" t="str">
        <f>HYPERLINK("https://diaocthongthai.com/xa-ban-luoc-hoang-su-phi/","Xã Bản Luốc")</f>
        <v>Xã Bản Luốc</v>
      </c>
    </row>
    <row r="709" spans="1:7" x14ac:dyDescent="0.25">
      <c r="A709" s="2">
        <v>708</v>
      </c>
      <c r="B709" s="3" t="s">
        <v>4</v>
      </c>
      <c r="C709" s="4" t="str">
        <f t="shared" ref="C709:C740" si="51">HYPERLINK("https://diaocthongthai.com/ban-do-ha-giang/","Hà Giang")</f>
        <v>Hà Giang</v>
      </c>
      <c r="D709" s="3" t="s">
        <v>103</v>
      </c>
      <c r="E709" s="4" t="str">
        <f t="shared" si="50"/>
        <v>Huyện Hoàng Su Phì</v>
      </c>
      <c r="F709" s="3" t="s">
        <v>1473</v>
      </c>
      <c r="G709" s="4" t="str">
        <f>HYPERLINK("https://diaocthongthai.com/xa-ngam-dang-vai-hoang-su-phi/","Xã Ngàm Đăng Vài")</f>
        <v>Xã Ngàm Đăng Vài</v>
      </c>
    </row>
    <row r="710" spans="1:7" x14ac:dyDescent="0.25">
      <c r="A710" s="2">
        <v>709</v>
      </c>
      <c r="B710" s="3" t="s">
        <v>4</v>
      </c>
      <c r="C710" s="4" t="str">
        <f t="shared" si="51"/>
        <v>Hà Giang</v>
      </c>
      <c r="D710" s="3" t="s">
        <v>103</v>
      </c>
      <c r="E710" s="4" t="str">
        <f t="shared" si="50"/>
        <v>Huyện Hoàng Su Phì</v>
      </c>
      <c r="F710" s="3" t="s">
        <v>1474</v>
      </c>
      <c r="G710" s="4" t="str">
        <f>HYPERLINK("https://diaocthongthai.com/xa-ban-nhung-hoang-su-phi/","Xã Bản Nhùng")</f>
        <v>Xã Bản Nhùng</v>
      </c>
    </row>
    <row r="711" spans="1:7" x14ac:dyDescent="0.25">
      <c r="A711" s="2">
        <v>710</v>
      </c>
      <c r="B711" s="3" t="s">
        <v>4</v>
      </c>
      <c r="C711" s="4" t="str">
        <f t="shared" si="51"/>
        <v>Hà Giang</v>
      </c>
      <c r="D711" s="3" t="s">
        <v>103</v>
      </c>
      <c r="E711" s="4" t="str">
        <f t="shared" si="50"/>
        <v>Huyện Hoàng Su Phì</v>
      </c>
      <c r="F711" s="3" t="s">
        <v>1475</v>
      </c>
      <c r="G711" s="4" t="str">
        <f>HYPERLINK("https://diaocthongthai.com/xa-ta-su-choong-hoang-su-phi/","Xã Tả Sử Choóng")</f>
        <v>Xã Tả Sử Choóng</v>
      </c>
    </row>
    <row r="712" spans="1:7" x14ac:dyDescent="0.25">
      <c r="A712" s="2">
        <v>711</v>
      </c>
      <c r="B712" s="3" t="s">
        <v>4</v>
      </c>
      <c r="C712" s="4" t="str">
        <f t="shared" si="51"/>
        <v>Hà Giang</v>
      </c>
      <c r="D712" s="3" t="s">
        <v>103</v>
      </c>
      <c r="E712" s="4" t="str">
        <f t="shared" si="50"/>
        <v>Huyện Hoàng Su Phì</v>
      </c>
      <c r="F712" s="3" t="s">
        <v>1476</v>
      </c>
      <c r="G712" s="4" t="str">
        <f>HYPERLINK("https://diaocthongthai.com/xa-nam-dich-hoang-su-phi/","Xã Nậm Dịch")</f>
        <v>Xã Nậm Dịch</v>
      </c>
    </row>
    <row r="713" spans="1:7" x14ac:dyDescent="0.25">
      <c r="A713" s="2">
        <v>712</v>
      </c>
      <c r="B713" s="3" t="s">
        <v>4</v>
      </c>
      <c r="C713" s="4" t="str">
        <f t="shared" si="51"/>
        <v>Hà Giang</v>
      </c>
      <c r="D713" s="3" t="s">
        <v>103</v>
      </c>
      <c r="E713" s="4" t="str">
        <f t="shared" si="50"/>
        <v>Huyện Hoàng Su Phì</v>
      </c>
      <c r="F713" s="3" t="s">
        <v>1477</v>
      </c>
      <c r="G713" s="4" t="str">
        <f>HYPERLINK("https://diaocthongthai.com/xa-ho-thau-hoang-su-phi/","Xã Hồ Thầu")</f>
        <v>Xã Hồ Thầu</v>
      </c>
    </row>
    <row r="714" spans="1:7" x14ac:dyDescent="0.25">
      <c r="A714" s="2">
        <v>713</v>
      </c>
      <c r="B714" s="3" t="s">
        <v>4</v>
      </c>
      <c r="C714" s="4" t="str">
        <f t="shared" si="51"/>
        <v>Hà Giang</v>
      </c>
      <c r="D714" s="3" t="s">
        <v>103</v>
      </c>
      <c r="E714" s="4" t="str">
        <f t="shared" si="50"/>
        <v>Huyện Hoàng Su Phì</v>
      </c>
      <c r="F714" s="3" t="s">
        <v>1478</v>
      </c>
      <c r="G714" s="4" t="str">
        <f>HYPERLINK("https://diaocthongthai.com/xa-nam-son-hoang-su-phi/","Xã Nam Sơn")</f>
        <v>Xã Nam Sơn</v>
      </c>
    </row>
    <row r="715" spans="1:7" x14ac:dyDescent="0.25">
      <c r="A715" s="2">
        <v>714</v>
      </c>
      <c r="B715" s="3" t="s">
        <v>4</v>
      </c>
      <c r="C715" s="4" t="str">
        <f t="shared" si="51"/>
        <v>Hà Giang</v>
      </c>
      <c r="D715" s="3" t="s">
        <v>103</v>
      </c>
      <c r="E715" s="4" t="str">
        <f t="shared" si="50"/>
        <v>Huyện Hoàng Su Phì</v>
      </c>
      <c r="F715" s="3" t="s">
        <v>1479</v>
      </c>
      <c r="G715" s="4" t="str">
        <f>HYPERLINK("https://diaocthongthai.com/xa-nam-ty-hoang-su-phi/","Xã Nậm Tỵ")</f>
        <v>Xã Nậm Tỵ</v>
      </c>
    </row>
    <row r="716" spans="1:7" x14ac:dyDescent="0.25">
      <c r="A716" s="2">
        <v>715</v>
      </c>
      <c r="B716" s="3" t="s">
        <v>4</v>
      </c>
      <c r="C716" s="4" t="str">
        <f t="shared" si="51"/>
        <v>Hà Giang</v>
      </c>
      <c r="D716" s="3" t="s">
        <v>103</v>
      </c>
      <c r="E716" s="4" t="str">
        <f t="shared" si="50"/>
        <v>Huyện Hoàng Su Phì</v>
      </c>
      <c r="F716" s="3" t="s">
        <v>1480</v>
      </c>
      <c r="G716" s="4" t="str">
        <f>HYPERLINK("https://diaocthongthai.com/xa-thong-nguyen-hoang-su-phi/","Xã Thông Nguyên")</f>
        <v>Xã Thông Nguyên</v>
      </c>
    </row>
    <row r="717" spans="1:7" x14ac:dyDescent="0.25">
      <c r="A717" s="2">
        <v>716</v>
      </c>
      <c r="B717" s="3" t="s">
        <v>4</v>
      </c>
      <c r="C717" s="4" t="str">
        <f t="shared" si="51"/>
        <v>Hà Giang</v>
      </c>
      <c r="D717" s="3" t="s">
        <v>103</v>
      </c>
      <c r="E717" s="4" t="str">
        <f t="shared" si="50"/>
        <v>Huyện Hoàng Su Phì</v>
      </c>
      <c r="F717" s="3" t="s">
        <v>1481</v>
      </c>
      <c r="G717" s="4" t="str">
        <f>HYPERLINK("https://diaocthongthai.com/xa-nam-khoa-hoang-su-phi/","Xã Nậm Khòa")</f>
        <v>Xã Nậm Khòa</v>
      </c>
    </row>
    <row r="718" spans="1:7" x14ac:dyDescent="0.25">
      <c r="A718" s="2">
        <v>717</v>
      </c>
      <c r="B718" s="3" t="s">
        <v>4</v>
      </c>
      <c r="C718" s="4" t="str">
        <f t="shared" si="51"/>
        <v>Hà Giang</v>
      </c>
      <c r="D718" s="3" t="s">
        <v>104</v>
      </c>
      <c r="E718" s="4" t="str">
        <f t="shared" ref="E718:E735" si="52">HYPERLINK("https://diaocthongthai.com/ban-do-huyen-xin-man-ha-giang/","Huyện Xín Mần")</f>
        <v>Huyện Xín Mần</v>
      </c>
      <c r="F718" s="3" t="s">
        <v>1482</v>
      </c>
      <c r="G718" s="4" t="str">
        <f>HYPERLINK("https://diaocthongthai.com/thi-tran-coc-pai-xin-man/","Thị trấn Cốc Pài")</f>
        <v>Thị trấn Cốc Pài</v>
      </c>
    </row>
    <row r="719" spans="1:7" x14ac:dyDescent="0.25">
      <c r="A719" s="2">
        <v>718</v>
      </c>
      <c r="B719" s="3" t="s">
        <v>4</v>
      </c>
      <c r="C719" s="4" t="str">
        <f t="shared" si="51"/>
        <v>Hà Giang</v>
      </c>
      <c r="D719" s="3" t="s">
        <v>104</v>
      </c>
      <c r="E719" s="4" t="str">
        <f t="shared" si="52"/>
        <v>Huyện Xín Mần</v>
      </c>
      <c r="F719" s="3" t="s">
        <v>1483</v>
      </c>
      <c r="G719" s="4" t="str">
        <f>HYPERLINK("https://diaocthongthai.com/xa-nan-xin-xin-man/","Xã Nàn Xỉn")</f>
        <v>Xã Nàn Xỉn</v>
      </c>
    </row>
    <row r="720" spans="1:7" x14ac:dyDescent="0.25">
      <c r="A720" s="2">
        <v>719</v>
      </c>
      <c r="B720" s="3" t="s">
        <v>4</v>
      </c>
      <c r="C720" s="4" t="str">
        <f t="shared" si="51"/>
        <v>Hà Giang</v>
      </c>
      <c r="D720" s="3" t="s">
        <v>104</v>
      </c>
      <c r="E720" s="4" t="str">
        <f t="shared" si="52"/>
        <v>Huyện Xín Mần</v>
      </c>
      <c r="F720" s="3" t="s">
        <v>1484</v>
      </c>
      <c r="G720" s="4" t="str">
        <f>HYPERLINK("https://diaocthongthai.com/xa-ban-diu-xin-man/","Xã Bản Díu")</f>
        <v>Xã Bản Díu</v>
      </c>
    </row>
    <row r="721" spans="1:7" x14ac:dyDescent="0.25">
      <c r="A721" s="2">
        <v>720</v>
      </c>
      <c r="B721" s="3" t="s">
        <v>4</v>
      </c>
      <c r="C721" s="4" t="str">
        <f t="shared" si="51"/>
        <v>Hà Giang</v>
      </c>
      <c r="D721" s="3" t="s">
        <v>104</v>
      </c>
      <c r="E721" s="4" t="str">
        <f t="shared" si="52"/>
        <v>Huyện Xín Mần</v>
      </c>
      <c r="F721" s="3" t="s">
        <v>1485</v>
      </c>
      <c r="G721" s="4" t="str">
        <f>HYPERLINK("https://diaocthongthai.com/xa-chi-ca-xin-man/","Xã Chí Cà")</f>
        <v>Xã Chí Cà</v>
      </c>
    </row>
    <row r="722" spans="1:7" x14ac:dyDescent="0.25">
      <c r="A722" s="2">
        <v>721</v>
      </c>
      <c r="B722" s="3" t="s">
        <v>4</v>
      </c>
      <c r="C722" s="4" t="str">
        <f t="shared" si="51"/>
        <v>Hà Giang</v>
      </c>
      <c r="D722" s="3" t="s">
        <v>104</v>
      </c>
      <c r="E722" s="4" t="str">
        <f t="shared" si="52"/>
        <v>Huyện Xín Mần</v>
      </c>
      <c r="F722" s="3" t="s">
        <v>1486</v>
      </c>
      <c r="G722" s="4" t="str">
        <f>HYPERLINK("https://diaocthongthai.com/xa-xin-man-xin-man/","Xã Xín Mần")</f>
        <v>Xã Xín Mần</v>
      </c>
    </row>
    <row r="723" spans="1:7" x14ac:dyDescent="0.25">
      <c r="A723" s="2">
        <v>722</v>
      </c>
      <c r="B723" s="3" t="s">
        <v>4</v>
      </c>
      <c r="C723" s="4" t="str">
        <f t="shared" si="51"/>
        <v>Hà Giang</v>
      </c>
      <c r="D723" s="3" t="s">
        <v>104</v>
      </c>
      <c r="E723" s="4" t="str">
        <f t="shared" si="52"/>
        <v>Huyện Xín Mần</v>
      </c>
      <c r="F723" s="3" t="s">
        <v>1487</v>
      </c>
      <c r="G723" s="4" t="str">
        <f>HYPERLINK("https://diaocthongthai.com/xa-then-phang-xin-man/","Xã Thèn Phàng")</f>
        <v>Xã Thèn Phàng</v>
      </c>
    </row>
    <row r="724" spans="1:7" x14ac:dyDescent="0.25">
      <c r="A724" s="2">
        <v>723</v>
      </c>
      <c r="B724" s="3" t="s">
        <v>4</v>
      </c>
      <c r="C724" s="4" t="str">
        <f t="shared" si="51"/>
        <v>Hà Giang</v>
      </c>
      <c r="D724" s="3" t="s">
        <v>104</v>
      </c>
      <c r="E724" s="4" t="str">
        <f t="shared" si="52"/>
        <v>Huyện Xín Mần</v>
      </c>
      <c r="F724" s="3" t="s">
        <v>1488</v>
      </c>
      <c r="G724" s="4" t="str">
        <f>HYPERLINK("https://diaocthongthai.com/xa-trung-thinh-xin-man/","Xã Trung Thịnh")</f>
        <v>Xã Trung Thịnh</v>
      </c>
    </row>
    <row r="725" spans="1:7" x14ac:dyDescent="0.25">
      <c r="A725" s="2">
        <v>724</v>
      </c>
      <c r="B725" s="3" t="s">
        <v>4</v>
      </c>
      <c r="C725" s="4" t="str">
        <f t="shared" si="51"/>
        <v>Hà Giang</v>
      </c>
      <c r="D725" s="3" t="s">
        <v>104</v>
      </c>
      <c r="E725" s="4" t="str">
        <f t="shared" si="52"/>
        <v>Huyện Xín Mần</v>
      </c>
      <c r="F725" s="3" t="s">
        <v>1489</v>
      </c>
      <c r="G725" s="4" t="str">
        <f>HYPERLINK("https://diaocthongthai.com/xa-pa-vay-su-xin-man/","Xã Pà Vầy Sủ")</f>
        <v>Xã Pà Vầy Sủ</v>
      </c>
    </row>
    <row r="726" spans="1:7" x14ac:dyDescent="0.25">
      <c r="A726" s="2">
        <v>725</v>
      </c>
      <c r="B726" s="3" t="s">
        <v>4</v>
      </c>
      <c r="C726" s="4" t="str">
        <f t="shared" si="51"/>
        <v>Hà Giang</v>
      </c>
      <c r="D726" s="3" t="s">
        <v>104</v>
      </c>
      <c r="E726" s="4" t="str">
        <f t="shared" si="52"/>
        <v>Huyện Xín Mần</v>
      </c>
      <c r="F726" s="3" t="s">
        <v>1490</v>
      </c>
      <c r="G726" s="4" t="str">
        <f>HYPERLINK("https://diaocthongthai.com/xa-coc-re-xin-man/","Xã Cốc Rế")</f>
        <v>Xã Cốc Rế</v>
      </c>
    </row>
    <row r="727" spans="1:7" x14ac:dyDescent="0.25">
      <c r="A727" s="2">
        <v>726</v>
      </c>
      <c r="B727" s="3" t="s">
        <v>4</v>
      </c>
      <c r="C727" s="4" t="str">
        <f t="shared" si="51"/>
        <v>Hà Giang</v>
      </c>
      <c r="D727" s="3" t="s">
        <v>104</v>
      </c>
      <c r="E727" s="4" t="str">
        <f t="shared" si="52"/>
        <v>Huyện Xín Mần</v>
      </c>
      <c r="F727" s="3" t="s">
        <v>1491</v>
      </c>
      <c r="G727" s="4" t="str">
        <f>HYPERLINK("https://diaocthongthai.com/xa-thu-ta-xin-man/","Xã Thu Tà")</f>
        <v>Xã Thu Tà</v>
      </c>
    </row>
    <row r="728" spans="1:7" x14ac:dyDescent="0.25">
      <c r="A728" s="2">
        <v>727</v>
      </c>
      <c r="B728" s="3" t="s">
        <v>4</v>
      </c>
      <c r="C728" s="4" t="str">
        <f t="shared" si="51"/>
        <v>Hà Giang</v>
      </c>
      <c r="D728" s="3" t="s">
        <v>104</v>
      </c>
      <c r="E728" s="4" t="str">
        <f t="shared" si="52"/>
        <v>Huyện Xín Mần</v>
      </c>
      <c r="F728" s="3" t="s">
        <v>1492</v>
      </c>
      <c r="G728" s="4" t="str">
        <f>HYPERLINK("https://diaocthongthai.com/xa-nan-ma-xin-man/","Xã Nàn Ma")</f>
        <v>Xã Nàn Ma</v>
      </c>
    </row>
    <row r="729" spans="1:7" x14ac:dyDescent="0.25">
      <c r="A729" s="2">
        <v>728</v>
      </c>
      <c r="B729" s="3" t="s">
        <v>4</v>
      </c>
      <c r="C729" s="4" t="str">
        <f t="shared" si="51"/>
        <v>Hà Giang</v>
      </c>
      <c r="D729" s="3" t="s">
        <v>104</v>
      </c>
      <c r="E729" s="4" t="str">
        <f t="shared" si="52"/>
        <v>Huyện Xín Mần</v>
      </c>
      <c r="F729" s="3" t="s">
        <v>1493</v>
      </c>
      <c r="G729" s="4" t="str">
        <f>HYPERLINK("https://diaocthongthai.com/xa-ta-nhiu-xin-man/","Xã Tả Nhìu")</f>
        <v>Xã Tả Nhìu</v>
      </c>
    </row>
    <row r="730" spans="1:7" x14ac:dyDescent="0.25">
      <c r="A730" s="2">
        <v>729</v>
      </c>
      <c r="B730" s="3" t="s">
        <v>4</v>
      </c>
      <c r="C730" s="4" t="str">
        <f t="shared" si="51"/>
        <v>Hà Giang</v>
      </c>
      <c r="D730" s="3" t="s">
        <v>104</v>
      </c>
      <c r="E730" s="4" t="str">
        <f t="shared" si="52"/>
        <v>Huyện Xín Mần</v>
      </c>
      <c r="F730" s="3" t="s">
        <v>1494</v>
      </c>
      <c r="G730" s="4" t="str">
        <f>HYPERLINK("https://diaocthongthai.com/xa-ban-ngo-xin-man/","Xã Bản Ngò")</f>
        <v>Xã Bản Ngò</v>
      </c>
    </row>
    <row r="731" spans="1:7" x14ac:dyDescent="0.25">
      <c r="A731" s="2">
        <v>730</v>
      </c>
      <c r="B731" s="3" t="s">
        <v>4</v>
      </c>
      <c r="C731" s="4" t="str">
        <f t="shared" si="51"/>
        <v>Hà Giang</v>
      </c>
      <c r="D731" s="3" t="s">
        <v>104</v>
      </c>
      <c r="E731" s="4" t="str">
        <f t="shared" si="52"/>
        <v>Huyện Xín Mần</v>
      </c>
      <c r="F731" s="3" t="s">
        <v>1495</v>
      </c>
      <c r="G731" s="4" t="str">
        <f>HYPERLINK("https://diaocthongthai.com/xa-che-la-xin-man/","Xã Chế Là")</f>
        <v>Xã Chế Là</v>
      </c>
    </row>
    <row r="732" spans="1:7" x14ac:dyDescent="0.25">
      <c r="A732" s="2">
        <v>731</v>
      </c>
      <c r="B732" s="3" t="s">
        <v>4</v>
      </c>
      <c r="C732" s="4" t="str">
        <f t="shared" si="51"/>
        <v>Hà Giang</v>
      </c>
      <c r="D732" s="3" t="s">
        <v>104</v>
      </c>
      <c r="E732" s="4" t="str">
        <f t="shared" si="52"/>
        <v>Huyện Xín Mần</v>
      </c>
      <c r="F732" s="3" t="s">
        <v>1496</v>
      </c>
      <c r="G732" s="4" t="str">
        <f>HYPERLINK("https://diaocthongthai.com/xa-nam-dan-xin-man/","Xã Nấm Dẩn")</f>
        <v>Xã Nấm Dẩn</v>
      </c>
    </row>
    <row r="733" spans="1:7" x14ac:dyDescent="0.25">
      <c r="A733" s="2">
        <v>732</v>
      </c>
      <c r="B733" s="3" t="s">
        <v>4</v>
      </c>
      <c r="C733" s="4" t="str">
        <f t="shared" si="51"/>
        <v>Hà Giang</v>
      </c>
      <c r="D733" s="3" t="s">
        <v>104</v>
      </c>
      <c r="E733" s="4" t="str">
        <f t="shared" si="52"/>
        <v>Huyện Xín Mần</v>
      </c>
      <c r="F733" s="3" t="s">
        <v>1497</v>
      </c>
      <c r="G733" s="4" t="str">
        <f>HYPERLINK("https://diaocthongthai.com/xa-quang-nguyen-xin-man/","Xã Quảng Nguyên")</f>
        <v>Xã Quảng Nguyên</v>
      </c>
    </row>
    <row r="734" spans="1:7" x14ac:dyDescent="0.25">
      <c r="A734" s="2">
        <v>733</v>
      </c>
      <c r="B734" s="3" t="s">
        <v>4</v>
      </c>
      <c r="C734" s="4" t="str">
        <f t="shared" si="51"/>
        <v>Hà Giang</v>
      </c>
      <c r="D734" s="3" t="s">
        <v>104</v>
      </c>
      <c r="E734" s="4" t="str">
        <f t="shared" si="52"/>
        <v>Huyện Xín Mần</v>
      </c>
      <c r="F734" s="3" t="s">
        <v>1498</v>
      </c>
      <c r="G734" s="4" t="str">
        <f>HYPERLINK("https://diaocthongthai.com/xa-na-chi-xin-man/","Xã Nà Chì")</f>
        <v>Xã Nà Chì</v>
      </c>
    </row>
    <row r="735" spans="1:7" x14ac:dyDescent="0.25">
      <c r="A735" s="2">
        <v>734</v>
      </c>
      <c r="B735" s="3" t="s">
        <v>4</v>
      </c>
      <c r="C735" s="4" t="str">
        <f t="shared" si="51"/>
        <v>Hà Giang</v>
      </c>
      <c r="D735" s="3" t="s">
        <v>104</v>
      </c>
      <c r="E735" s="4" t="str">
        <f t="shared" si="52"/>
        <v>Huyện Xín Mần</v>
      </c>
      <c r="F735" s="3" t="s">
        <v>1499</v>
      </c>
      <c r="G735" s="4" t="str">
        <f>HYPERLINK("https://diaocthongthai.com/xa-khuon-lung-xin-man/","Xã Khuôn Lùng")</f>
        <v>Xã Khuôn Lùng</v>
      </c>
    </row>
    <row r="736" spans="1:7" x14ac:dyDescent="0.25">
      <c r="A736" s="2">
        <v>735</v>
      </c>
      <c r="B736" s="3" t="s">
        <v>4</v>
      </c>
      <c r="C736" s="4" t="str">
        <f t="shared" si="51"/>
        <v>Hà Giang</v>
      </c>
      <c r="D736" s="3" t="s">
        <v>105</v>
      </c>
      <c r="E736" s="4" t="str">
        <f t="shared" ref="E736:E758" si="53">HYPERLINK("https://diaocthongthai.com/ban-do-huyen-bac-quang-ha-giang/","Huyện Bắc Quang")</f>
        <v>Huyện Bắc Quang</v>
      </c>
      <c r="F736" s="3" t="s">
        <v>1500</v>
      </c>
      <c r="G736" s="4" t="str">
        <f>HYPERLINK("https://diaocthongthai.com/thi-tran-viet-quang-bac-quang/","Thị trấn Việt Quang")</f>
        <v>Thị trấn Việt Quang</v>
      </c>
    </row>
    <row r="737" spans="1:7" x14ac:dyDescent="0.25">
      <c r="A737" s="2">
        <v>736</v>
      </c>
      <c r="B737" s="3" t="s">
        <v>4</v>
      </c>
      <c r="C737" s="4" t="str">
        <f t="shared" si="51"/>
        <v>Hà Giang</v>
      </c>
      <c r="D737" s="3" t="s">
        <v>105</v>
      </c>
      <c r="E737" s="4" t="str">
        <f t="shared" si="53"/>
        <v>Huyện Bắc Quang</v>
      </c>
      <c r="F737" s="3" t="s">
        <v>1501</v>
      </c>
      <c r="G737" s="4" t="str">
        <f>HYPERLINK("https://diaocthongthai.com/thi-tran-vinh-tuy-bac-quang/","Thị trấn Vĩnh Tuy")</f>
        <v>Thị trấn Vĩnh Tuy</v>
      </c>
    </row>
    <row r="738" spans="1:7" x14ac:dyDescent="0.25">
      <c r="A738" s="2">
        <v>737</v>
      </c>
      <c r="B738" s="3" t="s">
        <v>4</v>
      </c>
      <c r="C738" s="4" t="str">
        <f t="shared" si="51"/>
        <v>Hà Giang</v>
      </c>
      <c r="D738" s="3" t="s">
        <v>105</v>
      </c>
      <c r="E738" s="4" t="str">
        <f t="shared" si="53"/>
        <v>Huyện Bắc Quang</v>
      </c>
      <c r="F738" s="3" t="s">
        <v>1502</v>
      </c>
      <c r="G738" s="4" t="str">
        <f>HYPERLINK("https://diaocthongthai.com/xa-tan-lap-bac-quang/","Xã Tân Lập")</f>
        <v>Xã Tân Lập</v>
      </c>
    </row>
    <row r="739" spans="1:7" x14ac:dyDescent="0.25">
      <c r="A739" s="2">
        <v>738</v>
      </c>
      <c r="B739" s="3" t="s">
        <v>4</v>
      </c>
      <c r="C739" s="4" t="str">
        <f t="shared" si="51"/>
        <v>Hà Giang</v>
      </c>
      <c r="D739" s="3" t="s">
        <v>105</v>
      </c>
      <c r="E739" s="4" t="str">
        <f t="shared" si="53"/>
        <v>Huyện Bắc Quang</v>
      </c>
      <c r="F739" s="3" t="s">
        <v>1503</v>
      </c>
      <c r="G739" s="4" t="str">
        <f>HYPERLINK("https://diaocthongthai.com/xa-tan-thanh-bac-quang/","Xã Tân Thành")</f>
        <v>Xã Tân Thành</v>
      </c>
    </row>
    <row r="740" spans="1:7" x14ac:dyDescent="0.25">
      <c r="A740" s="2">
        <v>739</v>
      </c>
      <c r="B740" s="3" t="s">
        <v>4</v>
      </c>
      <c r="C740" s="4" t="str">
        <f t="shared" si="51"/>
        <v>Hà Giang</v>
      </c>
      <c r="D740" s="3" t="s">
        <v>105</v>
      </c>
      <c r="E740" s="4" t="str">
        <f t="shared" si="53"/>
        <v>Huyện Bắc Quang</v>
      </c>
      <c r="F740" s="3" t="s">
        <v>1504</v>
      </c>
      <c r="G740" s="4" t="str">
        <f>HYPERLINK("https://diaocthongthai.com/xa-dong-tien-bac-quang/","Xã Đồng Tiến")</f>
        <v>Xã Đồng Tiến</v>
      </c>
    </row>
    <row r="741" spans="1:7" x14ac:dyDescent="0.25">
      <c r="A741" s="2">
        <v>740</v>
      </c>
      <c r="B741" s="3" t="s">
        <v>4</v>
      </c>
      <c r="C741" s="4" t="str">
        <f t="shared" ref="C741:C773" si="54">HYPERLINK("https://diaocthongthai.com/ban-do-ha-giang/","Hà Giang")</f>
        <v>Hà Giang</v>
      </c>
      <c r="D741" s="3" t="s">
        <v>105</v>
      </c>
      <c r="E741" s="4" t="str">
        <f t="shared" si="53"/>
        <v>Huyện Bắc Quang</v>
      </c>
      <c r="F741" s="3" t="s">
        <v>1505</v>
      </c>
      <c r="G741" s="4" t="str">
        <f>HYPERLINK("https://diaocthongthai.com/xa-dong-tam-bac-quang/","Xã Đồng Tâm")</f>
        <v>Xã Đồng Tâm</v>
      </c>
    </row>
    <row r="742" spans="1:7" x14ac:dyDescent="0.25">
      <c r="A742" s="2">
        <v>741</v>
      </c>
      <c r="B742" s="3" t="s">
        <v>4</v>
      </c>
      <c r="C742" s="4" t="str">
        <f t="shared" si="54"/>
        <v>Hà Giang</v>
      </c>
      <c r="D742" s="3" t="s">
        <v>105</v>
      </c>
      <c r="E742" s="4" t="str">
        <f t="shared" si="53"/>
        <v>Huyện Bắc Quang</v>
      </c>
      <c r="F742" s="3" t="s">
        <v>1506</v>
      </c>
      <c r="G742" s="4" t="str">
        <f>HYPERLINK("https://diaocthongthai.com/xa-tan-quang-bac-quang/","Xã Tân Quang")</f>
        <v>Xã Tân Quang</v>
      </c>
    </row>
    <row r="743" spans="1:7" x14ac:dyDescent="0.25">
      <c r="A743" s="2">
        <v>742</v>
      </c>
      <c r="B743" s="3" t="s">
        <v>4</v>
      </c>
      <c r="C743" s="4" t="str">
        <f t="shared" si="54"/>
        <v>Hà Giang</v>
      </c>
      <c r="D743" s="3" t="s">
        <v>105</v>
      </c>
      <c r="E743" s="4" t="str">
        <f t="shared" si="53"/>
        <v>Huyện Bắc Quang</v>
      </c>
      <c r="F743" s="3" t="s">
        <v>1507</v>
      </c>
      <c r="G743" s="4" t="str">
        <f>HYPERLINK("https://diaocthongthai.com/xa-thuong-binh-bac-quang/","Xã Thượng Bình")</f>
        <v>Xã Thượng Bình</v>
      </c>
    </row>
    <row r="744" spans="1:7" x14ac:dyDescent="0.25">
      <c r="A744" s="2">
        <v>743</v>
      </c>
      <c r="B744" s="3" t="s">
        <v>4</v>
      </c>
      <c r="C744" s="4" t="str">
        <f t="shared" si="54"/>
        <v>Hà Giang</v>
      </c>
      <c r="D744" s="3" t="s">
        <v>105</v>
      </c>
      <c r="E744" s="4" t="str">
        <f t="shared" si="53"/>
        <v>Huyện Bắc Quang</v>
      </c>
      <c r="F744" s="3" t="s">
        <v>1508</v>
      </c>
      <c r="G744" s="4" t="str">
        <f>HYPERLINK("https://diaocthongthai.com/xa-huu-san-bac-quang/","Xã Hữu Sản")</f>
        <v>Xã Hữu Sản</v>
      </c>
    </row>
    <row r="745" spans="1:7" x14ac:dyDescent="0.25">
      <c r="A745" s="2">
        <v>744</v>
      </c>
      <c r="B745" s="3" t="s">
        <v>4</v>
      </c>
      <c r="C745" s="4" t="str">
        <f t="shared" si="54"/>
        <v>Hà Giang</v>
      </c>
      <c r="D745" s="3" t="s">
        <v>105</v>
      </c>
      <c r="E745" s="4" t="str">
        <f t="shared" si="53"/>
        <v>Huyện Bắc Quang</v>
      </c>
      <c r="F745" s="3" t="s">
        <v>1509</v>
      </c>
      <c r="G745" s="4" t="str">
        <f>HYPERLINK("https://diaocthongthai.com/xa-kim-ngoc-bac-quang/","Xã Kim Ngọc")</f>
        <v>Xã Kim Ngọc</v>
      </c>
    </row>
    <row r="746" spans="1:7" x14ac:dyDescent="0.25">
      <c r="A746" s="2">
        <v>745</v>
      </c>
      <c r="B746" s="3" t="s">
        <v>4</v>
      </c>
      <c r="C746" s="4" t="str">
        <f t="shared" si="54"/>
        <v>Hà Giang</v>
      </c>
      <c r="D746" s="3" t="s">
        <v>105</v>
      </c>
      <c r="E746" s="4" t="str">
        <f t="shared" si="53"/>
        <v>Huyện Bắc Quang</v>
      </c>
      <c r="F746" s="3" t="s">
        <v>1510</v>
      </c>
      <c r="G746" s="4" t="str">
        <f>HYPERLINK("https://diaocthongthai.com/xa-viet-vinh-bac-quang/","Xã Việt Vinh")</f>
        <v>Xã Việt Vinh</v>
      </c>
    </row>
    <row r="747" spans="1:7" x14ac:dyDescent="0.25">
      <c r="A747" s="2">
        <v>746</v>
      </c>
      <c r="B747" s="3" t="s">
        <v>4</v>
      </c>
      <c r="C747" s="4" t="str">
        <f t="shared" si="54"/>
        <v>Hà Giang</v>
      </c>
      <c r="D747" s="3" t="s">
        <v>105</v>
      </c>
      <c r="E747" s="4" t="str">
        <f t="shared" si="53"/>
        <v>Huyện Bắc Quang</v>
      </c>
      <c r="F747" s="3" t="s">
        <v>1511</v>
      </c>
      <c r="G747" s="4" t="str">
        <f>HYPERLINK("https://diaocthongthai.com/xa-bang-hanh-bac-quang/","Xã Bằng Hành")</f>
        <v>Xã Bằng Hành</v>
      </c>
    </row>
    <row r="748" spans="1:7" x14ac:dyDescent="0.25">
      <c r="A748" s="2">
        <v>747</v>
      </c>
      <c r="B748" s="3" t="s">
        <v>4</v>
      </c>
      <c r="C748" s="4" t="str">
        <f t="shared" si="54"/>
        <v>Hà Giang</v>
      </c>
      <c r="D748" s="3" t="s">
        <v>105</v>
      </c>
      <c r="E748" s="4" t="str">
        <f t="shared" si="53"/>
        <v>Huyện Bắc Quang</v>
      </c>
      <c r="F748" s="3" t="s">
        <v>1512</v>
      </c>
      <c r="G748" s="4" t="str">
        <f>HYPERLINK("https://diaocthongthai.com/xa-quang-minh-bac-quang/","Xã Quang Minh")</f>
        <v>Xã Quang Minh</v>
      </c>
    </row>
    <row r="749" spans="1:7" x14ac:dyDescent="0.25">
      <c r="A749" s="2">
        <v>748</v>
      </c>
      <c r="B749" s="3" t="s">
        <v>4</v>
      </c>
      <c r="C749" s="4" t="str">
        <f t="shared" si="54"/>
        <v>Hà Giang</v>
      </c>
      <c r="D749" s="3" t="s">
        <v>105</v>
      </c>
      <c r="E749" s="4" t="str">
        <f t="shared" si="53"/>
        <v>Huyện Bắc Quang</v>
      </c>
      <c r="F749" s="3" t="s">
        <v>1513</v>
      </c>
      <c r="G749" s="4" t="str">
        <f>HYPERLINK("https://diaocthongthai.com/xa-lien-hiep-bac-quang/","Xã Liên Hiệp")</f>
        <v>Xã Liên Hiệp</v>
      </c>
    </row>
    <row r="750" spans="1:7" x14ac:dyDescent="0.25">
      <c r="A750" s="2">
        <v>749</v>
      </c>
      <c r="B750" s="3" t="s">
        <v>4</v>
      </c>
      <c r="C750" s="4" t="str">
        <f t="shared" si="54"/>
        <v>Hà Giang</v>
      </c>
      <c r="D750" s="3" t="s">
        <v>105</v>
      </c>
      <c r="E750" s="4" t="str">
        <f t="shared" si="53"/>
        <v>Huyện Bắc Quang</v>
      </c>
      <c r="F750" s="3" t="s">
        <v>1514</v>
      </c>
      <c r="G750" s="4" t="str">
        <f>HYPERLINK("https://diaocthongthai.com/xa-vo-diem-bac-quang/","Xã Vô Điếm")</f>
        <v>Xã Vô Điếm</v>
      </c>
    </row>
    <row r="751" spans="1:7" x14ac:dyDescent="0.25">
      <c r="A751" s="2">
        <v>750</v>
      </c>
      <c r="B751" s="3" t="s">
        <v>4</v>
      </c>
      <c r="C751" s="4" t="str">
        <f t="shared" si="54"/>
        <v>Hà Giang</v>
      </c>
      <c r="D751" s="3" t="s">
        <v>105</v>
      </c>
      <c r="E751" s="4" t="str">
        <f t="shared" si="53"/>
        <v>Huyện Bắc Quang</v>
      </c>
      <c r="F751" s="3" t="s">
        <v>1515</v>
      </c>
      <c r="G751" s="4" t="str">
        <f>HYPERLINK("https://diaocthongthai.com/xa-viet-hong-bac-quang/","Xã Việt Hồng")</f>
        <v>Xã Việt Hồng</v>
      </c>
    </row>
    <row r="752" spans="1:7" x14ac:dyDescent="0.25">
      <c r="A752" s="2">
        <v>751</v>
      </c>
      <c r="B752" s="3" t="s">
        <v>4</v>
      </c>
      <c r="C752" s="4" t="str">
        <f t="shared" si="54"/>
        <v>Hà Giang</v>
      </c>
      <c r="D752" s="3" t="s">
        <v>105</v>
      </c>
      <c r="E752" s="4" t="str">
        <f t="shared" si="53"/>
        <v>Huyện Bắc Quang</v>
      </c>
      <c r="F752" s="3" t="s">
        <v>1516</v>
      </c>
      <c r="G752" s="4" t="str">
        <f>HYPERLINK("https://diaocthongthai.com/xa-hung-an-bac-quang/","Xã Hùng An")</f>
        <v>Xã Hùng An</v>
      </c>
    </row>
    <row r="753" spans="1:7" x14ac:dyDescent="0.25">
      <c r="A753" s="2">
        <v>752</v>
      </c>
      <c r="B753" s="3" t="s">
        <v>4</v>
      </c>
      <c r="C753" s="4" t="str">
        <f t="shared" si="54"/>
        <v>Hà Giang</v>
      </c>
      <c r="D753" s="3" t="s">
        <v>105</v>
      </c>
      <c r="E753" s="4" t="str">
        <f t="shared" si="53"/>
        <v>Huyện Bắc Quang</v>
      </c>
      <c r="F753" s="3" t="s">
        <v>1517</v>
      </c>
      <c r="G753" s="4" t="str">
        <f>HYPERLINK("https://diaocthongthai.com/xa-duc-xuan-bac-quang/","Xã Đức Xuân")</f>
        <v>Xã Đức Xuân</v>
      </c>
    </row>
    <row r="754" spans="1:7" x14ac:dyDescent="0.25">
      <c r="A754" s="2">
        <v>753</v>
      </c>
      <c r="B754" s="3" t="s">
        <v>4</v>
      </c>
      <c r="C754" s="4" t="str">
        <f t="shared" si="54"/>
        <v>Hà Giang</v>
      </c>
      <c r="D754" s="3" t="s">
        <v>105</v>
      </c>
      <c r="E754" s="4" t="str">
        <f t="shared" si="53"/>
        <v>Huyện Bắc Quang</v>
      </c>
      <c r="F754" s="3" t="s">
        <v>1518</v>
      </c>
      <c r="G754" s="4" t="str">
        <f>HYPERLINK("https://diaocthongthai.com/xa-tien-kieu-bac-quang/","Xã Tiên Kiều")</f>
        <v>Xã Tiên Kiều</v>
      </c>
    </row>
    <row r="755" spans="1:7" x14ac:dyDescent="0.25">
      <c r="A755" s="2">
        <v>754</v>
      </c>
      <c r="B755" s="3" t="s">
        <v>4</v>
      </c>
      <c r="C755" s="4" t="str">
        <f t="shared" si="54"/>
        <v>Hà Giang</v>
      </c>
      <c r="D755" s="3" t="s">
        <v>105</v>
      </c>
      <c r="E755" s="4" t="str">
        <f t="shared" si="53"/>
        <v>Huyện Bắc Quang</v>
      </c>
      <c r="F755" s="3" t="s">
        <v>1519</v>
      </c>
      <c r="G755" s="4" t="str">
        <f>HYPERLINK("https://diaocthongthai.com/xa-vinh-hao-bac-quang/","Xã Vĩnh Hảo")</f>
        <v>Xã Vĩnh Hảo</v>
      </c>
    </row>
    <row r="756" spans="1:7" x14ac:dyDescent="0.25">
      <c r="A756" s="2">
        <v>755</v>
      </c>
      <c r="B756" s="3" t="s">
        <v>4</v>
      </c>
      <c r="C756" s="4" t="str">
        <f t="shared" si="54"/>
        <v>Hà Giang</v>
      </c>
      <c r="D756" s="3" t="s">
        <v>105</v>
      </c>
      <c r="E756" s="4" t="str">
        <f t="shared" si="53"/>
        <v>Huyện Bắc Quang</v>
      </c>
      <c r="F756" s="3" t="s">
        <v>1520</v>
      </c>
      <c r="G756" s="4" t="str">
        <f>HYPERLINK("https://diaocthongthai.com/xa-vinh-phuc-bac-quang/","Xã Vĩnh Phúc")</f>
        <v>Xã Vĩnh Phúc</v>
      </c>
    </row>
    <row r="757" spans="1:7" x14ac:dyDescent="0.25">
      <c r="A757" s="2">
        <v>756</v>
      </c>
      <c r="B757" s="3" t="s">
        <v>4</v>
      </c>
      <c r="C757" s="4" t="str">
        <f t="shared" si="54"/>
        <v>Hà Giang</v>
      </c>
      <c r="D757" s="3" t="s">
        <v>105</v>
      </c>
      <c r="E757" s="4" t="str">
        <f t="shared" si="53"/>
        <v>Huyện Bắc Quang</v>
      </c>
      <c r="F757" s="3" t="s">
        <v>1521</v>
      </c>
      <c r="G757" s="4" t="str">
        <f>HYPERLINK("https://diaocthongthai.com/xa-dong-yen-bac-quang/","Xã Đồng Yên")</f>
        <v>Xã Đồng Yên</v>
      </c>
    </row>
    <row r="758" spans="1:7" x14ac:dyDescent="0.25">
      <c r="A758" s="2">
        <v>757</v>
      </c>
      <c r="B758" s="3" t="s">
        <v>4</v>
      </c>
      <c r="C758" s="4" t="str">
        <f t="shared" si="54"/>
        <v>Hà Giang</v>
      </c>
      <c r="D758" s="3" t="s">
        <v>105</v>
      </c>
      <c r="E758" s="4" t="str">
        <f t="shared" si="53"/>
        <v>Huyện Bắc Quang</v>
      </c>
      <c r="F758" s="3" t="s">
        <v>1522</v>
      </c>
      <c r="G758" s="4" t="str">
        <f>HYPERLINK("https://diaocthongthai.com/xa-dong-thanh-bac-quang/","Xã Đông Thành")</f>
        <v>Xã Đông Thành</v>
      </c>
    </row>
    <row r="759" spans="1:7" x14ac:dyDescent="0.25">
      <c r="A759" s="2">
        <v>758</v>
      </c>
      <c r="B759" s="3" t="s">
        <v>4</v>
      </c>
      <c r="C759" s="4" t="str">
        <f t="shared" si="54"/>
        <v>Hà Giang</v>
      </c>
      <c r="D759" s="3" t="s">
        <v>106</v>
      </c>
      <c r="E759" s="4" t="str">
        <f t="shared" ref="E759:E773" si="55">HYPERLINK("https://diaocthongthai.com/ban-do-huyen-quang-binh-ha-giang/","Huyện Quang Bình")</f>
        <v>Huyện Quang Bình</v>
      </c>
      <c r="F759" s="3" t="s">
        <v>1523</v>
      </c>
      <c r="G759" s="4" t="str">
        <f>HYPERLINK("https://diaocthongthai.com/xa-xuan-minh-quang-binh/","Xã Xuân Minh")</f>
        <v>Xã Xuân Minh</v>
      </c>
    </row>
    <row r="760" spans="1:7" x14ac:dyDescent="0.25">
      <c r="A760" s="2">
        <v>759</v>
      </c>
      <c r="B760" s="3" t="s">
        <v>4</v>
      </c>
      <c r="C760" s="4" t="str">
        <f t="shared" si="54"/>
        <v>Hà Giang</v>
      </c>
      <c r="D760" s="3" t="s">
        <v>106</v>
      </c>
      <c r="E760" s="4" t="str">
        <f t="shared" si="55"/>
        <v>Huyện Quang Bình</v>
      </c>
      <c r="F760" s="3" t="s">
        <v>1524</v>
      </c>
      <c r="G760" s="4" t="str">
        <f>HYPERLINK("https://diaocthongthai.com/xa-tien-nguyen-quang-binh/","Xã Tiên Nguyên")</f>
        <v>Xã Tiên Nguyên</v>
      </c>
    </row>
    <row r="761" spans="1:7" x14ac:dyDescent="0.25">
      <c r="A761" s="2">
        <v>760</v>
      </c>
      <c r="B761" s="3" t="s">
        <v>4</v>
      </c>
      <c r="C761" s="4" t="str">
        <f t="shared" si="54"/>
        <v>Hà Giang</v>
      </c>
      <c r="D761" s="3" t="s">
        <v>106</v>
      </c>
      <c r="E761" s="4" t="str">
        <f t="shared" si="55"/>
        <v>Huyện Quang Bình</v>
      </c>
      <c r="F761" s="3" t="s">
        <v>1525</v>
      </c>
      <c r="G761" s="4" t="str">
        <f>HYPERLINK("https://diaocthongthai.com/xa-tan-nam-quang-binh/","Xã Tân Nam")</f>
        <v>Xã Tân Nam</v>
      </c>
    </row>
    <row r="762" spans="1:7" x14ac:dyDescent="0.25">
      <c r="A762" s="2">
        <v>761</v>
      </c>
      <c r="B762" s="3" t="s">
        <v>4</v>
      </c>
      <c r="C762" s="4" t="str">
        <f t="shared" si="54"/>
        <v>Hà Giang</v>
      </c>
      <c r="D762" s="3" t="s">
        <v>106</v>
      </c>
      <c r="E762" s="4" t="str">
        <f t="shared" si="55"/>
        <v>Huyện Quang Bình</v>
      </c>
      <c r="F762" s="3" t="s">
        <v>1526</v>
      </c>
      <c r="G762" s="4" t="str">
        <f>HYPERLINK("https://diaocthongthai.com/xa-ban-ria-quang-binh/","Xã Bản Rịa")</f>
        <v>Xã Bản Rịa</v>
      </c>
    </row>
    <row r="763" spans="1:7" x14ac:dyDescent="0.25">
      <c r="A763" s="2">
        <v>762</v>
      </c>
      <c r="B763" s="3" t="s">
        <v>4</v>
      </c>
      <c r="C763" s="4" t="str">
        <f t="shared" si="54"/>
        <v>Hà Giang</v>
      </c>
      <c r="D763" s="3" t="s">
        <v>106</v>
      </c>
      <c r="E763" s="4" t="str">
        <f t="shared" si="55"/>
        <v>Huyện Quang Bình</v>
      </c>
      <c r="F763" s="3" t="s">
        <v>1527</v>
      </c>
      <c r="G763" s="4" t="str">
        <f>HYPERLINK("https://diaocthongthai.com/xa-yen-thanh-quang-binh/","Xã Yên Thành")</f>
        <v>Xã Yên Thành</v>
      </c>
    </row>
    <row r="764" spans="1:7" x14ac:dyDescent="0.25">
      <c r="A764" s="2">
        <v>763</v>
      </c>
      <c r="B764" s="3" t="s">
        <v>4</v>
      </c>
      <c r="C764" s="4" t="str">
        <f t="shared" si="54"/>
        <v>Hà Giang</v>
      </c>
      <c r="D764" s="3" t="s">
        <v>106</v>
      </c>
      <c r="E764" s="4" t="str">
        <f t="shared" si="55"/>
        <v>Huyện Quang Bình</v>
      </c>
      <c r="F764" s="3" t="s">
        <v>1528</v>
      </c>
      <c r="G764" s="4" t="str">
        <f>HYPERLINK("https://diaocthongthai.com/thi-tran-yen-binh-quang-binh/","Thị trấn Yên Bình")</f>
        <v>Thị trấn Yên Bình</v>
      </c>
    </row>
    <row r="765" spans="1:7" x14ac:dyDescent="0.25">
      <c r="A765" s="2">
        <v>764</v>
      </c>
      <c r="B765" s="3" t="s">
        <v>4</v>
      </c>
      <c r="C765" s="4" t="str">
        <f t="shared" si="54"/>
        <v>Hà Giang</v>
      </c>
      <c r="D765" s="3" t="s">
        <v>106</v>
      </c>
      <c r="E765" s="4" t="str">
        <f t="shared" si="55"/>
        <v>Huyện Quang Bình</v>
      </c>
      <c r="F765" s="3" t="s">
        <v>1529</v>
      </c>
      <c r="G765" s="4" t="str">
        <f>HYPERLINK("https://diaocthongthai.com/xa-tan-trinh-quang-binh/","Xã Tân Trịnh")</f>
        <v>Xã Tân Trịnh</v>
      </c>
    </row>
    <row r="766" spans="1:7" x14ac:dyDescent="0.25">
      <c r="A766" s="2">
        <v>765</v>
      </c>
      <c r="B766" s="3" t="s">
        <v>4</v>
      </c>
      <c r="C766" s="4" t="str">
        <f t="shared" si="54"/>
        <v>Hà Giang</v>
      </c>
      <c r="D766" s="3" t="s">
        <v>106</v>
      </c>
      <c r="E766" s="4" t="str">
        <f t="shared" si="55"/>
        <v>Huyện Quang Bình</v>
      </c>
      <c r="F766" s="3" t="s">
        <v>1530</v>
      </c>
      <c r="G766" s="4" t="str">
        <f>HYPERLINK("https://diaocthongthai.com/xa-tan-bac-quang-binh/","Xã Tân Bắc")</f>
        <v>Xã Tân Bắc</v>
      </c>
    </row>
    <row r="767" spans="1:7" x14ac:dyDescent="0.25">
      <c r="A767" s="2">
        <v>766</v>
      </c>
      <c r="B767" s="3" t="s">
        <v>4</v>
      </c>
      <c r="C767" s="4" t="str">
        <f t="shared" si="54"/>
        <v>Hà Giang</v>
      </c>
      <c r="D767" s="3" t="s">
        <v>106</v>
      </c>
      <c r="E767" s="4" t="str">
        <f t="shared" si="55"/>
        <v>Huyện Quang Bình</v>
      </c>
      <c r="F767" s="3" t="s">
        <v>1531</v>
      </c>
      <c r="G767" s="4" t="str">
        <f>HYPERLINK("https://diaocthongthai.com/xa-bang-lang-quang-binh/","Xã Bằng Lang")</f>
        <v>Xã Bằng Lang</v>
      </c>
    </row>
    <row r="768" spans="1:7" x14ac:dyDescent="0.25">
      <c r="A768" s="2">
        <v>767</v>
      </c>
      <c r="B768" s="3" t="s">
        <v>4</v>
      </c>
      <c r="C768" s="4" t="str">
        <f t="shared" si="54"/>
        <v>Hà Giang</v>
      </c>
      <c r="D768" s="3" t="s">
        <v>106</v>
      </c>
      <c r="E768" s="4" t="str">
        <f t="shared" si="55"/>
        <v>Huyện Quang Bình</v>
      </c>
      <c r="F768" s="3" t="s">
        <v>1532</v>
      </c>
      <c r="G768" s="4" t="str">
        <f>HYPERLINK("https://diaocthongthai.com/xa-yen-ha-quang-binh/","Xã Yên Hà")</f>
        <v>Xã Yên Hà</v>
      </c>
    </row>
    <row r="769" spans="1:7" x14ac:dyDescent="0.25">
      <c r="A769" s="2">
        <v>768</v>
      </c>
      <c r="B769" s="3" t="s">
        <v>4</v>
      </c>
      <c r="C769" s="4" t="str">
        <f t="shared" si="54"/>
        <v>Hà Giang</v>
      </c>
      <c r="D769" s="3" t="s">
        <v>106</v>
      </c>
      <c r="E769" s="4" t="str">
        <f t="shared" si="55"/>
        <v>Huyện Quang Bình</v>
      </c>
      <c r="F769" s="3" t="s">
        <v>1533</v>
      </c>
      <c r="G769" s="4" t="str">
        <f>HYPERLINK("https://diaocthongthai.com/xa-huong-son-quang-binh/","Xã Hương Sơn")</f>
        <v>Xã Hương Sơn</v>
      </c>
    </row>
    <row r="770" spans="1:7" x14ac:dyDescent="0.25">
      <c r="A770" s="2">
        <v>769</v>
      </c>
      <c r="B770" s="3" t="s">
        <v>4</v>
      </c>
      <c r="C770" s="4" t="str">
        <f t="shared" si="54"/>
        <v>Hà Giang</v>
      </c>
      <c r="D770" s="3" t="s">
        <v>106</v>
      </c>
      <c r="E770" s="4" t="str">
        <f t="shared" si="55"/>
        <v>Huyện Quang Bình</v>
      </c>
      <c r="F770" s="3" t="s">
        <v>1534</v>
      </c>
      <c r="G770" s="4" t="str">
        <f>HYPERLINK("https://diaocthongthai.com/xa-xuan-giang-quang-binh/","Xã Xuân Giang")</f>
        <v>Xã Xuân Giang</v>
      </c>
    </row>
    <row r="771" spans="1:7" x14ac:dyDescent="0.25">
      <c r="A771" s="2">
        <v>770</v>
      </c>
      <c r="B771" s="3" t="s">
        <v>4</v>
      </c>
      <c r="C771" s="4" t="str">
        <f t="shared" si="54"/>
        <v>Hà Giang</v>
      </c>
      <c r="D771" s="3" t="s">
        <v>106</v>
      </c>
      <c r="E771" s="4" t="str">
        <f t="shared" si="55"/>
        <v>Huyện Quang Bình</v>
      </c>
      <c r="F771" s="3" t="s">
        <v>1535</v>
      </c>
      <c r="G771" s="4" t="str">
        <f>HYPERLINK("https://diaocthongthai.com/xa-na-khuong-quang-binh/","Xã Nà Khương")</f>
        <v>Xã Nà Khương</v>
      </c>
    </row>
    <row r="772" spans="1:7" x14ac:dyDescent="0.25">
      <c r="A772" s="2">
        <v>771</v>
      </c>
      <c r="B772" s="3" t="s">
        <v>4</v>
      </c>
      <c r="C772" s="4" t="str">
        <f t="shared" si="54"/>
        <v>Hà Giang</v>
      </c>
      <c r="D772" s="3" t="s">
        <v>106</v>
      </c>
      <c r="E772" s="4" t="str">
        <f t="shared" si="55"/>
        <v>Huyện Quang Bình</v>
      </c>
      <c r="F772" s="3" t="s">
        <v>1536</v>
      </c>
      <c r="G772" s="4" t="str">
        <f>HYPERLINK("https://diaocthongthai.com/xa-tien-yen-quang-binh/","Xã Tiên Yên")</f>
        <v>Xã Tiên Yên</v>
      </c>
    </row>
    <row r="773" spans="1:7" x14ac:dyDescent="0.25">
      <c r="A773" s="2">
        <v>772</v>
      </c>
      <c r="B773" s="3" t="s">
        <v>4</v>
      </c>
      <c r="C773" s="4" t="str">
        <f t="shared" si="54"/>
        <v>Hà Giang</v>
      </c>
      <c r="D773" s="3" t="s">
        <v>106</v>
      </c>
      <c r="E773" s="4" t="str">
        <f t="shared" si="55"/>
        <v>Huyện Quang Bình</v>
      </c>
      <c r="F773" s="3" t="s">
        <v>1537</v>
      </c>
      <c r="G773" s="4" t="str">
        <f>HYPERLINK("https://diaocthongthai.com/xa-vi-thuong-quang-binh/","Xã Vĩ Thượng")</f>
        <v>Xã Vĩ Thượng</v>
      </c>
    </row>
    <row r="774" spans="1:7" x14ac:dyDescent="0.25">
      <c r="A774" s="2">
        <v>773</v>
      </c>
      <c r="B774" s="3" t="s">
        <v>5</v>
      </c>
      <c r="C774" s="4" t="str">
        <f t="shared" ref="C774:C805" si="56">HYPERLINK("https://diaocthongthai.com/ban-do-cao-bang/","Cao Bằng")</f>
        <v>Cao Bằng</v>
      </c>
      <c r="D774" s="3" t="s">
        <v>107</v>
      </c>
      <c r="E774" s="4" t="str">
        <f t="shared" ref="E774:E784" si="57">HYPERLINK("https://diaocthongthai.com/ban-do-tp-cao-bang-cao-bang/","Thành phố Cao Bằng")</f>
        <v>Thành phố Cao Bằng</v>
      </c>
      <c r="F774" s="3" t="s">
        <v>1538</v>
      </c>
      <c r="G774" s="4" t="str">
        <f>HYPERLINK("https://diaocthongthai.com/phuong-song-hien-tp-cao-bang/","Phường Sông Hiến")</f>
        <v>Phường Sông Hiến</v>
      </c>
    </row>
    <row r="775" spans="1:7" x14ac:dyDescent="0.25">
      <c r="A775" s="2">
        <v>774</v>
      </c>
      <c r="B775" s="3" t="s">
        <v>5</v>
      </c>
      <c r="C775" s="4" t="str">
        <f t="shared" si="56"/>
        <v>Cao Bằng</v>
      </c>
      <c r="D775" s="3" t="s">
        <v>107</v>
      </c>
      <c r="E775" s="4" t="str">
        <f t="shared" si="57"/>
        <v>Thành phố Cao Bằng</v>
      </c>
      <c r="F775" s="3" t="s">
        <v>1539</v>
      </c>
      <c r="G775" s="4" t="str">
        <f>HYPERLINK("https://diaocthongthai.com/phuong-song-bang-tp-cao-bang/","Phường Sông Bằng")</f>
        <v>Phường Sông Bằng</v>
      </c>
    </row>
    <row r="776" spans="1:7" x14ac:dyDescent="0.25">
      <c r="A776" s="2">
        <v>775</v>
      </c>
      <c r="B776" s="3" t="s">
        <v>5</v>
      </c>
      <c r="C776" s="4" t="str">
        <f t="shared" si="56"/>
        <v>Cao Bằng</v>
      </c>
      <c r="D776" s="3" t="s">
        <v>107</v>
      </c>
      <c r="E776" s="4" t="str">
        <f t="shared" si="57"/>
        <v>Thành phố Cao Bằng</v>
      </c>
      <c r="F776" s="3" t="s">
        <v>1540</v>
      </c>
      <c r="G776" s="4" t="str">
        <f>HYPERLINK("https://diaocthongthai.com/phuong-hop-giang-tp-cao-bang/","Phường Hợp Giang")</f>
        <v>Phường Hợp Giang</v>
      </c>
    </row>
    <row r="777" spans="1:7" x14ac:dyDescent="0.25">
      <c r="A777" s="2">
        <v>776</v>
      </c>
      <c r="B777" s="3" t="s">
        <v>5</v>
      </c>
      <c r="C777" s="4" t="str">
        <f t="shared" si="56"/>
        <v>Cao Bằng</v>
      </c>
      <c r="D777" s="3" t="s">
        <v>107</v>
      </c>
      <c r="E777" s="4" t="str">
        <f t="shared" si="57"/>
        <v>Thành phố Cao Bằng</v>
      </c>
      <c r="F777" s="3" t="s">
        <v>1541</v>
      </c>
      <c r="G777" s="4" t="str">
        <f>HYPERLINK("https://diaocthongthai.com/phuong-tan-giang-tp-cao-bang/","Phường Tân Giang")</f>
        <v>Phường Tân Giang</v>
      </c>
    </row>
    <row r="778" spans="1:7" x14ac:dyDescent="0.25">
      <c r="A778" s="2">
        <v>777</v>
      </c>
      <c r="B778" s="3" t="s">
        <v>5</v>
      </c>
      <c r="C778" s="4" t="str">
        <f t="shared" si="56"/>
        <v>Cao Bằng</v>
      </c>
      <c r="D778" s="3" t="s">
        <v>107</v>
      </c>
      <c r="E778" s="4" t="str">
        <f t="shared" si="57"/>
        <v>Thành phố Cao Bằng</v>
      </c>
      <c r="F778" s="3" t="s">
        <v>1542</v>
      </c>
      <c r="G778" s="4" t="str">
        <f>HYPERLINK("https://diaocthongthai.com/phuong-ngoc-xuan-tp-cao-bang/","Phường Ngọc Xuân")</f>
        <v>Phường Ngọc Xuân</v>
      </c>
    </row>
    <row r="779" spans="1:7" x14ac:dyDescent="0.25">
      <c r="A779" s="2">
        <v>778</v>
      </c>
      <c r="B779" s="3" t="s">
        <v>5</v>
      </c>
      <c r="C779" s="4" t="str">
        <f t="shared" si="56"/>
        <v>Cao Bằng</v>
      </c>
      <c r="D779" s="3" t="s">
        <v>107</v>
      </c>
      <c r="E779" s="4" t="str">
        <f t="shared" si="57"/>
        <v>Thành phố Cao Bằng</v>
      </c>
      <c r="F779" s="3" t="s">
        <v>1543</v>
      </c>
      <c r="G779" s="4" t="str">
        <f>HYPERLINK("https://diaocthongthai.com/phuong-de-tham-tp-cao-bang/","Phường Đề Thám")</f>
        <v>Phường Đề Thám</v>
      </c>
    </row>
    <row r="780" spans="1:7" x14ac:dyDescent="0.25">
      <c r="A780" s="2">
        <v>779</v>
      </c>
      <c r="B780" s="3" t="s">
        <v>5</v>
      </c>
      <c r="C780" s="4" t="str">
        <f t="shared" si="56"/>
        <v>Cao Bằng</v>
      </c>
      <c r="D780" s="3" t="s">
        <v>107</v>
      </c>
      <c r="E780" s="4" t="str">
        <f t="shared" si="57"/>
        <v>Thành phố Cao Bằng</v>
      </c>
      <c r="F780" s="3" t="s">
        <v>1544</v>
      </c>
      <c r="G780" s="4" t="str">
        <f>HYPERLINK("https://diaocthongthai.com/phuong-hoa-chung-tp-cao-bang/","Phường Hoà Chung")</f>
        <v>Phường Hoà Chung</v>
      </c>
    </row>
    <row r="781" spans="1:7" x14ac:dyDescent="0.25">
      <c r="A781" s="2">
        <v>780</v>
      </c>
      <c r="B781" s="3" t="s">
        <v>5</v>
      </c>
      <c r="C781" s="4" t="str">
        <f t="shared" si="56"/>
        <v>Cao Bằng</v>
      </c>
      <c r="D781" s="3" t="s">
        <v>107</v>
      </c>
      <c r="E781" s="4" t="str">
        <f t="shared" si="57"/>
        <v>Thành phố Cao Bằng</v>
      </c>
      <c r="F781" s="3" t="s">
        <v>1545</v>
      </c>
      <c r="G781" s="4" t="str">
        <f>HYPERLINK("https://diaocthongthai.com/phuong-duyet-trung-tp-cao-bang/","Phường Duyệt Trung")</f>
        <v>Phường Duyệt Trung</v>
      </c>
    </row>
    <row r="782" spans="1:7" x14ac:dyDescent="0.25">
      <c r="A782" s="2">
        <v>781</v>
      </c>
      <c r="B782" s="3" t="s">
        <v>5</v>
      </c>
      <c r="C782" s="4" t="str">
        <f t="shared" si="56"/>
        <v>Cao Bằng</v>
      </c>
      <c r="D782" s="3" t="s">
        <v>107</v>
      </c>
      <c r="E782" s="4" t="str">
        <f t="shared" si="57"/>
        <v>Thành phố Cao Bằng</v>
      </c>
      <c r="F782" s="3" t="s">
        <v>1546</v>
      </c>
      <c r="G782" s="4" t="str">
        <f>HYPERLINK("https://diaocthongthai.com/xa-vinh-quang-tp-cao-bang/","Xã Vĩnh Quang")</f>
        <v>Xã Vĩnh Quang</v>
      </c>
    </row>
    <row r="783" spans="1:7" x14ac:dyDescent="0.25">
      <c r="A783" s="2">
        <v>782</v>
      </c>
      <c r="B783" s="3" t="s">
        <v>5</v>
      </c>
      <c r="C783" s="4" t="str">
        <f t="shared" si="56"/>
        <v>Cao Bằng</v>
      </c>
      <c r="D783" s="3" t="s">
        <v>107</v>
      </c>
      <c r="E783" s="4" t="str">
        <f t="shared" si="57"/>
        <v>Thành phố Cao Bằng</v>
      </c>
      <c r="F783" s="3" t="s">
        <v>1547</v>
      </c>
      <c r="G783" s="4" t="str">
        <f>HYPERLINK("https://diaocthongthai.com/xa-hung-dao-tp-cao-bang/","Xã Hưng Đạo")</f>
        <v>Xã Hưng Đạo</v>
      </c>
    </row>
    <row r="784" spans="1:7" x14ac:dyDescent="0.25">
      <c r="A784" s="2">
        <v>783</v>
      </c>
      <c r="B784" s="3" t="s">
        <v>5</v>
      </c>
      <c r="C784" s="4" t="str">
        <f t="shared" si="56"/>
        <v>Cao Bằng</v>
      </c>
      <c r="D784" s="3" t="s">
        <v>107</v>
      </c>
      <c r="E784" s="4" t="str">
        <f t="shared" si="57"/>
        <v>Thành phố Cao Bằng</v>
      </c>
      <c r="F784" s="3" t="s">
        <v>1548</v>
      </c>
      <c r="G784" s="4" t="str">
        <f>HYPERLINK("https://diaocthongthai.com/xa-chu-trinh-tp-cao-bang/","Xã Chu Trinh")</f>
        <v>Xã Chu Trinh</v>
      </c>
    </row>
    <row r="785" spans="1:7" x14ac:dyDescent="0.25">
      <c r="A785" s="2">
        <v>784</v>
      </c>
      <c r="B785" s="3" t="s">
        <v>5</v>
      </c>
      <c r="C785" s="4" t="str">
        <f t="shared" si="56"/>
        <v>Cao Bằng</v>
      </c>
      <c r="D785" s="3" t="s">
        <v>108</v>
      </c>
      <c r="E785" s="4" t="str">
        <f t="shared" ref="E785:E797" si="58">HYPERLINK("https://diaocthongthai.com/ban-do-huyen-bao-lam-cao-bang/","Huyện Bảo Lâm")</f>
        <v>Huyện Bảo Lâm</v>
      </c>
      <c r="F785" s="3" t="s">
        <v>1549</v>
      </c>
      <c r="G785" s="4" t="str">
        <f>HYPERLINK("https://diaocthongthai.com/thi-tran-pac-miau-bao-lam-cao-bang/","Thị trấn Pác Miầu")</f>
        <v>Thị trấn Pác Miầu</v>
      </c>
    </row>
    <row r="786" spans="1:7" x14ac:dyDescent="0.25">
      <c r="A786" s="2">
        <v>785</v>
      </c>
      <c r="B786" s="3" t="s">
        <v>5</v>
      </c>
      <c r="C786" s="4" t="str">
        <f t="shared" si="56"/>
        <v>Cao Bằng</v>
      </c>
      <c r="D786" s="3" t="s">
        <v>108</v>
      </c>
      <c r="E786" s="4" t="str">
        <f t="shared" si="58"/>
        <v>Huyện Bảo Lâm</v>
      </c>
      <c r="F786" s="3" t="s">
        <v>1550</v>
      </c>
      <c r="G786" s="4" t="str">
        <f>HYPERLINK("https://diaocthongthai.com/xa-duc-hanh-bao-lam-cao-bang/","Xã Đức Hạnh")</f>
        <v>Xã Đức Hạnh</v>
      </c>
    </row>
    <row r="787" spans="1:7" x14ac:dyDescent="0.25">
      <c r="A787" s="2">
        <v>786</v>
      </c>
      <c r="B787" s="3" t="s">
        <v>5</v>
      </c>
      <c r="C787" s="4" t="str">
        <f t="shared" si="56"/>
        <v>Cao Bằng</v>
      </c>
      <c r="D787" s="3" t="s">
        <v>108</v>
      </c>
      <c r="E787" s="4" t="str">
        <f t="shared" si="58"/>
        <v>Huyện Bảo Lâm</v>
      </c>
      <c r="F787" s="3" t="s">
        <v>1551</v>
      </c>
      <c r="G787" s="4" t="str">
        <f>HYPERLINK("https://diaocthongthai.com/xa-ly-bon-bao-lam-cao-bang/","Xã Lý Bôn")</f>
        <v>Xã Lý Bôn</v>
      </c>
    </row>
    <row r="788" spans="1:7" x14ac:dyDescent="0.25">
      <c r="A788" s="2">
        <v>787</v>
      </c>
      <c r="B788" s="3" t="s">
        <v>5</v>
      </c>
      <c r="C788" s="4" t="str">
        <f t="shared" si="56"/>
        <v>Cao Bằng</v>
      </c>
      <c r="D788" s="3" t="s">
        <v>108</v>
      </c>
      <c r="E788" s="4" t="str">
        <f t="shared" si="58"/>
        <v>Huyện Bảo Lâm</v>
      </c>
      <c r="F788" s="3" t="s">
        <v>1552</v>
      </c>
      <c r="G788" s="4" t="str">
        <f>HYPERLINK("https://diaocthongthai.com/xa-nam-cao-bao-lam-cao-bang/","Xã Nam Cao")</f>
        <v>Xã Nam Cao</v>
      </c>
    </row>
    <row r="789" spans="1:7" x14ac:dyDescent="0.25">
      <c r="A789" s="2">
        <v>788</v>
      </c>
      <c r="B789" s="3" t="s">
        <v>5</v>
      </c>
      <c r="C789" s="4" t="str">
        <f t="shared" si="56"/>
        <v>Cao Bằng</v>
      </c>
      <c r="D789" s="3" t="s">
        <v>108</v>
      </c>
      <c r="E789" s="4" t="str">
        <f t="shared" si="58"/>
        <v>Huyện Bảo Lâm</v>
      </c>
      <c r="F789" s="3" t="s">
        <v>1553</v>
      </c>
      <c r="G789" s="4" t="str">
        <f>HYPERLINK("https://diaocthongthai.com/xa-nam-quang-bao-lam-cao-bang/","Xã Nam Quang")</f>
        <v>Xã Nam Quang</v>
      </c>
    </row>
    <row r="790" spans="1:7" x14ac:dyDescent="0.25">
      <c r="A790" s="2">
        <v>789</v>
      </c>
      <c r="B790" s="3" t="s">
        <v>5</v>
      </c>
      <c r="C790" s="4" t="str">
        <f t="shared" si="56"/>
        <v>Cao Bằng</v>
      </c>
      <c r="D790" s="3" t="s">
        <v>108</v>
      </c>
      <c r="E790" s="4" t="str">
        <f t="shared" si="58"/>
        <v>Huyện Bảo Lâm</v>
      </c>
      <c r="F790" s="3" t="s">
        <v>1554</v>
      </c>
      <c r="G790" s="4" t="str">
        <f>HYPERLINK("https://diaocthongthai.com/xa-vinh-quang-bao-lam-cao-bang/","Xã Vĩnh Quang")</f>
        <v>Xã Vĩnh Quang</v>
      </c>
    </row>
    <row r="791" spans="1:7" x14ac:dyDescent="0.25">
      <c r="A791" s="2">
        <v>790</v>
      </c>
      <c r="B791" s="3" t="s">
        <v>5</v>
      </c>
      <c r="C791" s="4" t="str">
        <f t="shared" si="56"/>
        <v>Cao Bằng</v>
      </c>
      <c r="D791" s="3" t="s">
        <v>108</v>
      </c>
      <c r="E791" s="4" t="str">
        <f t="shared" si="58"/>
        <v>Huyện Bảo Lâm</v>
      </c>
      <c r="F791" s="3" t="s">
        <v>1555</v>
      </c>
      <c r="G791" s="4" t="str">
        <f>HYPERLINK("https://diaocthongthai.com/xa-quang-lam-bao-lam-cao-bang/","Xã Quảng Lâm")</f>
        <v>Xã Quảng Lâm</v>
      </c>
    </row>
    <row r="792" spans="1:7" x14ac:dyDescent="0.25">
      <c r="A792" s="2">
        <v>791</v>
      </c>
      <c r="B792" s="3" t="s">
        <v>5</v>
      </c>
      <c r="C792" s="4" t="str">
        <f t="shared" si="56"/>
        <v>Cao Bằng</v>
      </c>
      <c r="D792" s="3" t="s">
        <v>108</v>
      </c>
      <c r="E792" s="4" t="str">
        <f t="shared" si="58"/>
        <v>Huyện Bảo Lâm</v>
      </c>
      <c r="F792" s="3" t="s">
        <v>1556</v>
      </c>
      <c r="G792" s="4" t="str">
        <f>HYPERLINK("https://diaocthongthai.com/xa-thach-lam-bao-lam-cao-bang/","Xã Thạch Lâm")</f>
        <v>Xã Thạch Lâm</v>
      </c>
    </row>
    <row r="793" spans="1:7" x14ac:dyDescent="0.25">
      <c r="A793" s="2">
        <v>792</v>
      </c>
      <c r="B793" s="3" t="s">
        <v>5</v>
      </c>
      <c r="C793" s="4" t="str">
        <f t="shared" si="56"/>
        <v>Cao Bằng</v>
      </c>
      <c r="D793" s="3" t="s">
        <v>108</v>
      </c>
      <c r="E793" s="4" t="str">
        <f t="shared" si="58"/>
        <v>Huyện Bảo Lâm</v>
      </c>
      <c r="F793" s="3" t="s">
        <v>1557</v>
      </c>
      <c r="G793" s="4" t="str">
        <f>HYPERLINK("https://diaocthongthai.com/xa-vinh-phong-bao-lam-cao-bang/","Xã Vĩnh Phong")</f>
        <v>Xã Vĩnh Phong</v>
      </c>
    </row>
    <row r="794" spans="1:7" x14ac:dyDescent="0.25">
      <c r="A794" s="2">
        <v>793</v>
      </c>
      <c r="B794" s="3" t="s">
        <v>5</v>
      </c>
      <c r="C794" s="4" t="str">
        <f t="shared" si="56"/>
        <v>Cao Bằng</v>
      </c>
      <c r="D794" s="3" t="s">
        <v>108</v>
      </c>
      <c r="E794" s="4" t="str">
        <f t="shared" si="58"/>
        <v>Huyện Bảo Lâm</v>
      </c>
      <c r="F794" s="3" t="s">
        <v>1558</v>
      </c>
      <c r="G794" s="4" t="str">
        <f>HYPERLINK("https://diaocthongthai.com/xa-mong-an-bao-lam-cao-bang/","Xã Mông Ân")</f>
        <v>Xã Mông Ân</v>
      </c>
    </row>
    <row r="795" spans="1:7" x14ac:dyDescent="0.25">
      <c r="A795" s="2">
        <v>794</v>
      </c>
      <c r="B795" s="3" t="s">
        <v>5</v>
      </c>
      <c r="C795" s="4" t="str">
        <f t="shared" si="56"/>
        <v>Cao Bằng</v>
      </c>
      <c r="D795" s="3" t="s">
        <v>108</v>
      </c>
      <c r="E795" s="4" t="str">
        <f t="shared" si="58"/>
        <v>Huyện Bảo Lâm</v>
      </c>
      <c r="F795" s="3" t="s">
        <v>1559</v>
      </c>
      <c r="G795" s="4" t="str">
        <f>HYPERLINK("https://diaocthongthai.com/xa-thai-hoc-bao-lam-cao-bang/","Xã Thái Học")</f>
        <v>Xã Thái Học</v>
      </c>
    </row>
    <row r="796" spans="1:7" x14ac:dyDescent="0.25">
      <c r="A796" s="2">
        <v>795</v>
      </c>
      <c r="B796" s="3" t="s">
        <v>5</v>
      </c>
      <c r="C796" s="4" t="str">
        <f t="shared" si="56"/>
        <v>Cao Bằng</v>
      </c>
      <c r="D796" s="3" t="s">
        <v>108</v>
      </c>
      <c r="E796" s="4" t="str">
        <f t="shared" si="58"/>
        <v>Huyện Bảo Lâm</v>
      </c>
      <c r="F796" s="3" t="s">
        <v>1560</v>
      </c>
      <c r="G796" s="4" t="str">
        <f>HYPERLINK("https://diaocthongthai.com/xa-thai-son-bao-lam-cao-bang/","Xã Thái Sơn")</f>
        <v>Xã Thái Sơn</v>
      </c>
    </row>
    <row r="797" spans="1:7" x14ac:dyDescent="0.25">
      <c r="A797" s="2">
        <v>796</v>
      </c>
      <c r="B797" s="3" t="s">
        <v>5</v>
      </c>
      <c r="C797" s="4" t="str">
        <f t="shared" si="56"/>
        <v>Cao Bằng</v>
      </c>
      <c r="D797" s="3" t="s">
        <v>108</v>
      </c>
      <c r="E797" s="4" t="str">
        <f t="shared" si="58"/>
        <v>Huyện Bảo Lâm</v>
      </c>
      <c r="F797" s="3" t="s">
        <v>1561</v>
      </c>
      <c r="G797" s="4" t="str">
        <f>HYPERLINK("https://diaocthongthai.com/xa-yen-tho-bao-lam-cao-bang/","Xã Yên Thổ")</f>
        <v>Xã Yên Thổ</v>
      </c>
    </row>
    <row r="798" spans="1:7" x14ac:dyDescent="0.25">
      <c r="A798" s="2">
        <v>797</v>
      </c>
      <c r="B798" s="3" t="s">
        <v>5</v>
      </c>
      <c r="C798" s="4" t="str">
        <f t="shared" si="56"/>
        <v>Cao Bằng</v>
      </c>
      <c r="D798" s="3" t="s">
        <v>109</v>
      </c>
      <c r="E798" s="4" t="str">
        <f t="shared" ref="E798:E814" si="59">HYPERLINK("https://diaocthongthai.com/ban-do-huyen-bao-lac-cao-bang/","Huyện Bảo Lạc")</f>
        <v>Huyện Bảo Lạc</v>
      </c>
      <c r="F798" s="3" t="s">
        <v>1562</v>
      </c>
      <c r="G798" s="4" t="str">
        <f>HYPERLINK("https://diaocthongthai.com/thi-tran-bao-lac-bao-lac/","Thị trấn Bảo Lạc")</f>
        <v>Thị trấn Bảo Lạc</v>
      </c>
    </row>
    <row r="799" spans="1:7" x14ac:dyDescent="0.25">
      <c r="A799" s="2">
        <v>798</v>
      </c>
      <c r="B799" s="3" t="s">
        <v>5</v>
      </c>
      <c r="C799" s="4" t="str">
        <f t="shared" si="56"/>
        <v>Cao Bằng</v>
      </c>
      <c r="D799" s="3" t="s">
        <v>109</v>
      </c>
      <c r="E799" s="4" t="str">
        <f t="shared" si="59"/>
        <v>Huyện Bảo Lạc</v>
      </c>
      <c r="F799" s="3" t="s">
        <v>1563</v>
      </c>
      <c r="G799" s="4" t="str">
        <f>HYPERLINK("https://diaocthongthai.com/xa-coc-pang-bao-lac/","Xã Cốc Pàng")</f>
        <v>Xã Cốc Pàng</v>
      </c>
    </row>
    <row r="800" spans="1:7" x14ac:dyDescent="0.25">
      <c r="A800" s="2">
        <v>799</v>
      </c>
      <c r="B800" s="3" t="s">
        <v>5</v>
      </c>
      <c r="C800" s="4" t="str">
        <f t="shared" si="56"/>
        <v>Cao Bằng</v>
      </c>
      <c r="D800" s="3" t="s">
        <v>109</v>
      </c>
      <c r="E800" s="4" t="str">
        <f t="shared" si="59"/>
        <v>Huyện Bảo Lạc</v>
      </c>
      <c r="F800" s="3" t="s">
        <v>1564</v>
      </c>
      <c r="G800" s="4" t="str">
        <f>HYPERLINK("https://diaocthongthai.com/xa-thuong-ha-bao-lac/","Xã Thượng Hà")</f>
        <v>Xã Thượng Hà</v>
      </c>
    </row>
    <row r="801" spans="1:7" x14ac:dyDescent="0.25">
      <c r="A801" s="2">
        <v>800</v>
      </c>
      <c r="B801" s="3" t="s">
        <v>5</v>
      </c>
      <c r="C801" s="4" t="str">
        <f t="shared" si="56"/>
        <v>Cao Bằng</v>
      </c>
      <c r="D801" s="3" t="s">
        <v>109</v>
      </c>
      <c r="E801" s="4" t="str">
        <f t="shared" si="59"/>
        <v>Huyện Bảo Lạc</v>
      </c>
      <c r="F801" s="3" t="s">
        <v>1565</v>
      </c>
      <c r="G801" s="4" t="str">
        <f>HYPERLINK("https://diaocthongthai.com/xa-co-ba-bao-lac/","Xã Cô Ba")</f>
        <v>Xã Cô Ba</v>
      </c>
    </row>
    <row r="802" spans="1:7" x14ac:dyDescent="0.25">
      <c r="A802" s="2">
        <v>801</v>
      </c>
      <c r="B802" s="3" t="s">
        <v>5</v>
      </c>
      <c r="C802" s="4" t="str">
        <f t="shared" si="56"/>
        <v>Cao Bằng</v>
      </c>
      <c r="D802" s="3" t="s">
        <v>109</v>
      </c>
      <c r="E802" s="4" t="str">
        <f t="shared" si="59"/>
        <v>Huyện Bảo Lạc</v>
      </c>
      <c r="F802" s="3" t="s">
        <v>1566</v>
      </c>
      <c r="G802" s="4" t="str">
        <f>HYPERLINK("https://diaocthongthai.com/xa-bao-toan-bao-lac/","Xã Bảo Toàn")</f>
        <v>Xã Bảo Toàn</v>
      </c>
    </row>
    <row r="803" spans="1:7" x14ac:dyDescent="0.25">
      <c r="A803" s="2">
        <v>802</v>
      </c>
      <c r="B803" s="3" t="s">
        <v>5</v>
      </c>
      <c r="C803" s="4" t="str">
        <f t="shared" si="56"/>
        <v>Cao Bằng</v>
      </c>
      <c r="D803" s="3" t="s">
        <v>109</v>
      </c>
      <c r="E803" s="4" t="str">
        <f t="shared" si="59"/>
        <v>Huyện Bảo Lạc</v>
      </c>
      <c r="F803" s="3" t="s">
        <v>1567</v>
      </c>
      <c r="G803" s="4" t="str">
        <f>HYPERLINK("https://diaocthongthai.com/xa-khanh-xuan-bao-lac/","Xã Khánh Xuân")</f>
        <v>Xã Khánh Xuân</v>
      </c>
    </row>
    <row r="804" spans="1:7" x14ac:dyDescent="0.25">
      <c r="A804" s="2">
        <v>803</v>
      </c>
      <c r="B804" s="3" t="s">
        <v>5</v>
      </c>
      <c r="C804" s="4" t="str">
        <f t="shared" si="56"/>
        <v>Cao Bằng</v>
      </c>
      <c r="D804" s="3" t="s">
        <v>109</v>
      </c>
      <c r="E804" s="4" t="str">
        <f t="shared" si="59"/>
        <v>Huyện Bảo Lạc</v>
      </c>
      <c r="F804" s="3" t="s">
        <v>1568</v>
      </c>
      <c r="G804" s="4" t="str">
        <f>HYPERLINK("https://diaocthongthai.com/xa-xuan-truong-bao-lac/","Xã Xuân Trường")</f>
        <v>Xã Xuân Trường</v>
      </c>
    </row>
    <row r="805" spans="1:7" x14ac:dyDescent="0.25">
      <c r="A805" s="2">
        <v>804</v>
      </c>
      <c r="B805" s="3" t="s">
        <v>5</v>
      </c>
      <c r="C805" s="4" t="str">
        <f t="shared" si="56"/>
        <v>Cao Bằng</v>
      </c>
      <c r="D805" s="3" t="s">
        <v>109</v>
      </c>
      <c r="E805" s="4" t="str">
        <f t="shared" si="59"/>
        <v>Huyện Bảo Lạc</v>
      </c>
      <c r="F805" s="3" t="s">
        <v>1569</v>
      </c>
      <c r="G805" s="4" t="str">
        <f>HYPERLINK("https://diaocthongthai.com/xa-hong-tri-bao-lac/","Xã Hồng Trị")</f>
        <v>Xã Hồng Trị</v>
      </c>
    </row>
    <row r="806" spans="1:7" x14ac:dyDescent="0.25">
      <c r="A806" s="2">
        <v>805</v>
      </c>
      <c r="B806" s="3" t="s">
        <v>5</v>
      </c>
      <c r="C806" s="4" t="str">
        <f t="shared" ref="C806:C837" si="60">HYPERLINK("https://diaocthongthai.com/ban-do-cao-bang/","Cao Bằng")</f>
        <v>Cao Bằng</v>
      </c>
      <c r="D806" s="3" t="s">
        <v>109</v>
      </c>
      <c r="E806" s="4" t="str">
        <f t="shared" si="59"/>
        <v>Huyện Bảo Lạc</v>
      </c>
      <c r="F806" s="3" t="s">
        <v>1570</v>
      </c>
      <c r="G806" s="4" t="str">
        <f>HYPERLINK("https://diaocthongthai.com/xa-kim-cuc-bao-lac/","Xã Kim Cúc")</f>
        <v>Xã Kim Cúc</v>
      </c>
    </row>
    <row r="807" spans="1:7" x14ac:dyDescent="0.25">
      <c r="A807" s="2">
        <v>806</v>
      </c>
      <c r="B807" s="3" t="s">
        <v>5</v>
      </c>
      <c r="C807" s="4" t="str">
        <f t="shared" si="60"/>
        <v>Cao Bằng</v>
      </c>
      <c r="D807" s="3" t="s">
        <v>109</v>
      </c>
      <c r="E807" s="4" t="str">
        <f t="shared" si="59"/>
        <v>Huyện Bảo Lạc</v>
      </c>
      <c r="F807" s="3" t="s">
        <v>1571</v>
      </c>
      <c r="G807" s="4" t="str">
        <f>HYPERLINK("https://diaocthongthai.com/xa-phan-thanh-bao-lac/","Xã Phan Thanh")</f>
        <v>Xã Phan Thanh</v>
      </c>
    </row>
    <row r="808" spans="1:7" x14ac:dyDescent="0.25">
      <c r="A808" s="2">
        <v>807</v>
      </c>
      <c r="B808" s="3" t="s">
        <v>5</v>
      </c>
      <c r="C808" s="4" t="str">
        <f t="shared" si="60"/>
        <v>Cao Bằng</v>
      </c>
      <c r="D808" s="3" t="s">
        <v>109</v>
      </c>
      <c r="E808" s="4" t="str">
        <f t="shared" si="59"/>
        <v>Huyện Bảo Lạc</v>
      </c>
      <c r="F808" s="3" t="s">
        <v>1572</v>
      </c>
      <c r="G808" s="4" t="str">
        <f>HYPERLINK("https://diaocthongthai.com/xa-hong-an-bao-lac/","Xã Hồng An")</f>
        <v>Xã Hồng An</v>
      </c>
    </row>
    <row r="809" spans="1:7" x14ac:dyDescent="0.25">
      <c r="A809" s="2">
        <v>808</v>
      </c>
      <c r="B809" s="3" t="s">
        <v>5</v>
      </c>
      <c r="C809" s="4" t="str">
        <f t="shared" si="60"/>
        <v>Cao Bằng</v>
      </c>
      <c r="D809" s="3" t="s">
        <v>109</v>
      </c>
      <c r="E809" s="4" t="str">
        <f t="shared" si="59"/>
        <v>Huyện Bảo Lạc</v>
      </c>
      <c r="F809" s="3" t="s">
        <v>1573</v>
      </c>
      <c r="G809" s="4" t="str">
        <f>HYPERLINK("https://diaocthongthai.com/xa-hung-dao-bao-lac/","Xã Hưng Đạo")</f>
        <v>Xã Hưng Đạo</v>
      </c>
    </row>
    <row r="810" spans="1:7" x14ac:dyDescent="0.25">
      <c r="A810" s="2">
        <v>809</v>
      </c>
      <c r="B810" s="3" t="s">
        <v>5</v>
      </c>
      <c r="C810" s="4" t="str">
        <f t="shared" si="60"/>
        <v>Cao Bằng</v>
      </c>
      <c r="D810" s="3" t="s">
        <v>109</v>
      </c>
      <c r="E810" s="4" t="str">
        <f t="shared" si="59"/>
        <v>Huyện Bảo Lạc</v>
      </c>
      <c r="F810" s="3" t="s">
        <v>1574</v>
      </c>
      <c r="G810" s="4" t="str">
        <f>HYPERLINK("https://diaocthongthai.com/xa-hung-thinh-bao-lac/","Xã Hưng Thịnh")</f>
        <v>Xã Hưng Thịnh</v>
      </c>
    </row>
    <row r="811" spans="1:7" x14ac:dyDescent="0.25">
      <c r="A811" s="2">
        <v>810</v>
      </c>
      <c r="B811" s="3" t="s">
        <v>5</v>
      </c>
      <c r="C811" s="4" t="str">
        <f t="shared" si="60"/>
        <v>Cao Bằng</v>
      </c>
      <c r="D811" s="3" t="s">
        <v>109</v>
      </c>
      <c r="E811" s="4" t="str">
        <f t="shared" si="59"/>
        <v>Huyện Bảo Lạc</v>
      </c>
      <c r="F811" s="3" t="s">
        <v>1575</v>
      </c>
      <c r="G811" s="4" t="str">
        <f>HYPERLINK("https://diaocthongthai.com/xa-huy-giap-bao-lac/","Xã Huy Giáp")</f>
        <v>Xã Huy Giáp</v>
      </c>
    </row>
    <row r="812" spans="1:7" x14ac:dyDescent="0.25">
      <c r="A812" s="2">
        <v>811</v>
      </c>
      <c r="B812" s="3" t="s">
        <v>5</v>
      </c>
      <c r="C812" s="4" t="str">
        <f t="shared" si="60"/>
        <v>Cao Bằng</v>
      </c>
      <c r="D812" s="3" t="s">
        <v>109</v>
      </c>
      <c r="E812" s="4" t="str">
        <f t="shared" si="59"/>
        <v>Huyện Bảo Lạc</v>
      </c>
      <c r="F812" s="3" t="s">
        <v>1576</v>
      </c>
      <c r="G812" s="4" t="str">
        <f>HYPERLINK("https://diaocthongthai.com/xa-dinh-phung-bao-lac/","Xã Đình Phùng")</f>
        <v>Xã Đình Phùng</v>
      </c>
    </row>
    <row r="813" spans="1:7" x14ac:dyDescent="0.25">
      <c r="A813" s="2">
        <v>812</v>
      </c>
      <c r="B813" s="3" t="s">
        <v>5</v>
      </c>
      <c r="C813" s="4" t="str">
        <f t="shared" si="60"/>
        <v>Cao Bằng</v>
      </c>
      <c r="D813" s="3" t="s">
        <v>109</v>
      </c>
      <c r="E813" s="4" t="str">
        <f t="shared" si="59"/>
        <v>Huyện Bảo Lạc</v>
      </c>
      <c r="F813" s="3" t="s">
        <v>1577</v>
      </c>
      <c r="G813" s="4" t="str">
        <f>HYPERLINK("https://diaocthongthai.com/xa-son-lap-bao-lac/","Xã Sơn Lập")</f>
        <v>Xã Sơn Lập</v>
      </c>
    </row>
    <row r="814" spans="1:7" x14ac:dyDescent="0.25">
      <c r="A814" s="2">
        <v>813</v>
      </c>
      <c r="B814" s="3" t="s">
        <v>5</v>
      </c>
      <c r="C814" s="4" t="str">
        <f t="shared" si="60"/>
        <v>Cao Bằng</v>
      </c>
      <c r="D814" s="3" t="s">
        <v>109</v>
      </c>
      <c r="E814" s="4" t="str">
        <f t="shared" si="59"/>
        <v>Huyện Bảo Lạc</v>
      </c>
      <c r="F814" s="3" t="s">
        <v>1578</v>
      </c>
      <c r="G814" s="4" t="str">
        <f>HYPERLINK("https://diaocthongthai.com/xa-son-lo-bao-lac/","Xã Sơn Lộ")</f>
        <v>Xã Sơn Lộ</v>
      </c>
    </row>
    <row r="815" spans="1:7" x14ac:dyDescent="0.25">
      <c r="A815" s="2">
        <v>814</v>
      </c>
      <c r="B815" s="3" t="s">
        <v>5</v>
      </c>
      <c r="C815" s="4" t="str">
        <f t="shared" si="60"/>
        <v>Cao Bằng</v>
      </c>
      <c r="D815" s="3" t="s">
        <v>110</v>
      </c>
      <c r="E815" s="4" t="str">
        <f t="shared" ref="E815:E835" si="61">HYPERLINK("https://diaocthongthai.com/ban-do-huyen-ha-quang-cao-bang/","Huyện Hà Quảng")</f>
        <v>Huyện Hà Quảng</v>
      </c>
      <c r="F815" s="3" t="s">
        <v>1579</v>
      </c>
      <c r="G815" s="4" t="str">
        <f>HYPERLINK("https://diaocthongthai.com/thi-tran-thong-nong-ha-quang/","Thị trấn Thông Nông")</f>
        <v>Thị trấn Thông Nông</v>
      </c>
    </row>
    <row r="816" spans="1:7" x14ac:dyDescent="0.25">
      <c r="A816" s="2">
        <v>815</v>
      </c>
      <c r="B816" s="3" t="s">
        <v>5</v>
      </c>
      <c r="C816" s="4" t="str">
        <f t="shared" si="60"/>
        <v>Cao Bằng</v>
      </c>
      <c r="D816" s="3" t="s">
        <v>110</v>
      </c>
      <c r="E816" s="4" t="str">
        <f t="shared" si="61"/>
        <v>Huyện Hà Quảng</v>
      </c>
      <c r="F816" s="3" t="s">
        <v>1580</v>
      </c>
      <c r="G816" s="4" t="str">
        <f>HYPERLINK("https://diaocthongthai.com/xa-can-yen-ha-quang/","Xã Cần Yên")</f>
        <v>Xã Cần Yên</v>
      </c>
    </row>
    <row r="817" spans="1:7" x14ac:dyDescent="0.25">
      <c r="A817" s="2">
        <v>816</v>
      </c>
      <c r="B817" s="3" t="s">
        <v>5</v>
      </c>
      <c r="C817" s="4" t="str">
        <f t="shared" si="60"/>
        <v>Cao Bằng</v>
      </c>
      <c r="D817" s="3" t="s">
        <v>110</v>
      </c>
      <c r="E817" s="4" t="str">
        <f t="shared" si="61"/>
        <v>Huyện Hà Quảng</v>
      </c>
      <c r="F817" s="3" t="s">
        <v>1581</v>
      </c>
      <c r="G817" s="4" t="str">
        <f>HYPERLINK("https://diaocthongthai.com/xa-can-nong-ha-quang/","Xã Cần Nông")</f>
        <v>Xã Cần Nông</v>
      </c>
    </row>
    <row r="818" spans="1:7" x14ac:dyDescent="0.25">
      <c r="A818" s="2">
        <v>817</v>
      </c>
      <c r="B818" s="3" t="s">
        <v>5</v>
      </c>
      <c r="C818" s="4" t="str">
        <f t="shared" si="60"/>
        <v>Cao Bằng</v>
      </c>
      <c r="D818" s="3" t="s">
        <v>110</v>
      </c>
      <c r="E818" s="4" t="str">
        <f t="shared" si="61"/>
        <v>Huyện Hà Quảng</v>
      </c>
      <c r="F818" s="3" t="s">
        <v>1582</v>
      </c>
      <c r="G818" s="4" t="str">
        <f>HYPERLINK("https://diaocthongthai.com/xa-luong-thong-ha-quang/","Xã Lương Thông")</f>
        <v>Xã Lương Thông</v>
      </c>
    </row>
    <row r="819" spans="1:7" x14ac:dyDescent="0.25">
      <c r="A819" s="2">
        <v>818</v>
      </c>
      <c r="B819" s="3" t="s">
        <v>5</v>
      </c>
      <c r="C819" s="4" t="str">
        <f t="shared" si="60"/>
        <v>Cao Bằng</v>
      </c>
      <c r="D819" s="3" t="s">
        <v>110</v>
      </c>
      <c r="E819" s="4" t="str">
        <f t="shared" si="61"/>
        <v>Huyện Hà Quảng</v>
      </c>
      <c r="F819" s="3" t="s">
        <v>1583</v>
      </c>
      <c r="G819" s="4" t="str">
        <f>HYPERLINK("https://diaocthongthai.com/xa-da-thong-ha-quang/","Xã Đa Thông")</f>
        <v>Xã Đa Thông</v>
      </c>
    </row>
    <row r="820" spans="1:7" x14ac:dyDescent="0.25">
      <c r="A820" s="2">
        <v>819</v>
      </c>
      <c r="B820" s="3" t="s">
        <v>5</v>
      </c>
      <c r="C820" s="4" t="str">
        <f t="shared" si="60"/>
        <v>Cao Bằng</v>
      </c>
      <c r="D820" s="3" t="s">
        <v>110</v>
      </c>
      <c r="E820" s="4" t="str">
        <f t="shared" si="61"/>
        <v>Huyện Hà Quảng</v>
      </c>
      <c r="F820" s="3" t="s">
        <v>1584</v>
      </c>
      <c r="G820" s="4" t="str">
        <f>HYPERLINK("https://diaocthongthai.com/xa-ngoc-dong-ha-quang/","Xã Ngọc Động")</f>
        <v>Xã Ngọc Động</v>
      </c>
    </row>
    <row r="821" spans="1:7" x14ac:dyDescent="0.25">
      <c r="A821" s="2">
        <v>820</v>
      </c>
      <c r="B821" s="3" t="s">
        <v>5</v>
      </c>
      <c r="C821" s="4" t="str">
        <f t="shared" si="60"/>
        <v>Cao Bằng</v>
      </c>
      <c r="D821" s="3" t="s">
        <v>110</v>
      </c>
      <c r="E821" s="4" t="str">
        <f t="shared" si="61"/>
        <v>Huyện Hà Quảng</v>
      </c>
      <c r="F821" s="3" t="s">
        <v>1585</v>
      </c>
      <c r="G821" s="4" t="str">
        <f>HYPERLINK("https://diaocthongthai.com/xa-yen-son-ha-quang/","Xã Yên Sơn")</f>
        <v>Xã Yên Sơn</v>
      </c>
    </row>
    <row r="822" spans="1:7" x14ac:dyDescent="0.25">
      <c r="A822" s="2">
        <v>821</v>
      </c>
      <c r="B822" s="3" t="s">
        <v>5</v>
      </c>
      <c r="C822" s="4" t="str">
        <f t="shared" si="60"/>
        <v>Cao Bằng</v>
      </c>
      <c r="D822" s="3" t="s">
        <v>110</v>
      </c>
      <c r="E822" s="4" t="str">
        <f t="shared" si="61"/>
        <v>Huyện Hà Quảng</v>
      </c>
      <c r="F822" s="3" t="s">
        <v>1586</v>
      </c>
      <c r="G822" s="4" t="str">
        <f>HYPERLINK("https://diaocthongthai.com/xa-luong-can-ha-quang/","Xã Lương Can")</f>
        <v>Xã Lương Can</v>
      </c>
    </row>
    <row r="823" spans="1:7" x14ac:dyDescent="0.25">
      <c r="A823" s="2">
        <v>822</v>
      </c>
      <c r="B823" s="3" t="s">
        <v>5</v>
      </c>
      <c r="C823" s="4" t="str">
        <f t="shared" si="60"/>
        <v>Cao Bằng</v>
      </c>
      <c r="D823" s="3" t="s">
        <v>110</v>
      </c>
      <c r="E823" s="4" t="str">
        <f t="shared" si="61"/>
        <v>Huyện Hà Quảng</v>
      </c>
      <c r="F823" s="3" t="s">
        <v>1587</v>
      </c>
      <c r="G823" s="4" t="str">
        <f>HYPERLINK("https://diaocthongthai.com/xa-thanh-long-ha-quang/","Xã Thanh Long")</f>
        <v>Xã Thanh Long</v>
      </c>
    </row>
    <row r="824" spans="1:7" x14ac:dyDescent="0.25">
      <c r="A824" s="2">
        <v>823</v>
      </c>
      <c r="B824" s="3" t="s">
        <v>5</v>
      </c>
      <c r="C824" s="4" t="str">
        <f t="shared" si="60"/>
        <v>Cao Bằng</v>
      </c>
      <c r="D824" s="3" t="s">
        <v>110</v>
      </c>
      <c r="E824" s="4" t="str">
        <f t="shared" si="61"/>
        <v>Huyện Hà Quảng</v>
      </c>
      <c r="F824" s="3" t="s">
        <v>1588</v>
      </c>
      <c r="G824" s="4" t="str">
        <f>HYPERLINK("https://diaocthongthai.com/thi-tran-xuan-hoa-ha-quang/","Thị trấn Xuân Hòa")</f>
        <v>Thị trấn Xuân Hòa</v>
      </c>
    </row>
    <row r="825" spans="1:7" x14ac:dyDescent="0.25">
      <c r="A825" s="2">
        <v>824</v>
      </c>
      <c r="B825" s="3" t="s">
        <v>5</v>
      </c>
      <c r="C825" s="4" t="str">
        <f t="shared" si="60"/>
        <v>Cao Bằng</v>
      </c>
      <c r="D825" s="3" t="s">
        <v>110</v>
      </c>
      <c r="E825" s="4" t="str">
        <f t="shared" si="61"/>
        <v>Huyện Hà Quảng</v>
      </c>
      <c r="F825" s="3" t="s">
        <v>1589</v>
      </c>
      <c r="G825" s="4" t="str">
        <f>HYPERLINK("https://diaocthongthai.com/xa-lung-nam-ha-quang/","Xã Lũng Nặm")</f>
        <v>Xã Lũng Nặm</v>
      </c>
    </row>
    <row r="826" spans="1:7" x14ac:dyDescent="0.25">
      <c r="A826" s="2">
        <v>825</v>
      </c>
      <c r="B826" s="3" t="s">
        <v>5</v>
      </c>
      <c r="C826" s="4" t="str">
        <f t="shared" si="60"/>
        <v>Cao Bằng</v>
      </c>
      <c r="D826" s="3" t="s">
        <v>110</v>
      </c>
      <c r="E826" s="4" t="str">
        <f t="shared" si="61"/>
        <v>Huyện Hà Quảng</v>
      </c>
      <c r="F826" s="3" t="s">
        <v>1590</v>
      </c>
      <c r="G826" s="4" t="str">
        <f>HYPERLINK("https://diaocthongthai.com/xa-truong-ha-ha-quang/","Xã Trường Hà")</f>
        <v>Xã Trường Hà</v>
      </c>
    </row>
    <row r="827" spans="1:7" x14ac:dyDescent="0.25">
      <c r="A827" s="2">
        <v>826</v>
      </c>
      <c r="B827" s="3" t="s">
        <v>5</v>
      </c>
      <c r="C827" s="4" t="str">
        <f t="shared" si="60"/>
        <v>Cao Bằng</v>
      </c>
      <c r="D827" s="3" t="s">
        <v>110</v>
      </c>
      <c r="E827" s="4" t="str">
        <f t="shared" si="61"/>
        <v>Huyện Hà Quảng</v>
      </c>
      <c r="F827" s="3" t="s">
        <v>1591</v>
      </c>
      <c r="G827" s="4" t="str">
        <f>HYPERLINK("https://diaocthongthai.com/xa-cai-vien-ha-quang/","Xã Cải Viên")</f>
        <v>Xã Cải Viên</v>
      </c>
    </row>
    <row r="828" spans="1:7" x14ac:dyDescent="0.25">
      <c r="A828" s="2">
        <v>827</v>
      </c>
      <c r="B828" s="3" t="s">
        <v>5</v>
      </c>
      <c r="C828" s="4" t="str">
        <f t="shared" si="60"/>
        <v>Cao Bằng</v>
      </c>
      <c r="D828" s="3" t="s">
        <v>110</v>
      </c>
      <c r="E828" s="4" t="str">
        <f t="shared" si="61"/>
        <v>Huyện Hà Quảng</v>
      </c>
      <c r="F828" s="3" t="s">
        <v>1592</v>
      </c>
      <c r="G828" s="4" t="str">
        <f>HYPERLINK("https://diaocthongthai.com/xa-noi-thon-ha-quang/","Xã Nội Thôn")</f>
        <v>Xã Nội Thôn</v>
      </c>
    </row>
    <row r="829" spans="1:7" x14ac:dyDescent="0.25">
      <c r="A829" s="2">
        <v>828</v>
      </c>
      <c r="B829" s="3" t="s">
        <v>5</v>
      </c>
      <c r="C829" s="4" t="str">
        <f t="shared" si="60"/>
        <v>Cao Bằng</v>
      </c>
      <c r="D829" s="3" t="s">
        <v>110</v>
      </c>
      <c r="E829" s="4" t="str">
        <f t="shared" si="61"/>
        <v>Huyện Hà Quảng</v>
      </c>
      <c r="F829" s="3" t="s">
        <v>1593</v>
      </c>
      <c r="G829" s="4" t="str">
        <f>HYPERLINK("https://diaocthongthai.com/xa-tong-cot-ha-quang/","Xã Tổng Cọt")</f>
        <v>Xã Tổng Cọt</v>
      </c>
    </row>
    <row r="830" spans="1:7" x14ac:dyDescent="0.25">
      <c r="A830" s="2">
        <v>829</v>
      </c>
      <c r="B830" s="3" t="s">
        <v>5</v>
      </c>
      <c r="C830" s="4" t="str">
        <f t="shared" si="60"/>
        <v>Cao Bằng</v>
      </c>
      <c r="D830" s="3" t="s">
        <v>110</v>
      </c>
      <c r="E830" s="4" t="str">
        <f t="shared" si="61"/>
        <v>Huyện Hà Quảng</v>
      </c>
      <c r="F830" s="3" t="s">
        <v>1594</v>
      </c>
      <c r="G830" s="4" t="str">
        <f>HYPERLINK("https://diaocthongthai.com/xa-soc-ha-ha-quang/","Xã Sóc Hà")</f>
        <v>Xã Sóc Hà</v>
      </c>
    </row>
    <row r="831" spans="1:7" x14ac:dyDescent="0.25">
      <c r="A831" s="2">
        <v>830</v>
      </c>
      <c r="B831" s="3" t="s">
        <v>5</v>
      </c>
      <c r="C831" s="4" t="str">
        <f t="shared" si="60"/>
        <v>Cao Bằng</v>
      </c>
      <c r="D831" s="3" t="s">
        <v>110</v>
      </c>
      <c r="E831" s="4" t="str">
        <f t="shared" si="61"/>
        <v>Huyện Hà Quảng</v>
      </c>
      <c r="F831" s="3" t="s">
        <v>1595</v>
      </c>
      <c r="G831" s="4" t="str">
        <f>HYPERLINK("https://diaocthongthai.com/xa-thuong-thon-ha-quang/","Xã Thượng Thôn")</f>
        <v>Xã Thượng Thôn</v>
      </c>
    </row>
    <row r="832" spans="1:7" x14ac:dyDescent="0.25">
      <c r="A832" s="2">
        <v>831</v>
      </c>
      <c r="B832" s="3" t="s">
        <v>5</v>
      </c>
      <c r="C832" s="4" t="str">
        <f t="shared" si="60"/>
        <v>Cao Bằng</v>
      </c>
      <c r="D832" s="3" t="s">
        <v>110</v>
      </c>
      <c r="E832" s="4" t="str">
        <f t="shared" si="61"/>
        <v>Huyện Hà Quảng</v>
      </c>
      <c r="F832" s="3" t="s">
        <v>1596</v>
      </c>
      <c r="G832" s="4" t="str">
        <f>HYPERLINK("https://diaocthongthai.com/xa-hong-sy-ha-quang/","Xã Hồng Sỹ")</f>
        <v>Xã Hồng Sỹ</v>
      </c>
    </row>
    <row r="833" spans="1:7" x14ac:dyDescent="0.25">
      <c r="A833" s="2">
        <v>832</v>
      </c>
      <c r="B833" s="3" t="s">
        <v>5</v>
      </c>
      <c r="C833" s="4" t="str">
        <f t="shared" si="60"/>
        <v>Cao Bằng</v>
      </c>
      <c r="D833" s="3" t="s">
        <v>110</v>
      </c>
      <c r="E833" s="4" t="str">
        <f t="shared" si="61"/>
        <v>Huyện Hà Quảng</v>
      </c>
      <c r="F833" s="3" t="s">
        <v>1597</v>
      </c>
      <c r="G833" s="4" t="str">
        <f>HYPERLINK("https://diaocthongthai.com/xa-quy-quan-ha-quang/","Xã Quý Quân")</f>
        <v>Xã Quý Quân</v>
      </c>
    </row>
    <row r="834" spans="1:7" x14ac:dyDescent="0.25">
      <c r="A834" s="2">
        <v>833</v>
      </c>
      <c r="B834" s="3" t="s">
        <v>5</v>
      </c>
      <c r="C834" s="4" t="str">
        <f t="shared" si="60"/>
        <v>Cao Bằng</v>
      </c>
      <c r="D834" s="3" t="s">
        <v>110</v>
      </c>
      <c r="E834" s="4" t="str">
        <f t="shared" si="61"/>
        <v>Huyện Hà Quảng</v>
      </c>
      <c r="F834" s="3" t="s">
        <v>1598</v>
      </c>
      <c r="G834" s="4" t="str">
        <f>HYPERLINK("https://diaocthongthai.com/xa-ma-ba-ha-quang/","Xã Mã Ba")</f>
        <v>Xã Mã Ba</v>
      </c>
    </row>
    <row r="835" spans="1:7" x14ac:dyDescent="0.25">
      <c r="A835" s="2">
        <v>834</v>
      </c>
      <c r="B835" s="3" t="s">
        <v>5</v>
      </c>
      <c r="C835" s="4" t="str">
        <f t="shared" si="60"/>
        <v>Cao Bằng</v>
      </c>
      <c r="D835" s="3" t="s">
        <v>110</v>
      </c>
      <c r="E835" s="4" t="str">
        <f t="shared" si="61"/>
        <v>Huyện Hà Quảng</v>
      </c>
      <c r="F835" s="3" t="s">
        <v>1599</v>
      </c>
      <c r="G835" s="4" t="str">
        <f>HYPERLINK("https://diaocthongthai.com/xa-ngoc-dao-ha-quang/","Xã Ngọc Đào")</f>
        <v>Xã Ngọc Đào</v>
      </c>
    </row>
    <row r="836" spans="1:7" x14ac:dyDescent="0.25">
      <c r="A836" s="2">
        <v>835</v>
      </c>
      <c r="B836" s="3" t="s">
        <v>5</v>
      </c>
      <c r="C836" s="4" t="str">
        <f t="shared" si="60"/>
        <v>Cao Bằng</v>
      </c>
      <c r="D836" s="3" t="s">
        <v>111</v>
      </c>
      <c r="E836" s="4" t="str">
        <f t="shared" ref="E836:E856" si="62">HYPERLINK("https://diaocthongthai.com/ban-do-huyen-trung-khanh-cao-bang/","Huyện Trùng Khánh")</f>
        <v>Huyện Trùng Khánh</v>
      </c>
      <c r="F836" s="3" t="s">
        <v>1600</v>
      </c>
      <c r="G836" s="4" t="str">
        <f>HYPERLINK("https://diaocthongthai.com/thi-tran-tra-linh-trung-khanh/","Thị trấn Trà Lĩnh")</f>
        <v>Thị trấn Trà Lĩnh</v>
      </c>
    </row>
    <row r="837" spans="1:7" x14ac:dyDescent="0.25">
      <c r="A837" s="2">
        <v>836</v>
      </c>
      <c r="B837" s="3" t="s">
        <v>5</v>
      </c>
      <c r="C837" s="4" t="str">
        <f t="shared" si="60"/>
        <v>Cao Bằng</v>
      </c>
      <c r="D837" s="3" t="s">
        <v>111</v>
      </c>
      <c r="E837" s="4" t="str">
        <f t="shared" si="62"/>
        <v>Huyện Trùng Khánh</v>
      </c>
      <c r="F837" s="3" t="s">
        <v>1601</v>
      </c>
      <c r="G837" s="4" t="str">
        <f>HYPERLINK("https://diaocthongthai.com/xa-tri-phuong-trung-khanh/","Xã Tri Phương")</f>
        <v>Xã Tri Phương</v>
      </c>
    </row>
    <row r="838" spans="1:7" x14ac:dyDescent="0.25">
      <c r="A838" s="2">
        <v>837</v>
      </c>
      <c r="B838" s="3" t="s">
        <v>5</v>
      </c>
      <c r="C838" s="4" t="str">
        <f t="shared" ref="C838:C869" si="63">HYPERLINK("https://diaocthongthai.com/ban-do-cao-bang/","Cao Bằng")</f>
        <v>Cao Bằng</v>
      </c>
      <c r="D838" s="3" t="s">
        <v>111</v>
      </c>
      <c r="E838" s="4" t="str">
        <f t="shared" si="62"/>
        <v>Huyện Trùng Khánh</v>
      </c>
      <c r="F838" s="3" t="s">
        <v>1602</v>
      </c>
      <c r="G838" s="4" t="str">
        <f>HYPERLINK("https://diaocthongthai.com/xa-quang-han-trung-khanh/","Xã Quang Hán")</f>
        <v>Xã Quang Hán</v>
      </c>
    </row>
    <row r="839" spans="1:7" x14ac:dyDescent="0.25">
      <c r="A839" s="2">
        <v>838</v>
      </c>
      <c r="B839" s="3" t="s">
        <v>5</v>
      </c>
      <c r="C839" s="4" t="str">
        <f t="shared" si="63"/>
        <v>Cao Bằng</v>
      </c>
      <c r="D839" s="3" t="s">
        <v>111</v>
      </c>
      <c r="E839" s="4" t="str">
        <f t="shared" si="62"/>
        <v>Huyện Trùng Khánh</v>
      </c>
      <c r="F839" s="3" t="s">
        <v>1603</v>
      </c>
      <c r="G839" s="4" t="str">
        <f>HYPERLINK("https://diaocthongthai.com/xa-xuan-noi-trung-khanh/","Xã Xuân Nội")</f>
        <v>Xã Xuân Nội</v>
      </c>
    </row>
    <row r="840" spans="1:7" x14ac:dyDescent="0.25">
      <c r="A840" s="2">
        <v>839</v>
      </c>
      <c r="B840" s="3" t="s">
        <v>5</v>
      </c>
      <c r="C840" s="4" t="str">
        <f t="shared" si="63"/>
        <v>Cao Bằng</v>
      </c>
      <c r="D840" s="3" t="s">
        <v>111</v>
      </c>
      <c r="E840" s="4" t="str">
        <f t="shared" si="62"/>
        <v>Huyện Trùng Khánh</v>
      </c>
      <c r="F840" s="3" t="s">
        <v>1604</v>
      </c>
      <c r="G840" s="4" t="str">
        <f>HYPERLINK("https://diaocthongthai.com/xa-quang-trung-trung-khanh/","Xã Quang Trung")</f>
        <v>Xã Quang Trung</v>
      </c>
    </row>
    <row r="841" spans="1:7" x14ac:dyDescent="0.25">
      <c r="A841" s="2">
        <v>840</v>
      </c>
      <c r="B841" s="3" t="s">
        <v>5</v>
      </c>
      <c r="C841" s="4" t="str">
        <f t="shared" si="63"/>
        <v>Cao Bằng</v>
      </c>
      <c r="D841" s="3" t="s">
        <v>111</v>
      </c>
      <c r="E841" s="4" t="str">
        <f t="shared" si="62"/>
        <v>Huyện Trùng Khánh</v>
      </c>
      <c r="F841" s="3" t="s">
        <v>1605</v>
      </c>
      <c r="G841" s="4" t="str">
        <f>HYPERLINK("https://diaocthongthai.com/xa-quang-vinh-trung-khanh/","Xã Quang Vinh")</f>
        <v>Xã Quang Vinh</v>
      </c>
    </row>
    <row r="842" spans="1:7" x14ac:dyDescent="0.25">
      <c r="A842" s="2">
        <v>841</v>
      </c>
      <c r="B842" s="3" t="s">
        <v>5</v>
      </c>
      <c r="C842" s="4" t="str">
        <f t="shared" si="63"/>
        <v>Cao Bằng</v>
      </c>
      <c r="D842" s="3" t="s">
        <v>111</v>
      </c>
      <c r="E842" s="4" t="str">
        <f t="shared" si="62"/>
        <v>Huyện Trùng Khánh</v>
      </c>
      <c r="F842" s="3" t="s">
        <v>1606</v>
      </c>
      <c r="G842" s="4" t="str">
        <f>HYPERLINK("https://diaocthongthai.com/xa-cao-chuong-trung-khanh/","Xã Cao Chương")</f>
        <v>Xã Cao Chương</v>
      </c>
    </row>
    <row r="843" spans="1:7" x14ac:dyDescent="0.25">
      <c r="A843" s="2">
        <v>842</v>
      </c>
      <c r="B843" s="3" t="s">
        <v>5</v>
      </c>
      <c r="C843" s="4" t="str">
        <f t="shared" si="63"/>
        <v>Cao Bằng</v>
      </c>
      <c r="D843" s="3" t="s">
        <v>111</v>
      </c>
      <c r="E843" s="4" t="str">
        <f t="shared" si="62"/>
        <v>Huyện Trùng Khánh</v>
      </c>
      <c r="F843" s="3" t="s">
        <v>1607</v>
      </c>
      <c r="G843" s="4" t="str">
        <f>HYPERLINK("https://diaocthongthai.com/thi-tran-trung-khanh-trung-khanh/","Thị trấn Trùng Khánh")</f>
        <v>Thị trấn Trùng Khánh</v>
      </c>
    </row>
    <row r="844" spans="1:7" x14ac:dyDescent="0.25">
      <c r="A844" s="2">
        <v>843</v>
      </c>
      <c r="B844" s="3" t="s">
        <v>5</v>
      </c>
      <c r="C844" s="4" t="str">
        <f t="shared" si="63"/>
        <v>Cao Bằng</v>
      </c>
      <c r="D844" s="3" t="s">
        <v>111</v>
      </c>
      <c r="E844" s="4" t="str">
        <f t="shared" si="62"/>
        <v>Huyện Trùng Khánh</v>
      </c>
      <c r="F844" s="3" t="s">
        <v>1608</v>
      </c>
      <c r="G844" s="4" t="str">
        <f>HYPERLINK("https://diaocthongthai.com/xa-ngoc-khe-trung-khanh/","Xã Ngọc Khê")</f>
        <v>Xã Ngọc Khê</v>
      </c>
    </row>
    <row r="845" spans="1:7" x14ac:dyDescent="0.25">
      <c r="A845" s="2">
        <v>844</v>
      </c>
      <c r="B845" s="3" t="s">
        <v>5</v>
      </c>
      <c r="C845" s="4" t="str">
        <f t="shared" si="63"/>
        <v>Cao Bằng</v>
      </c>
      <c r="D845" s="3" t="s">
        <v>111</v>
      </c>
      <c r="E845" s="4" t="str">
        <f t="shared" si="62"/>
        <v>Huyện Trùng Khánh</v>
      </c>
      <c r="F845" s="3" t="s">
        <v>1609</v>
      </c>
      <c r="G845" s="4" t="str">
        <f>HYPERLINK("https://diaocthongthai.com/xa-ngoc-con-trung-khanh/","Xã Ngọc Côn")</f>
        <v>Xã Ngọc Côn</v>
      </c>
    </row>
    <row r="846" spans="1:7" x14ac:dyDescent="0.25">
      <c r="A846" s="2">
        <v>845</v>
      </c>
      <c r="B846" s="3" t="s">
        <v>5</v>
      </c>
      <c r="C846" s="4" t="str">
        <f t="shared" si="63"/>
        <v>Cao Bằng</v>
      </c>
      <c r="D846" s="3" t="s">
        <v>111</v>
      </c>
      <c r="E846" s="4" t="str">
        <f t="shared" si="62"/>
        <v>Huyện Trùng Khánh</v>
      </c>
      <c r="F846" s="3" t="s">
        <v>1610</v>
      </c>
      <c r="G846" s="4" t="str">
        <f>HYPERLINK("https://diaocthongthai.com/xa-phong-nam-1-trung-khanh/","Xã Phong Nậm")</f>
        <v>Xã Phong Nậm</v>
      </c>
    </row>
    <row r="847" spans="1:7" x14ac:dyDescent="0.25">
      <c r="A847" s="2">
        <v>846</v>
      </c>
      <c r="B847" s="3" t="s">
        <v>5</v>
      </c>
      <c r="C847" s="4" t="str">
        <f t="shared" si="63"/>
        <v>Cao Bằng</v>
      </c>
      <c r="D847" s="3" t="s">
        <v>111</v>
      </c>
      <c r="E847" s="4" t="str">
        <f t="shared" si="62"/>
        <v>Huyện Trùng Khánh</v>
      </c>
      <c r="F847" s="3" t="s">
        <v>1611</v>
      </c>
      <c r="G847" s="4" t="str">
        <f>HYPERLINK("https://diaocthongthai.com/xa-dinh-phong-trung-khanh/","Xã Đình Phong")</f>
        <v>Xã Đình Phong</v>
      </c>
    </row>
    <row r="848" spans="1:7" x14ac:dyDescent="0.25">
      <c r="A848" s="2">
        <v>847</v>
      </c>
      <c r="B848" s="3" t="s">
        <v>5</v>
      </c>
      <c r="C848" s="4" t="str">
        <f t="shared" si="63"/>
        <v>Cao Bằng</v>
      </c>
      <c r="D848" s="3" t="s">
        <v>111</v>
      </c>
      <c r="E848" s="4" t="str">
        <f t="shared" si="62"/>
        <v>Huyện Trùng Khánh</v>
      </c>
      <c r="F848" s="3" t="s">
        <v>1612</v>
      </c>
      <c r="G848" s="4" t="str">
        <f>HYPERLINK("https://diaocthongthai.com/xa-dam-thuy-1-trung-khanh/","Xã Đàm Thuỷ")</f>
        <v>Xã Đàm Thuỷ</v>
      </c>
    </row>
    <row r="849" spans="1:7" x14ac:dyDescent="0.25">
      <c r="A849" s="2">
        <v>848</v>
      </c>
      <c r="B849" s="3" t="s">
        <v>5</v>
      </c>
      <c r="C849" s="4" t="str">
        <f t="shared" si="63"/>
        <v>Cao Bằng</v>
      </c>
      <c r="D849" s="3" t="s">
        <v>111</v>
      </c>
      <c r="E849" s="4" t="str">
        <f t="shared" si="62"/>
        <v>Huyện Trùng Khánh</v>
      </c>
      <c r="F849" s="3" t="s">
        <v>1613</v>
      </c>
      <c r="G849" s="4" t="str">
        <f>HYPERLINK("https://diaocthongthai.com/xa-kham-thanh-trung-khanh/","Xã Khâm Thành")</f>
        <v>Xã Khâm Thành</v>
      </c>
    </row>
    <row r="850" spans="1:7" x14ac:dyDescent="0.25">
      <c r="A850" s="2">
        <v>849</v>
      </c>
      <c r="B850" s="3" t="s">
        <v>5</v>
      </c>
      <c r="C850" s="4" t="str">
        <f t="shared" si="63"/>
        <v>Cao Bằng</v>
      </c>
      <c r="D850" s="3" t="s">
        <v>111</v>
      </c>
      <c r="E850" s="4" t="str">
        <f t="shared" si="62"/>
        <v>Huyện Trùng Khánh</v>
      </c>
      <c r="F850" s="3" t="s">
        <v>1614</v>
      </c>
      <c r="G850" s="4" t="str">
        <f>HYPERLINK("https://diaocthongthai.com/xa-chi-vien-trung-khanh/","Xã Chí Viễn")</f>
        <v>Xã Chí Viễn</v>
      </c>
    </row>
    <row r="851" spans="1:7" x14ac:dyDescent="0.25">
      <c r="A851" s="2">
        <v>850</v>
      </c>
      <c r="B851" s="3" t="s">
        <v>5</v>
      </c>
      <c r="C851" s="4" t="str">
        <f t="shared" si="63"/>
        <v>Cao Bằng</v>
      </c>
      <c r="D851" s="3" t="s">
        <v>111</v>
      </c>
      <c r="E851" s="4" t="str">
        <f t="shared" si="62"/>
        <v>Huyện Trùng Khánh</v>
      </c>
      <c r="F851" s="3" t="s">
        <v>1615</v>
      </c>
      <c r="G851" s="4" t="str">
        <f>HYPERLINK("https://diaocthongthai.com/xa-lang-hieu-trung-khanh/","Xã Lăng Hiếu")</f>
        <v>Xã Lăng Hiếu</v>
      </c>
    </row>
    <row r="852" spans="1:7" x14ac:dyDescent="0.25">
      <c r="A852" s="2">
        <v>851</v>
      </c>
      <c r="B852" s="3" t="s">
        <v>5</v>
      </c>
      <c r="C852" s="4" t="str">
        <f t="shared" si="63"/>
        <v>Cao Bằng</v>
      </c>
      <c r="D852" s="3" t="s">
        <v>111</v>
      </c>
      <c r="E852" s="4" t="str">
        <f t="shared" si="62"/>
        <v>Huyện Trùng Khánh</v>
      </c>
      <c r="F852" s="3" t="s">
        <v>1616</v>
      </c>
      <c r="G852" s="4" t="str">
        <f>HYPERLINK("https://diaocthongthai.com/xa-phong-chau-trung-khanh/","Xã Phong Châu")</f>
        <v>Xã Phong Châu</v>
      </c>
    </row>
    <row r="853" spans="1:7" x14ac:dyDescent="0.25">
      <c r="A853" s="2">
        <v>852</v>
      </c>
      <c r="B853" s="3" t="s">
        <v>5</v>
      </c>
      <c r="C853" s="4" t="str">
        <f t="shared" si="63"/>
        <v>Cao Bằng</v>
      </c>
      <c r="D853" s="3" t="s">
        <v>111</v>
      </c>
      <c r="E853" s="4" t="str">
        <f t="shared" si="62"/>
        <v>Huyện Trùng Khánh</v>
      </c>
      <c r="F853" s="3" t="s">
        <v>1617</v>
      </c>
      <c r="G853" s="4" t="str">
        <f>HYPERLINK("https://diaocthongthai.com/xa-trung-phuc-trung-khanh/","Xã Trung Phúc")</f>
        <v>Xã Trung Phúc</v>
      </c>
    </row>
    <row r="854" spans="1:7" x14ac:dyDescent="0.25">
      <c r="A854" s="2">
        <v>853</v>
      </c>
      <c r="B854" s="3" t="s">
        <v>5</v>
      </c>
      <c r="C854" s="4" t="str">
        <f t="shared" si="63"/>
        <v>Cao Bằng</v>
      </c>
      <c r="D854" s="3" t="s">
        <v>111</v>
      </c>
      <c r="E854" s="4" t="str">
        <f t="shared" si="62"/>
        <v>Huyện Trùng Khánh</v>
      </c>
      <c r="F854" s="3" t="s">
        <v>1618</v>
      </c>
      <c r="G854" s="4" t="str">
        <f>HYPERLINK("https://diaocthongthai.com/xa-cao-thang-trung-khanh/","Xã Cao Thăng")</f>
        <v>Xã Cao Thăng</v>
      </c>
    </row>
    <row r="855" spans="1:7" x14ac:dyDescent="0.25">
      <c r="A855" s="2">
        <v>854</v>
      </c>
      <c r="B855" s="3" t="s">
        <v>5</v>
      </c>
      <c r="C855" s="4" t="str">
        <f t="shared" si="63"/>
        <v>Cao Bằng</v>
      </c>
      <c r="D855" s="3" t="s">
        <v>111</v>
      </c>
      <c r="E855" s="4" t="str">
        <f t="shared" si="62"/>
        <v>Huyện Trùng Khánh</v>
      </c>
      <c r="F855" s="3" t="s">
        <v>1619</v>
      </c>
      <c r="G855" s="4" t="str">
        <f>HYPERLINK("https://diaocthongthai.com/xa-duc-hong-trung-khanh/","Xã Đức Hồng")</f>
        <v>Xã Đức Hồng</v>
      </c>
    </row>
    <row r="856" spans="1:7" x14ac:dyDescent="0.25">
      <c r="A856" s="2">
        <v>855</v>
      </c>
      <c r="B856" s="3" t="s">
        <v>5</v>
      </c>
      <c r="C856" s="4" t="str">
        <f t="shared" si="63"/>
        <v>Cao Bằng</v>
      </c>
      <c r="D856" s="3" t="s">
        <v>111</v>
      </c>
      <c r="E856" s="4" t="str">
        <f t="shared" si="62"/>
        <v>Huyện Trùng Khánh</v>
      </c>
      <c r="F856" s="3" t="s">
        <v>1620</v>
      </c>
      <c r="G856" s="4" t="str">
        <f>HYPERLINK("https://diaocthongthai.com/xa-doai-duong-trung-khanh/","Xã Đoài Dương")</f>
        <v>Xã Đoài Dương</v>
      </c>
    </row>
    <row r="857" spans="1:7" x14ac:dyDescent="0.25">
      <c r="A857" s="2">
        <v>856</v>
      </c>
      <c r="B857" s="3" t="s">
        <v>5</v>
      </c>
      <c r="C857" s="4" t="str">
        <f t="shared" si="63"/>
        <v>Cao Bằng</v>
      </c>
      <c r="D857" s="3" t="s">
        <v>112</v>
      </c>
      <c r="E857" s="4" t="str">
        <f t="shared" ref="E857:E869" si="64">HYPERLINK("https://diaocthongthai.com/ban-do-huyen-ha-lang-cao-bang/","Huyện Hạ Lang")</f>
        <v>Huyện Hạ Lang</v>
      </c>
      <c r="F857" s="3" t="s">
        <v>1621</v>
      </c>
      <c r="G857" s="4" t="str">
        <f>HYPERLINK("https://diaocthongthai.com/xa-minh-long-ha-lang/","Xã Minh Long")</f>
        <v>Xã Minh Long</v>
      </c>
    </row>
    <row r="858" spans="1:7" x14ac:dyDescent="0.25">
      <c r="A858" s="2">
        <v>857</v>
      </c>
      <c r="B858" s="3" t="s">
        <v>5</v>
      </c>
      <c r="C858" s="4" t="str">
        <f t="shared" si="63"/>
        <v>Cao Bằng</v>
      </c>
      <c r="D858" s="3" t="s">
        <v>112</v>
      </c>
      <c r="E858" s="4" t="str">
        <f t="shared" si="64"/>
        <v>Huyện Hạ Lang</v>
      </c>
      <c r="F858" s="3" t="s">
        <v>1622</v>
      </c>
      <c r="G858" s="4" t="str">
        <f>HYPERLINK("https://diaocthongthai.com/xa-ly-quoc-ha-lang/","Xã Lý Quốc")</f>
        <v>Xã Lý Quốc</v>
      </c>
    </row>
    <row r="859" spans="1:7" x14ac:dyDescent="0.25">
      <c r="A859" s="2">
        <v>858</v>
      </c>
      <c r="B859" s="3" t="s">
        <v>5</v>
      </c>
      <c r="C859" s="4" t="str">
        <f t="shared" si="63"/>
        <v>Cao Bằng</v>
      </c>
      <c r="D859" s="3" t="s">
        <v>112</v>
      </c>
      <c r="E859" s="4" t="str">
        <f t="shared" si="64"/>
        <v>Huyện Hạ Lang</v>
      </c>
      <c r="F859" s="3" t="s">
        <v>1623</v>
      </c>
      <c r="G859" s="4" t="str">
        <f>HYPERLINK("https://diaocthongthai.com/xa-thang-loi-ha-lang/","Xã Thắng Lợi")</f>
        <v>Xã Thắng Lợi</v>
      </c>
    </row>
    <row r="860" spans="1:7" x14ac:dyDescent="0.25">
      <c r="A860" s="2">
        <v>859</v>
      </c>
      <c r="B860" s="3" t="s">
        <v>5</v>
      </c>
      <c r="C860" s="4" t="str">
        <f t="shared" si="63"/>
        <v>Cao Bằng</v>
      </c>
      <c r="D860" s="3" t="s">
        <v>112</v>
      </c>
      <c r="E860" s="4" t="str">
        <f t="shared" si="64"/>
        <v>Huyện Hạ Lang</v>
      </c>
      <c r="F860" s="3" t="s">
        <v>1624</v>
      </c>
      <c r="G860" s="4" t="str">
        <f>HYPERLINK("https://diaocthongthai.com/xa-dong-loan-ha-lang/","Xã Đồng Loan")</f>
        <v>Xã Đồng Loan</v>
      </c>
    </row>
    <row r="861" spans="1:7" x14ac:dyDescent="0.25">
      <c r="A861" s="2">
        <v>860</v>
      </c>
      <c r="B861" s="3" t="s">
        <v>5</v>
      </c>
      <c r="C861" s="4" t="str">
        <f t="shared" si="63"/>
        <v>Cao Bằng</v>
      </c>
      <c r="D861" s="3" t="s">
        <v>112</v>
      </c>
      <c r="E861" s="4" t="str">
        <f t="shared" si="64"/>
        <v>Huyện Hạ Lang</v>
      </c>
      <c r="F861" s="3" t="s">
        <v>1625</v>
      </c>
      <c r="G861" s="4" t="str">
        <f>HYPERLINK("https://diaocthongthai.com/xa-duc-quang-ha-lang/","Xã Đức Quang")</f>
        <v>Xã Đức Quang</v>
      </c>
    </row>
    <row r="862" spans="1:7" x14ac:dyDescent="0.25">
      <c r="A862" s="2">
        <v>861</v>
      </c>
      <c r="B862" s="3" t="s">
        <v>5</v>
      </c>
      <c r="C862" s="4" t="str">
        <f t="shared" si="63"/>
        <v>Cao Bằng</v>
      </c>
      <c r="D862" s="3" t="s">
        <v>112</v>
      </c>
      <c r="E862" s="4" t="str">
        <f t="shared" si="64"/>
        <v>Huyện Hạ Lang</v>
      </c>
      <c r="F862" s="3" t="s">
        <v>1626</v>
      </c>
      <c r="G862" s="4" t="str">
        <f>HYPERLINK("https://diaocthongthai.com/xa-kim-loan-ha-lang/","Xã Kim Loan")</f>
        <v>Xã Kim Loan</v>
      </c>
    </row>
    <row r="863" spans="1:7" x14ac:dyDescent="0.25">
      <c r="A863" s="2">
        <v>862</v>
      </c>
      <c r="B863" s="3" t="s">
        <v>5</v>
      </c>
      <c r="C863" s="4" t="str">
        <f t="shared" si="63"/>
        <v>Cao Bằng</v>
      </c>
      <c r="D863" s="3" t="s">
        <v>112</v>
      </c>
      <c r="E863" s="4" t="str">
        <f t="shared" si="64"/>
        <v>Huyện Hạ Lang</v>
      </c>
      <c r="F863" s="3" t="s">
        <v>1627</v>
      </c>
      <c r="G863" s="4" t="str">
        <f>HYPERLINK("https://diaocthongthai.com/xa-quang-long-ha-lang/","Xã Quang Long")</f>
        <v>Xã Quang Long</v>
      </c>
    </row>
    <row r="864" spans="1:7" x14ac:dyDescent="0.25">
      <c r="A864" s="2">
        <v>863</v>
      </c>
      <c r="B864" s="3" t="s">
        <v>5</v>
      </c>
      <c r="C864" s="4" t="str">
        <f t="shared" si="63"/>
        <v>Cao Bằng</v>
      </c>
      <c r="D864" s="3" t="s">
        <v>112</v>
      </c>
      <c r="E864" s="4" t="str">
        <f t="shared" si="64"/>
        <v>Huyện Hạ Lang</v>
      </c>
      <c r="F864" s="3" t="s">
        <v>1628</v>
      </c>
      <c r="G864" s="4" t="str">
        <f>HYPERLINK("https://diaocthongthai.com/xa-an-lac-ha-lang/","Xã An Lạc")</f>
        <v>Xã An Lạc</v>
      </c>
    </row>
    <row r="865" spans="1:7" x14ac:dyDescent="0.25">
      <c r="A865" s="2">
        <v>864</v>
      </c>
      <c r="B865" s="3" t="s">
        <v>5</v>
      </c>
      <c r="C865" s="4" t="str">
        <f t="shared" si="63"/>
        <v>Cao Bằng</v>
      </c>
      <c r="D865" s="3" t="s">
        <v>112</v>
      </c>
      <c r="E865" s="4" t="str">
        <f t="shared" si="64"/>
        <v>Huyện Hạ Lang</v>
      </c>
      <c r="F865" s="3" t="s">
        <v>1629</v>
      </c>
      <c r="G865" s="4" t="str">
        <f>HYPERLINK("https://diaocthongthai.com/thi-tran-thanh-nhat-ha-lang/","Thị trấn Thanh Nhật")</f>
        <v>Thị trấn Thanh Nhật</v>
      </c>
    </row>
    <row r="866" spans="1:7" x14ac:dyDescent="0.25">
      <c r="A866" s="2">
        <v>865</v>
      </c>
      <c r="B866" s="3" t="s">
        <v>5</v>
      </c>
      <c r="C866" s="4" t="str">
        <f t="shared" si="63"/>
        <v>Cao Bằng</v>
      </c>
      <c r="D866" s="3" t="s">
        <v>112</v>
      </c>
      <c r="E866" s="4" t="str">
        <f t="shared" si="64"/>
        <v>Huyện Hạ Lang</v>
      </c>
      <c r="F866" s="3" t="s">
        <v>1630</v>
      </c>
      <c r="G866" s="4" t="str">
        <f>HYPERLINK("https://diaocthongthai.com/xa-vinh-quy-ha-lang/","Xã Vinh Quý")</f>
        <v>Xã Vinh Quý</v>
      </c>
    </row>
    <row r="867" spans="1:7" x14ac:dyDescent="0.25">
      <c r="A867" s="2">
        <v>866</v>
      </c>
      <c r="B867" s="3" t="s">
        <v>5</v>
      </c>
      <c r="C867" s="4" t="str">
        <f t="shared" si="63"/>
        <v>Cao Bằng</v>
      </c>
      <c r="D867" s="3" t="s">
        <v>112</v>
      </c>
      <c r="E867" s="4" t="str">
        <f t="shared" si="64"/>
        <v>Huyện Hạ Lang</v>
      </c>
      <c r="F867" s="3" t="s">
        <v>1631</v>
      </c>
      <c r="G867" s="4" t="str">
        <f>HYPERLINK("https://diaocthongthai.com/xa-thong-nhat-ha-lang/","Xã Thống Nhất")</f>
        <v>Xã Thống Nhất</v>
      </c>
    </row>
    <row r="868" spans="1:7" x14ac:dyDescent="0.25">
      <c r="A868" s="2">
        <v>867</v>
      </c>
      <c r="B868" s="3" t="s">
        <v>5</v>
      </c>
      <c r="C868" s="4" t="str">
        <f t="shared" si="63"/>
        <v>Cao Bằng</v>
      </c>
      <c r="D868" s="3" t="s">
        <v>112</v>
      </c>
      <c r="E868" s="4" t="str">
        <f t="shared" si="64"/>
        <v>Huyện Hạ Lang</v>
      </c>
      <c r="F868" s="3" t="s">
        <v>1632</v>
      </c>
      <c r="G868" s="4" t="str">
        <f>HYPERLINK("https://diaocthongthai.com/xa-co-ngan-ha-lang/","Xã Cô Ngân")</f>
        <v>Xã Cô Ngân</v>
      </c>
    </row>
    <row r="869" spans="1:7" x14ac:dyDescent="0.25">
      <c r="A869" s="2">
        <v>868</v>
      </c>
      <c r="B869" s="3" t="s">
        <v>5</v>
      </c>
      <c r="C869" s="4" t="str">
        <f t="shared" si="63"/>
        <v>Cao Bằng</v>
      </c>
      <c r="D869" s="3" t="s">
        <v>112</v>
      </c>
      <c r="E869" s="4" t="str">
        <f t="shared" si="64"/>
        <v>Huyện Hạ Lang</v>
      </c>
      <c r="F869" s="3" t="s">
        <v>1633</v>
      </c>
      <c r="G869" s="4" t="str">
        <f>HYPERLINK("https://diaocthongthai.com/xa-thi-hoa-ha-lang/","Xã Thị Hoa")</f>
        <v>Xã Thị Hoa</v>
      </c>
    </row>
    <row r="870" spans="1:7" x14ac:dyDescent="0.25">
      <c r="A870" s="2">
        <v>869</v>
      </c>
      <c r="B870" s="3" t="s">
        <v>5</v>
      </c>
      <c r="C870" s="4" t="str">
        <f t="shared" ref="C870:C901" si="65">HYPERLINK("https://diaocthongthai.com/ban-do-cao-bang/","Cao Bằng")</f>
        <v>Cao Bằng</v>
      </c>
      <c r="D870" s="3" t="s">
        <v>113</v>
      </c>
      <c r="E870" s="4" t="str">
        <f t="shared" ref="E870:E888" si="66">HYPERLINK("https://diaocthongthai.com/ban-do-huyen-quang-hoa-cao-bang/","Huyện Quảng Hòa")</f>
        <v>Huyện Quảng Hòa</v>
      </c>
      <c r="F870" s="3" t="s">
        <v>1634</v>
      </c>
      <c r="G870" s="4" t="str">
        <f>HYPERLINK("https://diaocthongthai.com/xa-quoc-toan-quang-hoa/","Xã Quốc Toản")</f>
        <v>Xã Quốc Toản</v>
      </c>
    </row>
    <row r="871" spans="1:7" x14ac:dyDescent="0.25">
      <c r="A871" s="2">
        <v>870</v>
      </c>
      <c r="B871" s="3" t="s">
        <v>5</v>
      </c>
      <c r="C871" s="4" t="str">
        <f t="shared" si="65"/>
        <v>Cao Bằng</v>
      </c>
      <c r="D871" s="3" t="s">
        <v>113</v>
      </c>
      <c r="E871" s="4" t="str">
        <f t="shared" si="66"/>
        <v>Huyện Quảng Hòa</v>
      </c>
      <c r="F871" s="3" t="s">
        <v>1635</v>
      </c>
      <c r="G871" s="4" t="str">
        <f>HYPERLINK("https://diaocthongthai.com/thi-tran-quang-uyen-quang-hoa/","Thị trấn Quảng Uyên")</f>
        <v>Thị trấn Quảng Uyên</v>
      </c>
    </row>
    <row r="872" spans="1:7" x14ac:dyDescent="0.25">
      <c r="A872" s="2">
        <v>871</v>
      </c>
      <c r="B872" s="3" t="s">
        <v>5</v>
      </c>
      <c r="C872" s="4" t="str">
        <f t="shared" si="65"/>
        <v>Cao Bằng</v>
      </c>
      <c r="D872" s="3" t="s">
        <v>113</v>
      </c>
      <c r="E872" s="4" t="str">
        <f t="shared" si="66"/>
        <v>Huyện Quảng Hòa</v>
      </c>
      <c r="F872" s="3" t="s">
        <v>1636</v>
      </c>
      <c r="G872" s="4" t="str">
        <f>HYPERLINK("https://diaocthongthai.com/xa-phi-hai-quang-hoa/","Xã Phi Hải")</f>
        <v>Xã Phi Hải</v>
      </c>
    </row>
    <row r="873" spans="1:7" x14ac:dyDescent="0.25">
      <c r="A873" s="2">
        <v>872</v>
      </c>
      <c r="B873" s="3" t="s">
        <v>5</v>
      </c>
      <c r="C873" s="4" t="str">
        <f t="shared" si="65"/>
        <v>Cao Bằng</v>
      </c>
      <c r="D873" s="3" t="s">
        <v>113</v>
      </c>
      <c r="E873" s="4" t="str">
        <f t="shared" si="66"/>
        <v>Huyện Quảng Hòa</v>
      </c>
      <c r="F873" s="3" t="s">
        <v>1637</v>
      </c>
      <c r="G873" s="4" t="str">
        <f>HYPERLINK("https://diaocthongthai.com/xa-quang-hung-quang-hoa/","Xã Quảng Hưng")</f>
        <v>Xã Quảng Hưng</v>
      </c>
    </row>
    <row r="874" spans="1:7" x14ac:dyDescent="0.25">
      <c r="A874" s="2">
        <v>873</v>
      </c>
      <c r="B874" s="3" t="s">
        <v>5</v>
      </c>
      <c r="C874" s="4" t="str">
        <f t="shared" si="65"/>
        <v>Cao Bằng</v>
      </c>
      <c r="D874" s="3" t="s">
        <v>113</v>
      </c>
      <c r="E874" s="4" t="str">
        <f t="shared" si="66"/>
        <v>Huyện Quảng Hòa</v>
      </c>
      <c r="F874" s="3" t="s">
        <v>1638</v>
      </c>
      <c r="G874" s="4" t="str">
        <f>HYPERLINK("https://diaocthongthai.com/xa-doc-lap-quang-hoa/","Xã Độc Lập")</f>
        <v>Xã Độc Lập</v>
      </c>
    </row>
    <row r="875" spans="1:7" x14ac:dyDescent="0.25">
      <c r="A875" s="2">
        <v>874</v>
      </c>
      <c r="B875" s="3" t="s">
        <v>5</v>
      </c>
      <c r="C875" s="4" t="str">
        <f t="shared" si="65"/>
        <v>Cao Bằng</v>
      </c>
      <c r="D875" s="3" t="s">
        <v>113</v>
      </c>
      <c r="E875" s="4" t="str">
        <f t="shared" si="66"/>
        <v>Huyện Quảng Hòa</v>
      </c>
      <c r="F875" s="3" t="s">
        <v>1639</v>
      </c>
      <c r="G875" s="4" t="str">
        <f>HYPERLINK("https://diaocthongthai.com/xa-cai-bo-quang-hoa/","Xã Cai Bộ")</f>
        <v>Xã Cai Bộ</v>
      </c>
    </row>
    <row r="876" spans="1:7" x14ac:dyDescent="0.25">
      <c r="A876" s="2">
        <v>875</v>
      </c>
      <c r="B876" s="3" t="s">
        <v>5</v>
      </c>
      <c r="C876" s="4" t="str">
        <f t="shared" si="65"/>
        <v>Cao Bằng</v>
      </c>
      <c r="D876" s="3" t="s">
        <v>113</v>
      </c>
      <c r="E876" s="4" t="str">
        <f t="shared" si="66"/>
        <v>Huyện Quảng Hòa</v>
      </c>
      <c r="F876" s="3" t="s">
        <v>1640</v>
      </c>
      <c r="G876" s="4" t="str">
        <f>HYPERLINK("https://diaocthongthai.com/xa-phuc-sen-quang-hoa/","Xã Phúc Sen")</f>
        <v>Xã Phúc Sen</v>
      </c>
    </row>
    <row r="877" spans="1:7" x14ac:dyDescent="0.25">
      <c r="A877" s="2">
        <v>876</v>
      </c>
      <c r="B877" s="3" t="s">
        <v>5</v>
      </c>
      <c r="C877" s="4" t="str">
        <f t="shared" si="65"/>
        <v>Cao Bằng</v>
      </c>
      <c r="D877" s="3" t="s">
        <v>113</v>
      </c>
      <c r="E877" s="4" t="str">
        <f t="shared" si="66"/>
        <v>Huyện Quảng Hòa</v>
      </c>
      <c r="F877" s="3" t="s">
        <v>1641</v>
      </c>
      <c r="G877" s="4" t="str">
        <f>HYPERLINK("https://diaocthongthai.com/xa-chi-thao-quang-hoa/","Xã Chí Thảo")</f>
        <v>Xã Chí Thảo</v>
      </c>
    </row>
    <row r="878" spans="1:7" x14ac:dyDescent="0.25">
      <c r="A878" s="2">
        <v>877</v>
      </c>
      <c r="B878" s="3" t="s">
        <v>5</v>
      </c>
      <c r="C878" s="4" t="str">
        <f t="shared" si="65"/>
        <v>Cao Bằng</v>
      </c>
      <c r="D878" s="3" t="s">
        <v>113</v>
      </c>
      <c r="E878" s="4" t="str">
        <f t="shared" si="66"/>
        <v>Huyện Quảng Hòa</v>
      </c>
      <c r="F878" s="3" t="s">
        <v>1642</v>
      </c>
      <c r="G878" s="4" t="str">
        <f>HYPERLINK("https://diaocthongthai.com/xa-tu-do-quang-hoa/","Xã Tự Do")</f>
        <v>Xã Tự Do</v>
      </c>
    </row>
    <row r="879" spans="1:7" x14ac:dyDescent="0.25">
      <c r="A879" s="2">
        <v>878</v>
      </c>
      <c r="B879" s="3" t="s">
        <v>5</v>
      </c>
      <c r="C879" s="4" t="str">
        <f t="shared" si="65"/>
        <v>Cao Bằng</v>
      </c>
      <c r="D879" s="3" t="s">
        <v>113</v>
      </c>
      <c r="E879" s="4" t="str">
        <f t="shared" si="66"/>
        <v>Huyện Quảng Hòa</v>
      </c>
      <c r="F879" s="3" t="s">
        <v>1643</v>
      </c>
      <c r="G879" s="4" t="str">
        <f>HYPERLINK("https://diaocthongthai.com/xa-hong-quang-quang-hoa/","Xã Hồng Quang")</f>
        <v>Xã Hồng Quang</v>
      </c>
    </row>
    <row r="880" spans="1:7" x14ac:dyDescent="0.25">
      <c r="A880" s="2">
        <v>879</v>
      </c>
      <c r="B880" s="3" t="s">
        <v>5</v>
      </c>
      <c r="C880" s="4" t="str">
        <f t="shared" si="65"/>
        <v>Cao Bằng</v>
      </c>
      <c r="D880" s="3" t="s">
        <v>113</v>
      </c>
      <c r="E880" s="4" t="str">
        <f t="shared" si="66"/>
        <v>Huyện Quảng Hòa</v>
      </c>
      <c r="F880" s="3" t="s">
        <v>1644</v>
      </c>
      <c r="G880" s="4" t="str">
        <f>HYPERLINK("https://diaocthongthai.com/xa-ngoc-dong-quang-hoa/","Xã Ngọc Động")</f>
        <v>Xã Ngọc Động</v>
      </c>
    </row>
    <row r="881" spans="1:7" x14ac:dyDescent="0.25">
      <c r="A881" s="2">
        <v>880</v>
      </c>
      <c r="B881" s="3" t="s">
        <v>5</v>
      </c>
      <c r="C881" s="4" t="str">
        <f t="shared" si="65"/>
        <v>Cao Bằng</v>
      </c>
      <c r="D881" s="3" t="s">
        <v>113</v>
      </c>
      <c r="E881" s="4" t="str">
        <f t="shared" si="66"/>
        <v>Huyện Quảng Hòa</v>
      </c>
      <c r="F881" s="3" t="s">
        <v>1645</v>
      </c>
      <c r="G881" s="4" t="str">
        <f>HYPERLINK("https://diaocthongthai.com/xa-hanh-phuc-quang-hoa/","Xã Hạnh Phúc")</f>
        <v>Xã Hạnh Phúc</v>
      </c>
    </row>
    <row r="882" spans="1:7" x14ac:dyDescent="0.25">
      <c r="A882" s="2">
        <v>881</v>
      </c>
      <c r="B882" s="3" t="s">
        <v>5</v>
      </c>
      <c r="C882" s="4" t="str">
        <f t="shared" si="65"/>
        <v>Cao Bằng</v>
      </c>
      <c r="D882" s="3" t="s">
        <v>113</v>
      </c>
      <c r="E882" s="4" t="str">
        <f t="shared" si="66"/>
        <v>Huyện Quảng Hòa</v>
      </c>
      <c r="F882" s="3" t="s">
        <v>1646</v>
      </c>
      <c r="G882" s="4" t="str">
        <f>HYPERLINK("https://diaocthongthai.com/thi-tran-ta-lung-quang-hoa/","Thị trấn Tà Lùng")</f>
        <v>Thị trấn Tà Lùng</v>
      </c>
    </row>
    <row r="883" spans="1:7" x14ac:dyDescent="0.25">
      <c r="A883" s="2">
        <v>882</v>
      </c>
      <c r="B883" s="3" t="s">
        <v>5</v>
      </c>
      <c r="C883" s="4" t="str">
        <f t="shared" si="65"/>
        <v>Cao Bằng</v>
      </c>
      <c r="D883" s="3" t="s">
        <v>113</v>
      </c>
      <c r="E883" s="4" t="str">
        <f t="shared" si="66"/>
        <v>Huyện Quảng Hòa</v>
      </c>
      <c r="F883" s="3" t="s">
        <v>1647</v>
      </c>
      <c r="G883" s="4" t="str">
        <f>HYPERLINK("https://diaocthongthai.com/xa-be-van-dan-quang-hoa/","Xã Bế Văn Đàn")</f>
        <v>Xã Bế Văn Đàn</v>
      </c>
    </row>
    <row r="884" spans="1:7" x14ac:dyDescent="0.25">
      <c r="A884" s="2">
        <v>883</v>
      </c>
      <c r="B884" s="3" t="s">
        <v>5</v>
      </c>
      <c r="C884" s="4" t="str">
        <f t="shared" si="65"/>
        <v>Cao Bằng</v>
      </c>
      <c r="D884" s="3" t="s">
        <v>113</v>
      </c>
      <c r="E884" s="4" t="str">
        <f t="shared" si="66"/>
        <v>Huyện Quảng Hòa</v>
      </c>
      <c r="F884" s="3" t="s">
        <v>1648</v>
      </c>
      <c r="G884" s="4" t="str">
        <f>HYPERLINK("https://diaocthongthai.com/xa-cach-linh-quang-hoa/","Xã Cách Linh")</f>
        <v>Xã Cách Linh</v>
      </c>
    </row>
    <row r="885" spans="1:7" x14ac:dyDescent="0.25">
      <c r="A885" s="2">
        <v>884</v>
      </c>
      <c r="B885" s="3" t="s">
        <v>5</v>
      </c>
      <c r="C885" s="4" t="str">
        <f t="shared" si="65"/>
        <v>Cao Bằng</v>
      </c>
      <c r="D885" s="3" t="s">
        <v>113</v>
      </c>
      <c r="E885" s="4" t="str">
        <f t="shared" si="66"/>
        <v>Huyện Quảng Hòa</v>
      </c>
      <c r="F885" s="3" t="s">
        <v>1649</v>
      </c>
      <c r="G885" s="4" t="str">
        <f>HYPERLINK("https://diaocthongthai.com/xa-dai-son-quang-hoa/","Xã Đại Sơn")</f>
        <v>Xã Đại Sơn</v>
      </c>
    </row>
    <row r="886" spans="1:7" x14ac:dyDescent="0.25">
      <c r="A886" s="2">
        <v>885</v>
      </c>
      <c r="B886" s="3" t="s">
        <v>5</v>
      </c>
      <c r="C886" s="4" t="str">
        <f t="shared" si="65"/>
        <v>Cao Bằng</v>
      </c>
      <c r="D886" s="3" t="s">
        <v>113</v>
      </c>
      <c r="E886" s="4" t="str">
        <f t="shared" si="66"/>
        <v>Huyện Quảng Hòa</v>
      </c>
      <c r="F886" s="3" t="s">
        <v>1650</v>
      </c>
      <c r="G886" s="4" t="str">
        <f>HYPERLINK("https://diaocthongthai.com/xa-tien-thanh-quang-hoa/","Xã Tiên Thành")</f>
        <v>Xã Tiên Thành</v>
      </c>
    </row>
    <row r="887" spans="1:7" x14ac:dyDescent="0.25">
      <c r="A887" s="2">
        <v>886</v>
      </c>
      <c r="B887" s="3" t="s">
        <v>5</v>
      </c>
      <c r="C887" s="4" t="str">
        <f t="shared" si="65"/>
        <v>Cao Bằng</v>
      </c>
      <c r="D887" s="3" t="s">
        <v>113</v>
      </c>
      <c r="E887" s="4" t="str">
        <f t="shared" si="66"/>
        <v>Huyện Quảng Hòa</v>
      </c>
      <c r="F887" s="3" t="s">
        <v>1651</v>
      </c>
      <c r="G887" s="4" t="str">
        <f>HYPERLINK("https://diaocthongthai.com/thi-tran-hoa-thuan-quang-hoa/","Thị trấn Hoà Thuận")</f>
        <v>Thị trấn Hoà Thuận</v>
      </c>
    </row>
    <row r="888" spans="1:7" x14ac:dyDescent="0.25">
      <c r="A888" s="2">
        <v>887</v>
      </c>
      <c r="B888" s="3" t="s">
        <v>5</v>
      </c>
      <c r="C888" s="4" t="str">
        <f t="shared" si="65"/>
        <v>Cao Bằng</v>
      </c>
      <c r="D888" s="3" t="s">
        <v>113</v>
      </c>
      <c r="E888" s="4" t="str">
        <f t="shared" si="66"/>
        <v>Huyện Quảng Hòa</v>
      </c>
      <c r="F888" s="3" t="s">
        <v>1652</v>
      </c>
      <c r="G888" s="4" t="str">
        <f>HYPERLINK("https://diaocthongthai.com/xa-my-hung-quang-hoa/","Xã Mỹ Hưng")</f>
        <v>Xã Mỹ Hưng</v>
      </c>
    </row>
    <row r="889" spans="1:7" x14ac:dyDescent="0.25">
      <c r="A889" s="2">
        <v>888</v>
      </c>
      <c r="B889" s="3" t="s">
        <v>5</v>
      </c>
      <c r="C889" s="4" t="str">
        <f t="shared" si="65"/>
        <v>Cao Bằng</v>
      </c>
      <c r="D889" s="3" t="s">
        <v>114</v>
      </c>
      <c r="E889" s="4" t="str">
        <f t="shared" ref="E889:E903" si="67">HYPERLINK("https://diaocthongthai.com/ban-do-huyen-hoa-an-cao-bang/","Huyện Hoà An")</f>
        <v>Huyện Hoà An</v>
      </c>
      <c r="F889" s="3" t="s">
        <v>1653</v>
      </c>
      <c r="G889" s="4" t="str">
        <f>HYPERLINK("https://diaocthongthai.com/thi-tran-nuoc-hai-hoa-an/","Thị trấn Nước Hai")</f>
        <v>Thị trấn Nước Hai</v>
      </c>
    </row>
    <row r="890" spans="1:7" x14ac:dyDescent="0.25">
      <c r="A890" s="2">
        <v>889</v>
      </c>
      <c r="B890" s="3" t="s">
        <v>5</v>
      </c>
      <c r="C890" s="4" t="str">
        <f t="shared" si="65"/>
        <v>Cao Bằng</v>
      </c>
      <c r="D890" s="3" t="s">
        <v>114</v>
      </c>
      <c r="E890" s="4" t="str">
        <f t="shared" si="67"/>
        <v>Huyện Hoà An</v>
      </c>
      <c r="F890" s="3" t="s">
        <v>1654</v>
      </c>
      <c r="G890" s="4" t="str">
        <f>HYPERLINK("https://diaocthongthai.com/xa-dan-chu-hoa-an/","Xã Dân Chủ")</f>
        <v>Xã Dân Chủ</v>
      </c>
    </row>
    <row r="891" spans="1:7" x14ac:dyDescent="0.25">
      <c r="A891" s="2">
        <v>890</v>
      </c>
      <c r="B891" s="3" t="s">
        <v>5</v>
      </c>
      <c r="C891" s="4" t="str">
        <f t="shared" si="65"/>
        <v>Cao Bằng</v>
      </c>
      <c r="D891" s="3" t="s">
        <v>114</v>
      </c>
      <c r="E891" s="4" t="str">
        <f t="shared" si="67"/>
        <v>Huyện Hoà An</v>
      </c>
      <c r="F891" s="3" t="s">
        <v>1655</v>
      </c>
      <c r="G891" s="4" t="str">
        <f>HYPERLINK("https://diaocthongthai.com/xa-nam-tuan-hoa-an/","Xã Nam Tuấn")</f>
        <v>Xã Nam Tuấn</v>
      </c>
    </row>
    <row r="892" spans="1:7" x14ac:dyDescent="0.25">
      <c r="A892" s="2">
        <v>891</v>
      </c>
      <c r="B892" s="3" t="s">
        <v>5</v>
      </c>
      <c r="C892" s="4" t="str">
        <f t="shared" si="65"/>
        <v>Cao Bằng</v>
      </c>
      <c r="D892" s="3" t="s">
        <v>114</v>
      </c>
      <c r="E892" s="4" t="str">
        <f t="shared" si="67"/>
        <v>Huyện Hoà An</v>
      </c>
      <c r="F892" s="3" t="s">
        <v>1656</v>
      </c>
      <c r="G892" s="4" t="str">
        <f>HYPERLINK("https://diaocthongthai.com/xa-dai-tien-hoa-an/","Xã Đại Tiến")</f>
        <v>Xã Đại Tiến</v>
      </c>
    </row>
    <row r="893" spans="1:7" x14ac:dyDescent="0.25">
      <c r="A893" s="2">
        <v>892</v>
      </c>
      <c r="B893" s="3" t="s">
        <v>5</v>
      </c>
      <c r="C893" s="4" t="str">
        <f t="shared" si="65"/>
        <v>Cao Bằng</v>
      </c>
      <c r="D893" s="3" t="s">
        <v>114</v>
      </c>
      <c r="E893" s="4" t="str">
        <f t="shared" si="67"/>
        <v>Huyện Hoà An</v>
      </c>
      <c r="F893" s="3" t="s">
        <v>1657</v>
      </c>
      <c r="G893" s="4" t="str">
        <f>HYPERLINK("https://diaocthongthai.com/xa-duc-long-hoa-an/","Xã Đức Long")</f>
        <v>Xã Đức Long</v>
      </c>
    </row>
    <row r="894" spans="1:7" x14ac:dyDescent="0.25">
      <c r="A894" s="2">
        <v>893</v>
      </c>
      <c r="B894" s="3" t="s">
        <v>5</v>
      </c>
      <c r="C894" s="4" t="str">
        <f t="shared" si="65"/>
        <v>Cao Bằng</v>
      </c>
      <c r="D894" s="3" t="s">
        <v>114</v>
      </c>
      <c r="E894" s="4" t="str">
        <f t="shared" si="67"/>
        <v>Huyện Hoà An</v>
      </c>
      <c r="F894" s="3" t="s">
        <v>1658</v>
      </c>
      <c r="G894" s="4" t="str">
        <f>HYPERLINK("https://diaocthongthai.com/xa-ngu-lao-hoa-an/","Xã Ngũ Lão")</f>
        <v>Xã Ngũ Lão</v>
      </c>
    </row>
    <row r="895" spans="1:7" x14ac:dyDescent="0.25">
      <c r="A895" s="2">
        <v>894</v>
      </c>
      <c r="B895" s="3" t="s">
        <v>5</v>
      </c>
      <c r="C895" s="4" t="str">
        <f t="shared" si="65"/>
        <v>Cao Bằng</v>
      </c>
      <c r="D895" s="3" t="s">
        <v>114</v>
      </c>
      <c r="E895" s="4" t="str">
        <f t="shared" si="67"/>
        <v>Huyện Hoà An</v>
      </c>
      <c r="F895" s="3" t="s">
        <v>1659</v>
      </c>
      <c r="G895" s="4" t="str">
        <f>HYPERLINK("https://diaocthongthai.com/xa-truong-luong-hoa-an/","Xã Trương Lương")</f>
        <v>Xã Trương Lương</v>
      </c>
    </row>
    <row r="896" spans="1:7" x14ac:dyDescent="0.25">
      <c r="A896" s="2">
        <v>895</v>
      </c>
      <c r="B896" s="3" t="s">
        <v>5</v>
      </c>
      <c r="C896" s="4" t="str">
        <f t="shared" si="65"/>
        <v>Cao Bằng</v>
      </c>
      <c r="D896" s="3" t="s">
        <v>114</v>
      </c>
      <c r="E896" s="4" t="str">
        <f t="shared" si="67"/>
        <v>Huyện Hoà An</v>
      </c>
      <c r="F896" s="3" t="s">
        <v>1660</v>
      </c>
      <c r="G896" s="4" t="str">
        <f>HYPERLINK("https://diaocthongthai.com/xa-hong-viet-hoa-an/","Xã Hồng Việt")</f>
        <v>Xã Hồng Việt</v>
      </c>
    </row>
    <row r="897" spans="1:7" x14ac:dyDescent="0.25">
      <c r="A897" s="2">
        <v>896</v>
      </c>
      <c r="B897" s="3" t="s">
        <v>5</v>
      </c>
      <c r="C897" s="4" t="str">
        <f t="shared" si="65"/>
        <v>Cao Bằng</v>
      </c>
      <c r="D897" s="3" t="s">
        <v>114</v>
      </c>
      <c r="E897" s="4" t="str">
        <f t="shared" si="67"/>
        <v>Huyện Hoà An</v>
      </c>
      <c r="F897" s="3" t="s">
        <v>1661</v>
      </c>
      <c r="G897" s="4" t="str">
        <f>HYPERLINK("https://diaocthongthai.com/xa-hoang-tung-hoa-an/","Xã Hoàng Tung")</f>
        <v>Xã Hoàng Tung</v>
      </c>
    </row>
    <row r="898" spans="1:7" x14ac:dyDescent="0.25">
      <c r="A898" s="2">
        <v>897</v>
      </c>
      <c r="B898" s="3" t="s">
        <v>5</v>
      </c>
      <c r="C898" s="4" t="str">
        <f t="shared" si="65"/>
        <v>Cao Bằng</v>
      </c>
      <c r="D898" s="3" t="s">
        <v>114</v>
      </c>
      <c r="E898" s="4" t="str">
        <f t="shared" si="67"/>
        <v>Huyện Hoà An</v>
      </c>
      <c r="F898" s="3" t="s">
        <v>1662</v>
      </c>
      <c r="G898" s="4" t="str">
        <f>HYPERLINK("https://diaocthongthai.com/xa-nguyen-hue-hoa-an/","Xã Nguyễn Huệ")</f>
        <v>Xã Nguyễn Huệ</v>
      </c>
    </row>
    <row r="899" spans="1:7" x14ac:dyDescent="0.25">
      <c r="A899" s="2">
        <v>898</v>
      </c>
      <c r="B899" s="3" t="s">
        <v>5</v>
      </c>
      <c r="C899" s="4" t="str">
        <f t="shared" si="65"/>
        <v>Cao Bằng</v>
      </c>
      <c r="D899" s="3" t="s">
        <v>114</v>
      </c>
      <c r="E899" s="4" t="str">
        <f t="shared" si="67"/>
        <v>Huyện Hoà An</v>
      </c>
      <c r="F899" s="3" t="s">
        <v>1663</v>
      </c>
      <c r="G899" s="4" t="str">
        <f>HYPERLINK("https://diaocthongthai.com/xa-quang-trung-hoa-an/","Xã Quang Trung")</f>
        <v>Xã Quang Trung</v>
      </c>
    </row>
    <row r="900" spans="1:7" x14ac:dyDescent="0.25">
      <c r="A900" s="2">
        <v>899</v>
      </c>
      <c r="B900" s="3" t="s">
        <v>5</v>
      </c>
      <c r="C900" s="4" t="str">
        <f t="shared" si="65"/>
        <v>Cao Bằng</v>
      </c>
      <c r="D900" s="3" t="s">
        <v>114</v>
      </c>
      <c r="E900" s="4" t="str">
        <f t="shared" si="67"/>
        <v>Huyện Hoà An</v>
      </c>
      <c r="F900" s="3" t="s">
        <v>1664</v>
      </c>
      <c r="G900" s="4" t="str">
        <f>HYPERLINK("https://diaocthongthai.com/xa-bach-dang-hoa-an/","Xã Bạch Đằng")</f>
        <v>Xã Bạch Đằng</v>
      </c>
    </row>
    <row r="901" spans="1:7" x14ac:dyDescent="0.25">
      <c r="A901" s="2">
        <v>900</v>
      </c>
      <c r="B901" s="3" t="s">
        <v>5</v>
      </c>
      <c r="C901" s="4" t="str">
        <f t="shared" si="65"/>
        <v>Cao Bằng</v>
      </c>
      <c r="D901" s="3" t="s">
        <v>114</v>
      </c>
      <c r="E901" s="4" t="str">
        <f t="shared" si="67"/>
        <v>Huyện Hoà An</v>
      </c>
      <c r="F901" s="3" t="s">
        <v>1665</v>
      </c>
      <c r="G901" s="4" t="str">
        <f>HYPERLINK("https://diaocthongthai.com/xa-binh-duong-hoa-an/","Xã Bình Dương")</f>
        <v>Xã Bình Dương</v>
      </c>
    </row>
    <row r="902" spans="1:7" x14ac:dyDescent="0.25">
      <c r="A902" s="2">
        <v>901</v>
      </c>
      <c r="B902" s="3" t="s">
        <v>5</v>
      </c>
      <c r="C902" s="4" t="str">
        <f t="shared" ref="C902:C934" si="68">HYPERLINK("https://diaocthongthai.com/ban-do-cao-bang/","Cao Bằng")</f>
        <v>Cao Bằng</v>
      </c>
      <c r="D902" s="3" t="s">
        <v>114</v>
      </c>
      <c r="E902" s="4" t="str">
        <f t="shared" si="67"/>
        <v>Huyện Hoà An</v>
      </c>
      <c r="F902" s="3" t="s">
        <v>1666</v>
      </c>
      <c r="G902" s="4" t="str">
        <f>HYPERLINK("https://diaocthongthai.com/xa-le-chung-hoa-an/","Xã Lê Chung")</f>
        <v>Xã Lê Chung</v>
      </c>
    </row>
    <row r="903" spans="1:7" x14ac:dyDescent="0.25">
      <c r="A903" s="2">
        <v>902</v>
      </c>
      <c r="B903" s="3" t="s">
        <v>5</v>
      </c>
      <c r="C903" s="4" t="str">
        <f t="shared" si="68"/>
        <v>Cao Bằng</v>
      </c>
      <c r="D903" s="3" t="s">
        <v>114</v>
      </c>
      <c r="E903" s="4" t="str">
        <f t="shared" si="67"/>
        <v>Huyện Hoà An</v>
      </c>
      <c r="F903" s="3" t="s">
        <v>1667</v>
      </c>
      <c r="G903" s="4" t="str">
        <f>HYPERLINK("https://diaocthongthai.com/xa-hong-nam-hoa-an/","Xã Hồng Nam")</f>
        <v>Xã Hồng Nam</v>
      </c>
    </row>
    <row r="904" spans="1:7" x14ac:dyDescent="0.25">
      <c r="A904" s="2">
        <v>903</v>
      </c>
      <c r="B904" s="3" t="s">
        <v>5</v>
      </c>
      <c r="C904" s="4" t="str">
        <f t="shared" si="68"/>
        <v>Cao Bằng</v>
      </c>
      <c r="D904" s="3" t="s">
        <v>115</v>
      </c>
      <c r="E904" s="4" t="str">
        <f t="shared" ref="E904:E920" si="69">HYPERLINK("https://diaocthongthai.com/ban-do-huyen-nguyen-binh-cao-bang/","Huyện Nguyên Bình")</f>
        <v>Huyện Nguyên Bình</v>
      </c>
      <c r="F904" s="3" t="s">
        <v>1668</v>
      </c>
      <c r="G904" s="4" t="str">
        <f>HYPERLINK("https://diaocthongthai.com/thi-tran-nguyen-binh-nguyen-binh/","Thị trấn Nguyên Bình")</f>
        <v>Thị trấn Nguyên Bình</v>
      </c>
    </row>
    <row r="905" spans="1:7" x14ac:dyDescent="0.25">
      <c r="A905" s="2">
        <v>904</v>
      </c>
      <c r="B905" s="3" t="s">
        <v>5</v>
      </c>
      <c r="C905" s="4" t="str">
        <f t="shared" si="68"/>
        <v>Cao Bằng</v>
      </c>
      <c r="D905" s="3" t="s">
        <v>115</v>
      </c>
      <c r="E905" s="4" t="str">
        <f t="shared" si="69"/>
        <v>Huyện Nguyên Bình</v>
      </c>
      <c r="F905" s="3" t="s">
        <v>1669</v>
      </c>
      <c r="G905" s="4" t="str">
        <f>HYPERLINK("https://diaocthongthai.com/thi-tran-tinh-tuc-nguyen-binh/","Thị trấn Tĩnh Túc")</f>
        <v>Thị trấn Tĩnh Túc</v>
      </c>
    </row>
    <row r="906" spans="1:7" x14ac:dyDescent="0.25">
      <c r="A906" s="2">
        <v>905</v>
      </c>
      <c r="B906" s="3" t="s">
        <v>5</v>
      </c>
      <c r="C906" s="4" t="str">
        <f t="shared" si="68"/>
        <v>Cao Bằng</v>
      </c>
      <c r="D906" s="3" t="s">
        <v>115</v>
      </c>
      <c r="E906" s="4" t="str">
        <f t="shared" si="69"/>
        <v>Huyện Nguyên Bình</v>
      </c>
      <c r="F906" s="3" t="s">
        <v>1670</v>
      </c>
      <c r="G906" s="4" t="str">
        <f>HYPERLINK("https://diaocthongthai.com/xa-yen-lac-nguyen-binh/","Xã Yên Lạc")</f>
        <v>Xã Yên Lạc</v>
      </c>
    </row>
    <row r="907" spans="1:7" x14ac:dyDescent="0.25">
      <c r="A907" s="2">
        <v>906</v>
      </c>
      <c r="B907" s="3" t="s">
        <v>5</v>
      </c>
      <c r="C907" s="4" t="str">
        <f t="shared" si="68"/>
        <v>Cao Bằng</v>
      </c>
      <c r="D907" s="3" t="s">
        <v>115</v>
      </c>
      <c r="E907" s="4" t="str">
        <f t="shared" si="69"/>
        <v>Huyện Nguyên Bình</v>
      </c>
      <c r="F907" s="3" t="s">
        <v>1671</v>
      </c>
      <c r="G907" s="4" t="str">
        <f>HYPERLINK("https://diaocthongthai.com/xa-trieu-nguyen-nguyen-binh/","Xã Triệu Nguyên")</f>
        <v>Xã Triệu Nguyên</v>
      </c>
    </row>
    <row r="908" spans="1:7" x14ac:dyDescent="0.25">
      <c r="A908" s="2">
        <v>907</v>
      </c>
      <c r="B908" s="3" t="s">
        <v>5</v>
      </c>
      <c r="C908" s="4" t="str">
        <f t="shared" si="68"/>
        <v>Cao Bằng</v>
      </c>
      <c r="D908" s="3" t="s">
        <v>115</v>
      </c>
      <c r="E908" s="4" t="str">
        <f t="shared" si="69"/>
        <v>Huyện Nguyên Bình</v>
      </c>
      <c r="F908" s="3" t="s">
        <v>1672</v>
      </c>
      <c r="G908" s="4" t="str">
        <f>HYPERLINK("https://diaocthongthai.com/xa-ca-thanh-nguyen-binh/","Xã Ca Thành")</f>
        <v>Xã Ca Thành</v>
      </c>
    </row>
    <row r="909" spans="1:7" x14ac:dyDescent="0.25">
      <c r="A909" s="2">
        <v>908</v>
      </c>
      <c r="B909" s="3" t="s">
        <v>5</v>
      </c>
      <c r="C909" s="4" t="str">
        <f t="shared" si="68"/>
        <v>Cao Bằng</v>
      </c>
      <c r="D909" s="3" t="s">
        <v>115</v>
      </c>
      <c r="E909" s="4" t="str">
        <f t="shared" si="69"/>
        <v>Huyện Nguyên Bình</v>
      </c>
      <c r="F909" s="3" t="s">
        <v>1673</v>
      </c>
      <c r="G909" s="4" t="str">
        <f>HYPERLINK("https://diaocthongthai.com/xa-vu-nong-nguyen-binh/","Xã Vũ Nông")</f>
        <v>Xã Vũ Nông</v>
      </c>
    </row>
    <row r="910" spans="1:7" x14ac:dyDescent="0.25">
      <c r="A910" s="2">
        <v>909</v>
      </c>
      <c r="B910" s="3" t="s">
        <v>5</v>
      </c>
      <c r="C910" s="4" t="str">
        <f t="shared" si="68"/>
        <v>Cao Bằng</v>
      </c>
      <c r="D910" s="3" t="s">
        <v>115</v>
      </c>
      <c r="E910" s="4" t="str">
        <f t="shared" si="69"/>
        <v>Huyện Nguyên Bình</v>
      </c>
      <c r="F910" s="3" t="s">
        <v>1674</v>
      </c>
      <c r="G910" s="4" t="str">
        <f>HYPERLINK("https://diaocthongthai.com/xa-minh-tam-nguyen-binh/","Xã Minh Tâm")</f>
        <v>Xã Minh Tâm</v>
      </c>
    </row>
    <row r="911" spans="1:7" x14ac:dyDescent="0.25">
      <c r="A911" s="2">
        <v>910</v>
      </c>
      <c r="B911" s="3" t="s">
        <v>5</v>
      </c>
      <c r="C911" s="4" t="str">
        <f t="shared" si="68"/>
        <v>Cao Bằng</v>
      </c>
      <c r="D911" s="3" t="s">
        <v>115</v>
      </c>
      <c r="E911" s="4" t="str">
        <f t="shared" si="69"/>
        <v>Huyện Nguyên Bình</v>
      </c>
      <c r="F911" s="3" t="s">
        <v>1675</v>
      </c>
      <c r="G911" s="4" t="str">
        <f>HYPERLINK("https://diaocthongthai.com/xa-the-duc-nguyen-binh/","Xã Thể Dục")</f>
        <v>Xã Thể Dục</v>
      </c>
    </row>
    <row r="912" spans="1:7" x14ac:dyDescent="0.25">
      <c r="A912" s="2">
        <v>911</v>
      </c>
      <c r="B912" s="3" t="s">
        <v>5</v>
      </c>
      <c r="C912" s="4" t="str">
        <f t="shared" si="68"/>
        <v>Cao Bằng</v>
      </c>
      <c r="D912" s="3" t="s">
        <v>115</v>
      </c>
      <c r="E912" s="4" t="str">
        <f t="shared" si="69"/>
        <v>Huyện Nguyên Bình</v>
      </c>
      <c r="F912" s="3" t="s">
        <v>1676</v>
      </c>
      <c r="G912" s="4" t="str">
        <f>HYPERLINK("https://diaocthongthai.com/xa-mai-long-nguyen-binh/","Xã Mai Long")</f>
        <v>Xã Mai Long</v>
      </c>
    </row>
    <row r="913" spans="1:7" x14ac:dyDescent="0.25">
      <c r="A913" s="2">
        <v>912</v>
      </c>
      <c r="B913" s="3" t="s">
        <v>5</v>
      </c>
      <c r="C913" s="4" t="str">
        <f t="shared" si="68"/>
        <v>Cao Bằng</v>
      </c>
      <c r="D913" s="3" t="s">
        <v>115</v>
      </c>
      <c r="E913" s="4" t="str">
        <f t="shared" si="69"/>
        <v>Huyện Nguyên Bình</v>
      </c>
      <c r="F913" s="3" t="s">
        <v>1677</v>
      </c>
      <c r="G913" s="4" t="str">
        <f>HYPERLINK("https://diaocthongthai.com/xa-vu-minh-nguyen-binh/","Xã Vũ Minh")</f>
        <v>Xã Vũ Minh</v>
      </c>
    </row>
    <row r="914" spans="1:7" x14ac:dyDescent="0.25">
      <c r="A914" s="2">
        <v>913</v>
      </c>
      <c r="B914" s="3" t="s">
        <v>5</v>
      </c>
      <c r="C914" s="4" t="str">
        <f t="shared" si="68"/>
        <v>Cao Bằng</v>
      </c>
      <c r="D914" s="3" t="s">
        <v>115</v>
      </c>
      <c r="E914" s="4" t="str">
        <f t="shared" si="69"/>
        <v>Huyện Nguyên Bình</v>
      </c>
      <c r="F914" s="3" t="s">
        <v>1678</v>
      </c>
      <c r="G914" s="4" t="str">
        <f>HYPERLINK("https://diaocthongthai.com/xa-hoa-tham-nguyen-binh/","Xã Hoa Thám")</f>
        <v>Xã Hoa Thám</v>
      </c>
    </row>
    <row r="915" spans="1:7" x14ac:dyDescent="0.25">
      <c r="A915" s="2">
        <v>914</v>
      </c>
      <c r="B915" s="3" t="s">
        <v>5</v>
      </c>
      <c r="C915" s="4" t="str">
        <f t="shared" si="68"/>
        <v>Cao Bằng</v>
      </c>
      <c r="D915" s="3" t="s">
        <v>115</v>
      </c>
      <c r="E915" s="4" t="str">
        <f t="shared" si="69"/>
        <v>Huyện Nguyên Bình</v>
      </c>
      <c r="F915" s="3" t="s">
        <v>1679</v>
      </c>
      <c r="G915" s="4" t="str">
        <f>HYPERLINK("https://diaocthongthai.com/xa-phan-thanh-nguyen-binh/","Xã Phan Thanh")</f>
        <v>Xã Phan Thanh</v>
      </c>
    </row>
    <row r="916" spans="1:7" x14ac:dyDescent="0.25">
      <c r="A916" s="2">
        <v>915</v>
      </c>
      <c r="B916" s="3" t="s">
        <v>5</v>
      </c>
      <c r="C916" s="4" t="str">
        <f t="shared" si="68"/>
        <v>Cao Bằng</v>
      </c>
      <c r="D916" s="3" t="s">
        <v>115</v>
      </c>
      <c r="E916" s="4" t="str">
        <f t="shared" si="69"/>
        <v>Huyện Nguyên Bình</v>
      </c>
      <c r="F916" s="3" t="s">
        <v>1680</v>
      </c>
      <c r="G916" s="4" t="str">
        <f>HYPERLINK("https://diaocthongthai.com/xa-quang-thanh-nguyen-binh/","Xã Quang Thành")</f>
        <v>Xã Quang Thành</v>
      </c>
    </row>
    <row r="917" spans="1:7" x14ac:dyDescent="0.25">
      <c r="A917" s="2">
        <v>916</v>
      </c>
      <c r="B917" s="3" t="s">
        <v>5</v>
      </c>
      <c r="C917" s="4" t="str">
        <f t="shared" si="68"/>
        <v>Cao Bằng</v>
      </c>
      <c r="D917" s="3" t="s">
        <v>115</v>
      </c>
      <c r="E917" s="4" t="str">
        <f t="shared" si="69"/>
        <v>Huyện Nguyên Bình</v>
      </c>
      <c r="F917" s="3" t="s">
        <v>1681</v>
      </c>
      <c r="G917" s="4" t="str">
        <f>HYPERLINK("https://diaocthongthai.com/xa-tam-kim-nguyen-binh/","Xã Tam Kim")</f>
        <v>Xã Tam Kim</v>
      </c>
    </row>
    <row r="918" spans="1:7" x14ac:dyDescent="0.25">
      <c r="A918" s="2">
        <v>917</v>
      </c>
      <c r="B918" s="3" t="s">
        <v>5</v>
      </c>
      <c r="C918" s="4" t="str">
        <f t="shared" si="68"/>
        <v>Cao Bằng</v>
      </c>
      <c r="D918" s="3" t="s">
        <v>115</v>
      </c>
      <c r="E918" s="4" t="str">
        <f t="shared" si="69"/>
        <v>Huyện Nguyên Bình</v>
      </c>
      <c r="F918" s="3" t="s">
        <v>1682</v>
      </c>
      <c r="G918" s="4" t="str">
        <f>HYPERLINK("https://diaocthongthai.com/xa-thanh-cong-nguyen-binh/","Xã Thành Công")</f>
        <v>Xã Thành Công</v>
      </c>
    </row>
    <row r="919" spans="1:7" x14ac:dyDescent="0.25">
      <c r="A919" s="2">
        <v>918</v>
      </c>
      <c r="B919" s="3" t="s">
        <v>5</v>
      </c>
      <c r="C919" s="4" t="str">
        <f t="shared" si="68"/>
        <v>Cao Bằng</v>
      </c>
      <c r="D919" s="3" t="s">
        <v>115</v>
      </c>
      <c r="E919" s="4" t="str">
        <f t="shared" si="69"/>
        <v>Huyện Nguyên Bình</v>
      </c>
      <c r="F919" s="3" t="s">
        <v>1683</v>
      </c>
      <c r="G919" s="4" t="str">
        <f>HYPERLINK("https://diaocthongthai.com/xa-thinh-vuong-nguyen-binh/","Xã Thịnh Vượng")</f>
        <v>Xã Thịnh Vượng</v>
      </c>
    </row>
    <row r="920" spans="1:7" x14ac:dyDescent="0.25">
      <c r="A920" s="2">
        <v>919</v>
      </c>
      <c r="B920" s="3" t="s">
        <v>5</v>
      </c>
      <c r="C920" s="4" t="str">
        <f t="shared" si="68"/>
        <v>Cao Bằng</v>
      </c>
      <c r="D920" s="3" t="s">
        <v>115</v>
      </c>
      <c r="E920" s="4" t="str">
        <f t="shared" si="69"/>
        <v>Huyện Nguyên Bình</v>
      </c>
      <c r="F920" s="3" t="s">
        <v>1684</v>
      </c>
      <c r="G920" s="4" t="str">
        <f>HYPERLINK("https://diaocthongthai.com/xa-hung-dao-nguyen-binh/","Xã Hưng Đạo")</f>
        <v>Xã Hưng Đạo</v>
      </c>
    </row>
    <row r="921" spans="1:7" x14ac:dyDescent="0.25">
      <c r="A921" s="2">
        <v>920</v>
      </c>
      <c r="B921" s="3" t="s">
        <v>5</v>
      </c>
      <c r="C921" s="4" t="str">
        <f t="shared" si="68"/>
        <v>Cao Bằng</v>
      </c>
      <c r="D921" s="3" t="s">
        <v>116</v>
      </c>
      <c r="E921" s="4" t="str">
        <f t="shared" ref="E921:E934" si="70">HYPERLINK("https://diaocthongthai.com/ban-do-huyen-thach-an-cao-bang/","Huyện Thạch An")</f>
        <v>Huyện Thạch An</v>
      </c>
      <c r="F921" s="3" t="s">
        <v>1685</v>
      </c>
      <c r="G921" s="4" t="str">
        <f>HYPERLINK("https://diaocthongthai.com/thi-tran-dong-khe-thach-an/","Thị trấn Đông Khê")</f>
        <v>Thị trấn Đông Khê</v>
      </c>
    </row>
    <row r="922" spans="1:7" x14ac:dyDescent="0.25">
      <c r="A922" s="2">
        <v>921</v>
      </c>
      <c r="B922" s="3" t="s">
        <v>5</v>
      </c>
      <c r="C922" s="4" t="str">
        <f t="shared" si="68"/>
        <v>Cao Bằng</v>
      </c>
      <c r="D922" s="3" t="s">
        <v>116</v>
      </c>
      <c r="E922" s="4" t="str">
        <f t="shared" si="70"/>
        <v>Huyện Thạch An</v>
      </c>
      <c r="F922" s="3" t="s">
        <v>1686</v>
      </c>
      <c r="G922" s="4" t="str">
        <f>HYPERLINK("https://diaocthongthai.com/xa-canh-tan-thach-an/","Xã Canh Tân")</f>
        <v>Xã Canh Tân</v>
      </c>
    </row>
    <row r="923" spans="1:7" x14ac:dyDescent="0.25">
      <c r="A923" s="2">
        <v>922</v>
      </c>
      <c r="B923" s="3" t="s">
        <v>5</v>
      </c>
      <c r="C923" s="4" t="str">
        <f t="shared" si="68"/>
        <v>Cao Bằng</v>
      </c>
      <c r="D923" s="3" t="s">
        <v>116</v>
      </c>
      <c r="E923" s="4" t="str">
        <f t="shared" si="70"/>
        <v>Huyện Thạch An</v>
      </c>
      <c r="F923" s="3" t="s">
        <v>1687</v>
      </c>
      <c r="G923" s="4" t="str">
        <f>HYPERLINK("https://diaocthongthai.com/xa-kim-dong-thach-an/","Xã Kim Đồng")</f>
        <v>Xã Kim Đồng</v>
      </c>
    </row>
    <row r="924" spans="1:7" x14ac:dyDescent="0.25">
      <c r="A924" s="2">
        <v>923</v>
      </c>
      <c r="B924" s="3" t="s">
        <v>5</v>
      </c>
      <c r="C924" s="4" t="str">
        <f t="shared" si="68"/>
        <v>Cao Bằng</v>
      </c>
      <c r="D924" s="3" t="s">
        <v>116</v>
      </c>
      <c r="E924" s="4" t="str">
        <f t="shared" si="70"/>
        <v>Huyện Thạch An</v>
      </c>
      <c r="F924" s="3" t="s">
        <v>1688</v>
      </c>
      <c r="G924" s="4" t="str">
        <f>HYPERLINK("https://diaocthongthai.com/xa-minh-khai-thach-an/","Xã Minh Khai")</f>
        <v>Xã Minh Khai</v>
      </c>
    </row>
    <row r="925" spans="1:7" x14ac:dyDescent="0.25">
      <c r="A925" s="2">
        <v>924</v>
      </c>
      <c r="B925" s="3" t="s">
        <v>5</v>
      </c>
      <c r="C925" s="4" t="str">
        <f t="shared" si="68"/>
        <v>Cao Bằng</v>
      </c>
      <c r="D925" s="3" t="s">
        <v>116</v>
      </c>
      <c r="E925" s="4" t="str">
        <f t="shared" si="70"/>
        <v>Huyện Thạch An</v>
      </c>
      <c r="F925" s="3" t="s">
        <v>1689</v>
      </c>
      <c r="G925" s="4" t="str">
        <f>HYPERLINK("https://diaocthongthai.com/xa-duc-thong-thach-an/","Xã Đức Thông")</f>
        <v>Xã Đức Thông</v>
      </c>
    </row>
    <row r="926" spans="1:7" x14ac:dyDescent="0.25">
      <c r="A926" s="2">
        <v>925</v>
      </c>
      <c r="B926" s="3" t="s">
        <v>5</v>
      </c>
      <c r="C926" s="4" t="str">
        <f t="shared" si="68"/>
        <v>Cao Bằng</v>
      </c>
      <c r="D926" s="3" t="s">
        <v>116</v>
      </c>
      <c r="E926" s="4" t="str">
        <f t="shared" si="70"/>
        <v>Huyện Thạch An</v>
      </c>
      <c r="F926" s="3" t="s">
        <v>1690</v>
      </c>
      <c r="G926" s="4" t="str">
        <f>HYPERLINK("https://diaocthongthai.com/xa-thai-cuong-thach-an/","Xã Thái Cường")</f>
        <v>Xã Thái Cường</v>
      </c>
    </row>
    <row r="927" spans="1:7" x14ac:dyDescent="0.25">
      <c r="A927" s="2">
        <v>926</v>
      </c>
      <c r="B927" s="3" t="s">
        <v>5</v>
      </c>
      <c r="C927" s="4" t="str">
        <f t="shared" si="68"/>
        <v>Cao Bằng</v>
      </c>
      <c r="D927" s="3" t="s">
        <v>116</v>
      </c>
      <c r="E927" s="4" t="str">
        <f t="shared" si="70"/>
        <v>Huyện Thạch An</v>
      </c>
      <c r="F927" s="3" t="s">
        <v>1691</v>
      </c>
      <c r="G927" s="4" t="str">
        <f>HYPERLINK("https://diaocthongthai.com/xa-van-trinh-thach-an/","Xã Vân Trình")</f>
        <v>Xã Vân Trình</v>
      </c>
    </row>
    <row r="928" spans="1:7" x14ac:dyDescent="0.25">
      <c r="A928" s="2">
        <v>927</v>
      </c>
      <c r="B928" s="3" t="s">
        <v>5</v>
      </c>
      <c r="C928" s="4" t="str">
        <f t="shared" si="68"/>
        <v>Cao Bằng</v>
      </c>
      <c r="D928" s="3" t="s">
        <v>116</v>
      </c>
      <c r="E928" s="4" t="str">
        <f t="shared" si="70"/>
        <v>Huyện Thạch An</v>
      </c>
      <c r="F928" s="3" t="s">
        <v>1692</v>
      </c>
      <c r="G928" s="4" t="str">
        <f>HYPERLINK("https://diaocthongthai.com/xa-thuy-hung-thach-an/","Xã Thụy Hùng")</f>
        <v>Xã Thụy Hùng</v>
      </c>
    </row>
    <row r="929" spans="1:7" x14ac:dyDescent="0.25">
      <c r="A929" s="2">
        <v>928</v>
      </c>
      <c r="B929" s="3" t="s">
        <v>5</v>
      </c>
      <c r="C929" s="4" t="str">
        <f t="shared" si="68"/>
        <v>Cao Bằng</v>
      </c>
      <c r="D929" s="3" t="s">
        <v>116</v>
      </c>
      <c r="E929" s="4" t="str">
        <f t="shared" si="70"/>
        <v>Huyện Thạch An</v>
      </c>
      <c r="F929" s="3" t="s">
        <v>1693</v>
      </c>
      <c r="G929" s="4" t="str">
        <f>HYPERLINK("https://diaocthongthai.com/xa-quang-trong-thach-an/","Xã Quang Trọng")</f>
        <v>Xã Quang Trọng</v>
      </c>
    </row>
    <row r="930" spans="1:7" x14ac:dyDescent="0.25">
      <c r="A930" s="2">
        <v>929</v>
      </c>
      <c r="B930" s="3" t="s">
        <v>5</v>
      </c>
      <c r="C930" s="4" t="str">
        <f t="shared" si="68"/>
        <v>Cao Bằng</v>
      </c>
      <c r="D930" s="3" t="s">
        <v>116</v>
      </c>
      <c r="E930" s="4" t="str">
        <f t="shared" si="70"/>
        <v>Huyện Thạch An</v>
      </c>
      <c r="F930" s="3" t="s">
        <v>1694</v>
      </c>
      <c r="G930" s="4" t="str">
        <f>HYPERLINK("https://diaocthongthai.com/xa-trong-con-thach-an/","Xã Trọng Con")</f>
        <v>Xã Trọng Con</v>
      </c>
    </row>
    <row r="931" spans="1:7" x14ac:dyDescent="0.25">
      <c r="A931" s="2">
        <v>930</v>
      </c>
      <c r="B931" s="3" t="s">
        <v>5</v>
      </c>
      <c r="C931" s="4" t="str">
        <f t="shared" si="68"/>
        <v>Cao Bằng</v>
      </c>
      <c r="D931" s="3" t="s">
        <v>116</v>
      </c>
      <c r="E931" s="4" t="str">
        <f t="shared" si="70"/>
        <v>Huyện Thạch An</v>
      </c>
      <c r="F931" s="3" t="s">
        <v>1695</v>
      </c>
      <c r="G931" s="4" t="str">
        <f>HYPERLINK("https://diaocthongthai.com/xa-le-lai-thach-an/","Xã Lê Lai")</f>
        <v>Xã Lê Lai</v>
      </c>
    </row>
    <row r="932" spans="1:7" x14ac:dyDescent="0.25">
      <c r="A932" s="2">
        <v>931</v>
      </c>
      <c r="B932" s="3" t="s">
        <v>5</v>
      </c>
      <c r="C932" s="4" t="str">
        <f t="shared" si="68"/>
        <v>Cao Bằng</v>
      </c>
      <c r="D932" s="3" t="s">
        <v>116</v>
      </c>
      <c r="E932" s="4" t="str">
        <f t="shared" si="70"/>
        <v>Huyện Thạch An</v>
      </c>
      <c r="F932" s="3" t="s">
        <v>1696</v>
      </c>
      <c r="G932" s="4" t="str">
        <f>HYPERLINK("https://diaocthongthai.com/xa-duc-long-thach-an/","Xã Đức Long")</f>
        <v>Xã Đức Long</v>
      </c>
    </row>
    <row r="933" spans="1:7" x14ac:dyDescent="0.25">
      <c r="A933" s="2">
        <v>932</v>
      </c>
      <c r="B933" s="3" t="s">
        <v>5</v>
      </c>
      <c r="C933" s="4" t="str">
        <f t="shared" si="68"/>
        <v>Cao Bằng</v>
      </c>
      <c r="D933" s="3" t="s">
        <v>116</v>
      </c>
      <c r="E933" s="4" t="str">
        <f t="shared" si="70"/>
        <v>Huyện Thạch An</v>
      </c>
      <c r="F933" s="3" t="s">
        <v>1697</v>
      </c>
      <c r="G933" s="4" t="str">
        <f>HYPERLINK("https://diaocthongthai.com/xa-le-loi-thach-an/","Xã Lê Lợi")</f>
        <v>Xã Lê Lợi</v>
      </c>
    </row>
    <row r="934" spans="1:7" x14ac:dyDescent="0.25">
      <c r="A934" s="2">
        <v>933</v>
      </c>
      <c r="B934" s="3" t="s">
        <v>5</v>
      </c>
      <c r="C934" s="4" t="str">
        <f t="shared" si="68"/>
        <v>Cao Bằng</v>
      </c>
      <c r="D934" s="3" t="s">
        <v>116</v>
      </c>
      <c r="E934" s="4" t="str">
        <f t="shared" si="70"/>
        <v>Huyện Thạch An</v>
      </c>
      <c r="F934" s="3" t="s">
        <v>1698</v>
      </c>
      <c r="G934" s="4" t="str">
        <f>HYPERLINK("https://diaocthongthai.com/xa-duc-xuan-thach-an/","Xã Đức Xuân")</f>
        <v>Xã Đức Xuân</v>
      </c>
    </row>
    <row r="935" spans="1:7" x14ac:dyDescent="0.25">
      <c r="A935" s="2">
        <v>934</v>
      </c>
      <c r="B935" s="3" t="s">
        <v>6</v>
      </c>
      <c r="C935" s="4" t="str">
        <f t="shared" ref="C935:C966" si="71">HYPERLINK("https://diaocthongthai.com/ban-do-bac-kan/","Bắc Kạn")</f>
        <v>Bắc Kạn</v>
      </c>
      <c r="D935" s="3" t="s">
        <v>117</v>
      </c>
      <c r="E935" s="4" t="str">
        <f t="shared" ref="E935:E942" si="72">HYPERLINK("https://diaocthongthai.com/ban-do-tp-bac-kan-bac-kan/","Thành Phố Bắc Kạn")</f>
        <v>Thành Phố Bắc Kạn</v>
      </c>
      <c r="F935" s="3" t="s">
        <v>1699</v>
      </c>
      <c r="G935" s="4" t="str">
        <f>HYPERLINK("https://diaocthongthai.com/phuong-nguyen-thi-minh-khai-tp-bac-kan/","Phường Nguyễn Thị Minh Khai")</f>
        <v>Phường Nguyễn Thị Minh Khai</v>
      </c>
    </row>
    <row r="936" spans="1:7" x14ac:dyDescent="0.25">
      <c r="A936" s="2">
        <v>935</v>
      </c>
      <c r="B936" s="3" t="s">
        <v>6</v>
      </c>
      <c r="C936" s="4" t="str">
        <f t="shared" si="71"/>
        <v>Bắc Kạn</v>
      </c>
      <c r="D936" s="3" t="s">
        <v>117</v>
      </c>
      <c r="E936" s="4" t="str">
        <f t="shared" si="72"/>
        <v>Thành Phố Bắc Kạn</v>
      </c>
      <c r="F936" s="3" t="s">
        <v>1700</v>
      </c>
      <c r="G936" s="4" t="str">
        <f>HYPERLINK("https://diaocthongthai.com/phuong-song-cau-tp-bac-kan/","Phường Sông Cầu")</f>
        <v>Phường Sông Cầu</v>
      </c>
    </row>
    <row r="937" spans="1:7" x14ac:dyDescent="0.25">
      <c r="A937" s="2">
        <v>936</v>
      </c>
      <c r="B937" s="3" t="s">
        <v>6</v>
      </c>
      <c r="C937" s="4" t="str">
        <f t="shared" si="71"/>
        <v>Bắc Kạn</v>
      </c>
      <c r="D937" s="3" t="s">
        <v>117</v>
      </c>
      <c r="E937" s="4" t="str">
        <f t="shared" si="72"/>
        <v>Thành Phố Bắc Kạn</v>
      </c>
      <c r="F937" s="3" t="s">
        <v>1701</v>
      </c>
      <c r="G937" s="4" t="str">
        <f>HYPERLINK("https://diaocthongthai.com/phuong-duc-xuan-tp-bac-kan/","Phường Đức Xuân")</f>
        <v>Phường Đức Xuân</v>
      </c>
    </row>
    <row r="938" spans="1:7" x14ac:dyDescent="0.25">
      <c r="A938" s="2">
        <v>937</v>
      </c>
      <c r="B938" s="3" t="s">
        <v>6</v>
      </c>
      <c r="C938" s="4" t="str">
        <f t="shared" si="71"/>
        <v>Bắc Kạn</v>
      </c>
      <c r="D938" s="3" t="s">
        <v>117</v>
      </c>
      <c r="E938" s="4" t="str">
        <f t="shared" si="72"/>
        <v>Thành Phố Bắc Kạn</v>
      </c>
      <c r="F938" s="3" t="s">
        <v>1702</v>
      </c>
      <c r="G938" s="4" t="str">
        <f>HYPERLINK("https://diaocthongthai.com/phuong-phung-chi-kien-tp-bac-kan/","Phường Phùng Chí Kiên")</f>
        <v>Phường Phùng Chí Kiên</v>
      </c>
    </row>
    <row r="939" spans="1:7" x14ac:dyDescent="0.25">
      <c r="A939" s="2">
        <v>938</v>
      </c>
      <c r="B939" s="3" t="s">
        <v>6</v>
      </c>
      <c r="C939" s="4" t="str">
        <f t="shared" si="71"/>
        <v>Bắc Kạn</v>
      </c>
      <c r="D939" s="3" t="s">
        <v>117</v>
      </c>
      <c r="E939" s="4" t="str">
        <f t="shared" si="72"/>
        <v>Thành Phố Bắc Kạn</v>
      </c>
      <c r="F939" s="3" t="s">
        <v>1703</v>
      </c>
      <c r="G939" s="4" t="str">
        <f>HYPERLINK("https://diaocthongthai.com/phuong-huyen-tung-tp-bac-kan/","Phường Huyền Tụng")</f>
        <v>Phường Huyền Tụng</v>
      </c>
    </row>
    <row r="940" spans="1:7" x14ac:dyDescent="0.25">
      <c r="A940" s="2">
        <v>939</v>
      </c>
      <c r="B940" s="3" t="s">
        <v>6</v>
      </c>
      <c r="C940" s="4" t="str">
        <f t="shared" si="71"/>
        <v>Bắc Kạn</v>
      </c>
      <c r="D940" s="3" t="s">
        <v>117</v>
      </c>
      <c r="E940" s="4" t="str">
        <f t="shared" si="72"/>
        <v>Thành Phố Bắc Kạn</v>
      </c>
      <c r="F940" s="3" t="s">
        <v>1704</v>
      </c>
      <c r="G940" s="4" t="str">
        <f>HYPERLINK("https://diaocthongthai.com/xa-duong-quang-tp-bac-kan/","Xã Dương Quang")</f>
        <v>Xã Dương Quang</v>
      </c>
    </row>
    <row r="941" spans="1:7" x14ac:dyDescent="0.25">
      <c r="A941" s="2">
        <v>940</v>
      </c>
      <c r="B941" s="3" t="s">
        <v>6</v>
      </c>
      <c r="C941" s="4" t="str">
        <f t="shared" si="71"/>
        <v>Bắc Kạn</v>
      </c>
      <c r="D941" s="3" t="s">
        <v>117</v>
      </c>
      <c r="E941" s="4" t="str">
        <f t="shared" si="72"/>
        <v>Thành Phố Bắc Kạn</v>
      </c>
      <c r="F941" s="3" t="s">
        <v>1705</v>
      </c>
      <c r="G941" s="4" t="str">
        <f>HYPERLINK("https://diaocthongthai.com/xa-nong-thuong-tp-bac-kan/","Xã Nông Thượng")</f>
        <v>Xã Nông Thượng</v>
      </c>
    </row>
    <row r="942" spans="1:7" x14ac:dyDescent="0.25">
      <c r="A942" s="2">
        <v>941</v>
      </c>
      <c r="B942" s="3" t="s">
        <v>6</v>
      </c>
      <c r="C942" s="4" t="str">
        <f t="shared" si="71"/>
        <v>Bắc Kạn</v>
      </c>
      <c r="D942" s="3" t="s">
        <v>117</v>
      </c>
      <c r="E942" s="4" t="str">
        <f t="shared" si="72"/>
        <v>Thành Phố Bắc Kạn</v>
      </c>
      <c r="F942" s="3" t="s">
        <v>1706</v>
      </c>
      <c r="G942" s="4" t="str">
        <f>HYPERLINK("https://diaocthongthai.com/phuong-xuat-hoa-tp-bac-kan/","Phường Xuất Hóa")</f>
        <v>Phường Xuất Hóa</v>
      </c>
    </row>
    <row r="943" spans="1:7" x14ac:dyDescent="0.25">
      <c r="A943" s="2">
        <v>942</v>
      </c>
      <c r="B943" s="3" t="s">
        <v>6</v>
      </c>
      <c r="C943" s="4" t="str">
        <f t="shared" si="71"/>
        <v>Bắc Kạn</v>
      </c>
      <c r="D943" s="3" t="s">
        <v>118</v>
      </c>
      <c r="E943" s="4" t="str">
        <f t="shared" ref="E943:E952" si="73">HYPERLINK("https://diaocthongthai.com/ban-do-huyen-pac-nam-bac-kan/","Huyện Pác Nặm")</f>
        <v>Huyện Pác Nặm</v>
      </c>
      <c r="F943" s="3" t="s">
        <v>1707</v>
      </c>
      <c r="G943" s="4" t="str">
        <f>HYPERLINK("https://diaocthongthai.com/xa-bang-thanh-pac-nam/","Xã Bằng Thành")</f>
        <v>Xã Bằng Thành</v>
      </c>
    </row>
    <row r="944" spans="1:7" x14ac:dyDescent="0.25">
      <c r="A944" s="2">
        <v>943</v>
      </c>
      <c r="B944" s="3" t="s">
        <v>6</v>
      </c>
      <c r="C944" s="4" t="str">
        <f t="shared" si="71"/>
        <v>Bắc Kạn</v>
      </c>
      <c r="D944" s="3" t="s">
        <v>118</v>
      </c>
      <c r="E944" s="4" t="str">
        <f t="shared" si="73"/>
        <v>Huyện Pác Nặm</v>
      </c>
      <c r="F944" s="3" t="s">
        <v>1708</v>
      </c>
      <c r="G944" s="4" t="str">
        <f>HYPERLINK("https://diaocthongthai.com/xa-nhan-mon-pac-nam/","Xã Nhạn Môn")</f>
        <v>Xã Nhạn Môn</v>
      </c>
    </row>
    <row r="945" spans="1:7" x14ac:dyDescent="0.25">
      <c r="A945" s="2">
        <v>944</v>
      </c>
      <c r="B945" s="3" t="s">
        <v>6</v>
      </c>
      <c r="C945" s="4" t="str">
        <f t="shared" si="71"/>
        <v>Bắc Kạn</v>
      </c>
      <c r="D945" s="3" t="s">
        <v>118</v>
      </c>
      <c r="E945" s="4" t="str">
        <f t="shared" si="73"/>
        <v>Huyện Pác Nặm</v>
      </c>
      <c r="F945" s="3" t="s">
        <v>1709</v>
      </c>
      <c r="G945" s="4" t="str">
        <f>HYPERLINK("https://diaocthongthai.com/xa-boc-bo-pac-nam/","Xã Bộc Bố")</f>
        <v>Xã Bộc Bố</v>
      </c>
    </row>
    <row r="946" spans="1:7" x14ac:dyDescent="0.25">
      <c r="A946" s="2">
        <v>945</v>
      </c>
      <c r="B946" s="3" t="s">
        <v>6</v>
      </c>
      <c r="C946" s="4" t="str">
        <f t="shared" si="71"/>
        <v>Bắc Kạn</v>
      </c>
      <c r="D946" s="3" t="s">
        <v>118</v>
      </c>
      <c r="E946" s="4" t="str">
        <f t="shared" si="73"/>
        <v>Huyện Pác Nặm</v>
      </c>
      <c r="F946" s="3" t="s">
        <v>1710</v>
      </c>
      <c r="G946" s="4" t="str">
        <f>HYPERLINK("https://diaocthongthai.com/xa-cong-bang-pac-nam/","Xã Công Bằng")</f>
        <v>Xã Công Bằng</v>
      </c>
    </row>
    <row r="947" spans="1:7" x14ac:dyDescent="0.25">
      <c r="A947" s="2">
        <v>946</v>
      </c>
      <c r="B947" s="3" t="s">
        <v>6</v>
      </c>
      <c r="C947" s="4" t="str">
        <f t="shared" si="71"/>
        <v>Bắc Kạn</v>
      </c>
      <c r="D947" s="3" t="s">
        <v>118</v>
      </c>
      <c r="E947" s="4" t="str">
        <f t="shared" si="73"/>
        <v>Huyện Pác Nặm</v>
      </c>
      <c r="F947" s="3" t="s">
        <v>1711</v>
      </c>
      <c r="G947" s="4" t="str">
        <f>HYPERLINK("https://diaocthongthai.com/xa-giao-hieu-pac-nam/","Xã Giáo Hiệu")</f>
        <v>Xã Giáo Hiệu</v>
      </c>
    </row>
    <row r="948" spans="1:7" x14ac:dyDescent="0.25">
      <c r="A948" s="2">
        <v>947</v>
      </c>
      <c r="B948" s="3" t="s">
        <v>6</v>
      </c>
      <c r="C948" s="4" t="str">
        <f t="shared" si="71"/>
        <v>Bắc Kạn</v>
      </c>
      <c r="D948" s="3" t="s">
        <v>118</v>
      </c>
      <c r="E948" s="4" t="str">
        <f t="shared" si="73"/>
        <v>Huyện Pác Nặm</v>
      </c>
      <c r="F948" s="3" t="s">
        <v>1712</v>
      </c>
      <c r="G948" s="4" t="str">
        <f>HYPERLINK("https://diaocthongthai.com/xa-xuan-la-pac-nam/","Xã Xuân La")</f>
        <v>Xã Xuân La</v>
      </c>
    </row>
    <row r="949" spans="1:7" x14ac:dyDescent="0.25">
      <c r="A949" s="2">
        <v>948</v>
      </c>
      <c r="B949" s="3" t="s">
        <v>6</v>
      </c>
      <c r="C949" s="4" t="str">
        <f t="shared" si="71"/>
        <v>Bắc Kạn</v>
      </c>
      <c r="D949" s="3" t="s">
        <v>118</v>
      </c>
      <c r="E949" s="4" t="str">
        <f t="shared" si="73"/>
        <v>Huyện Pác Nặm</v>
      </c>
      <c r="F949" s="3" t="s">
        <v>1713</v>
      </c>
      <c r="G949" s="4" t="str">
        <f>HYPERLINK("https://diaocthongthai.com/xa-an-thang-pac-nam/","Xã An Thắng")</f>
        <v>Xã An Thắng</v>
      </c>
    </row>
    <row r="950" spans="1:7" x14ac:dyDescent="0.25">
      <c r="A950" s="2">
        <v>949</v>
      </c>
      <c r="B950" s="3" t="s">
        <v>6</v>
      </c>
      <c r="C950" s="4" t="str">
        <f t="shared" si="71"/>
        <v>Bắc Kạn</v>
      </c>
      <c r="D950" s="3" t="s">
        <v>118</v>
      </c>
      <c r="E950" s="4" t="str">
        <f t="shared" si="73"/>
        <v>Huyện Pác Nặm</v>
      </c>
      <c r="F950" s="3" t="s">
        <v>1714</v>
      </c>
      <c r="G950" s="4" t="str">
        <f>HYPERLINK("https://diaocthongthai.com/xa-co-linh-pac-nam/","Xã Cổ Linh")</f>
        <v>Xã Cổ Linh</v>
      </c>
    </row>
    <row r="951" spans="1:7" x14ac:dyDescent="0.25">
      <c r="A951" s="2">
        <v>950</v>
      </c>
      <c r="B951" s="3" t="s">
        <v>6</v>
      </c>
      <c r="C951" s="4" t="str">
        <f t="shared" si="71"/>
        <v>Bắc Kạn</v>
      </c>
      <c r="D951" s="3" t="s">
        <v>118</v>
      </c>
      <c r="E951" s="4" t="str">
        <f t="shared" si="73"/>
        <v>Huyện Pác Nặm</v>
      </c>
      <c r="F951" s="3" t="s">
        <v>1715</v>
      </c>
      <c r="G951" s="4" t="str">
        <f>HYPERLINK("https://diaocthongthai.com/xa-nghien-loan-pac-nam/","Xã Nghiên Loan")</f>
        <v>Xã Nghiên Loan</v>
      </c>
    </row>
    <row r="952" spans="1:7" x14ac:dyDescent="0.25">
      <c r="A952" s="2">
        <v>951</v>
      </c>
      <c r="B952" s="3" t="s">
        <v>6</v>
      </c>
      <c r="C952" s="4" t="str">
        <f t="shared" si="71"/>
        <v>Bắc Kạn</v>
      </c>
      <c r="D952" s="3" t="s">
        <v>118</v>
      </c>
      <c r="E952" s="4" t="str">
        <f t="shared" si="73"/>
        <v>Huyện Pác Nặm</v>
      </c>
      <c r="F952" s="3" t="s">
        <v>1716</v>
      </c>
      <c r="G952" s="4" t="str">
        <f>HYPERLINK("https://diaocthongthai.com/xa-cao-tan-pac-nam/","Xã Cao Tân")</f>
        <v>Xã Cao Tân</v>
      </c>
    </row>
    <row r="953" spans="1:7" x14ac:dyDescent="0.25">
      <c r="A953" s="2">
        <v>952</v>
      </c>
      <c r="B953" s="3" t="s">
        <v>6</v>
      </c>
      <c r="C953" s="4" t="str">
        <f t="shared" si="71"/>
        <v>Bắc Kạn</v>
      </c>
      <c r="D953" s="3" t="s">
        <v>119</v>
      </c>
      <c r="E953" s="4" t="str">
        <f t="shared" ref="E953:E967" si="74">HYPERLINK("https://diaocthongthai.com/ban-do-huyen-ba-be-bac-kan/","Huyện Ba Bể")</f>
        <v>Huyện Ba Bể</v>
      </c>
      <c r="F953" s="3" t="s">
        <v>1717</v>
      </c>
      <c r="G953" s="4" t="str">
        <f>HYPERLINK("https://diaocthongthai.com/thi-tran-cho-ra-ba-be/","Thị trấn Chợ Rã")</f>
        <v>Thị trấn Chợ Rã</v>
      </c>
    </row>
    <row r="954" spans="1:7" x14ac:dyDescent="0.25">
      <c r="A954" s="2">
        <v>953</v>
      </c>
      <c r="B954" s="3" t="s">
        <v>6</v>
      </c>
      <c r="C954" s="4" t="str">
        <f t="shared" si="71"/>
        <v>Bắc Kạn</v>
      </c>
      <c r="D954" s="3" t="s">
        <v>119</v>
      </c>
      <c r="E954" s="4" t="str">
        <f t="shared" si="74"/>
        <v>Huyện Ba Bể</v>
      </c>
      <c r="F954" s="3" t="s">
        <v>1718</v>
      </c>
      <c r="G954" s="4" t="str">
        <f>HYPERLINK("https://diaocthongthai.com/xa-banh-trach-ba-be/","Xã Bành Trạch")</f>
        <v>Xã Bành Trạch</v>
      </c>
    </row>
    <row r="955" spans="1:7" x14ac:dyDescent="0.25">
      <c r="A955" s="2">
        <v>954</v>
      </c>
      <c r="B955" s="3" t="s">
        <v>6</v>
      </c>
      <c r="C955" s="4" t="str">
        <f t="shared" si="71"/>
        <v>Bắc Kạn</v>
      </c>
      <c r="D955" s="3" t="s">
        <v>119</v>
      </c>
      <c r="E955" s="4" t="str">
        <f t="shared" si="74"/>
        <v>Huyện Ba Bể</v>
      </c>
      <c r="F955" s="3" t="s">
        <v>1719</v>
      </c>
      <c r="G955" s="4" t="str">
        <f>HYPERLINK("https://diaocthongthai.com/xa-phuc-loc-ba-be/","Xã Phúc Lộc")</f>
        <v>Xã Phúc Lộc</v>
      </c>
    </row>
    <row r="956" spans="1:7" x14ac:dyDescent="0.25">
      <c r="A956" s="2">
        <v>955</v>
      </c>
      <c r="B956" s="3" t="s">
        <v>6</v>
      </c>
      <c r="C956" s="4" t="str">
        <f t="shared" si="71"/>
        <v>Bắc Kạn</v>
      </c>
      <c r="D956" s="3" t="s">
        <v>119</v>
      </c>
      <c r="E956" s="4" t="str">
        <f t="shared" si="74"/>
        <v>Huyện Ba Bể</v>
      </c>
      <c r="F956" s="3" t="s">
        <v>1720</v>
      </c>
      <c r="G956" s="4" t="str">
        <f>HYPERLINK("https://diaocthongthai.com/xa-ha-hieu-ba-be/","Xã Hà Hiệu")</f>
        <v>Xã Hà Hiệu</v>
      </c>
    </row>
    <row r="957" spans="1:7" x14ac:dyDescent="0.25">
      <c r="A957" s="2">
        <v>956</v>
      </c>
      <c r="B957" s="3" t="s">
        <v>6</v>
      </c>
      <c r="C957" s="4" t="str">
        <f t="shared" si="71"/>
        <v>Bắc Kạn</v>
      </c>
      <c r="D957" s="3" t="s">
        <v>119</v>
      </c>
      <c r="E957" s="4" t="str">
        <f t="shared" si="74"/>
        <v>Huyện Ba Bể</v>
      </c>
      <c r="F957" s="3" t="s">
        <v>1721</v>
      </c>
      <c r="G957" s="4" t="str">
        <f>HYPERLINK("https://diaocthongthai.com/xa-cao-thuong-ba-be/","Xã Cao Thượng")</f>
        <v>Xã Cao Thượng</v>
      </c>
    </row>
    <row r="958" spans="1:7" x14ac:dyDescent="0.25">
      <c r="A958" s="2">
        <v>957</v>
      </c>
      <c r="B958" s="3" t="s">
        <v>6</v>
      </c>
      <c r="C958" s="4" t="str">
        <f t="shared" si="71"/>
        <v>Bắc Kạn</v>
      </c>
      <c r="D958" s="3" t="s">
        <v>119</v>
      </c>
      <c r="E958" s="4" t="str">
        <f t="shared" si="74"/>
        <v>Huyện Ba Bể</v>
      </c>
      <c r="F958" s="3" t="s">
        <v>1722</v>
      </c>
      <c r="G958" s="4" t="str">
        <f>HYPERLINK("https://diaocthongthai.com/xa-khang-ninh-ba-be/","Xã Khang Ninh")</f>
        <v>Xã Khang Ninh</v>
      </c>
    </row>
    <row r="959" spans="1:7" x14ac:dyDescent="0.25">
      <c r="A959" s="2">
        <v>958</v>
      </c>
      <c r="B959" s="3" t="s">
        <v>6</v>
      </c>
      <c r="C959" s="4" t="str">
        <f t="shared" si="71"/>
        <v>Bắc Kạn</v>
      </c>
      <c r="D959" s="3" t="s">
        <v>119</v>
      </c>
      <c r="E959" s="4" t="str">
        <f t="shared" si="74"/>
        <v>Huyện Ba Bể</v>
      </c>
      <c r="F959" s="3" t="s">
        <v>1723</v>
      </c>
      <c r="G959" s="4" t="str">
        <f>HYPERLINK("https://diaocthongthai.com/xa-nam-mau-ba-be/","Xã Nam Mẫu")</f>
        <v>Xã Nam Mẫu</v>
      </c>
    </row>
    <row r="960" spans="1:7" x14ac:dyDescent="0.25">
      <c r="A960" s="2">
        <v>959</v>
      </c>
      <c r="B960" s="3" t="s">
        <v>6</v>
      </c>
      <c r="C960" s="4" t="str">
        <f t="shared" si="71"/>
        <v>Bắc Kạn</v>
      </c>
      <c r="D960" s="3" t="s">
        <v>119</v>
      </c>
      <c r="E960" s="4" t="str">
        <f t="shared" si="74"/>
        <v>Huyện Ba Bể</v>
      </c>
      <c r="F960" s="3" t="s">
        <v>1724</v>
      </c>
      <c r="G960" s="4" t="str">
        <f>HYPERLINK("https://diaocthongthai.com/xa-thuong-giao-ba-be/","Xã Thượng Giáo")</f>
        <v>Xã Thượng Giáo</v>
      </c>
    </row>
    <row r="961" spans="1:7" x14ac:dyDescent="0.25">
      <c r="A961" s="2">
        <v>960</v>
      </c>
      <c r="B961" s="3" t="s">
        <v>6</v>
      </c>
      <c r="C961" s="4" t="str">
        <f t="shared" si="71"/>
        <v>Bắc Kạn</v>
      </c>
      <c r="D961" s="3" t="s">
        <v>119</v>
      </c>
      <c r="E961" s="4" t="str">
        <f t="shared" si="74"/>
        <v>Huyện Ba Bể</v>
      </c>
      <c r="F961" s="3" t="s">
        <v>1725</v>
      </c>
      <c r="G961" s="4" t="str">
        <f>HYPERLINK("https://diaocthongthai.com/xa-dia-linh-ba-be/","Xã Địa Linh")</f>
        <v>Xã Địa Linh</v>
      </c>
    </row>
    <row r="962" spans="1:7" x14ac:dyDescent="0.25">
      <c r="A962" s="2">
        <v>961</v>
      </c>
      <c r="B962" s="3" t="s">
        <v>6</v>
      </c>
      <c r="C962" s="4" t="str">
        <f t="shared" si="71"/>
        <v>Bắc Kạn</v>
      </c>
      <c r="D962" s="3" t="s">
        <v>119</v>
      </c>
      <c r="E962" s="4" t="str">
        <f t="shared" si="74"/>
        <v>Huyện Ba Bể</v>
      </c>
      <c r="F962" s="3" t="s">
        <v>1726</v>
      </c>
      <c r="G962" s="4" t="str">
        <f>HYPERLINK("https://diaocthongthai.com/xa-yen-duong-ba-be/","Xã Yến Dương")</f>
        <v>Xã Yến Dương</v>
      </c>
    </row>
    <row r="963" spans="1:7" x14ac:dyDescent="0.25">
      <c r="A963" s="2">
        <v>962</v>
      </c>
      <c r="B963" s="3" t="s">
        <v>6</v>
      </c>
      <c r="C963" s="4" t="str">
        <f t="shared" si="71"/>
        <v>Bắc Kạn</v>
      </c>
      <c r="D963" s="3" t="s">
        <v>119</v>
      </c>
      <c r="E963" s="4" t="str">
        <f t="shared" si="74"/>
        <v>Huyện Ba Bể</v>
      </c>
      <c r="F963" s="3" t="s">
        <v>1727</v>
      </c>
      <c r="G963" s="4" t="str">
        <f>HYPERLINK("https://diaocthongthai.com/xa-chu-huong-ba-be/","Xã Chu Hương")</f>
        <v>Xã Chu Hương</v>
      </c>
    </row>
    <row r="964" spans="1:7" x14ac:dyDescent="0.25">
      <c r="A964" s="2">
        <v>963</v>
      </c>
      <c r="B964" s="3" t="s">
        <v>6</v>
      </c>
      <c r="C964" s="4" t="str">
        <f t="shared" si="71"/>
        <v>Bắc Kạn</v>
      </c>
      <c r="D964" s="3" t="s">
        <v>119</v>
      </c>
      <c r="E964" s="4" t="str">
        <f t="shared" si="74"/>
        <v>Huyện Ba Bể</v>
      </c>
      <c r="F964" s="3" t="s">
        <v>1728</v>
      </c>
      <c r="G964" s="4" t="str">
        <f>HYPERLINK("https://diaocthongthai.com/xa-quang-khe-ba-be/","Xã Quảng Khê")</f>
        <v>Xã Quảng Khê</v>
      </c>
    </row>
    <row r="965" spans="1:7" x14ac:dyDescent="0.25">
      <c r="A965" s="2">
        <v>964</v>
      </c>
      <c r="B965" s="3" t="s">
        <v>6</v>
      </c>
      <c r="C965" s="4" t="str">
        <f t="shared" si="71"/>
        <v>Bắc Kạn</v>
      </c>
      <c r="D965" s="3" t="s">
        <v>119</v>
      </c>
      <c r="E965" s="4" t="str">
        <f t="shared" si="74"/>
        <v>Huyện Ba Bể</v>
      </c>
      <c r="F965" s="3" t="s">
        <v>1729</v>
      </c>
      <c r="G965" s="4" t="str">
        <f>HYPERLINK("https://diaocthongthai.com/xa-my-phuong-ba-be/","Xã Mỹ Phương")</f>
        <v>Xã Mỹ Phương</v>
      </c>
    </row>
    <row r="966" spans="1:7" x14ac:dyDescent="0.25">
      <c r="A966" s="2">
        <v>965</v>
      </c>
      <c r="B966" s="3" t="s">
        <v>6</v>
      </c>
      <c r="C966" s="4" t="str">
        <f t="shared" si="71"/>
        <v>Bắc Kạn</v>
      </c>
      <c r="D966" s="3" t="s">
        <v>119</v>
      </c>
      <c r="E966" s="4" t="str">
        <f t="shared" si="74"/>
        <v>Huyện Ba Bể</v>
      </c>
      <c r="F966" s="3" t="s">
        <v>1730</v>
      </c>
      <c r="G966" s="4" t="str">
        <f>HYPERLINK("https://diaocthongthai.com/xa-hoang-tri-ba-be/","Xã Hoàng Trĩ")</f>
        <v>Xã Hoàng Trĩ</v>
      </c>
    </row>
    <row r="967" spans="1:7" x14ac:dyDescent="0.25">
      <c r="A967" s="2">
        <v>966</v>
      </c>
      <c r="B967" s="3" t="s">
        <v>6</v>
      </c>
      <c r="C967" s="4" t="str">
        <f t="shared" ref="C967:C998" si="75">HYPERLINK("https://diaocthongthai.com/ban-do-bac-kan/","Bắc Kạn")</f>
        <v>Bắc Kạn</v>
      </c>
      <c r="D967" s="3" t="s">
        <v>119</v>
      </c>
      <c r="E967" s="4" t="str">
        <f t="shared" si="74"/>
        <v>Huyện Ba Bể</v>
      </c>
      <c r="F967" s="3" t="s">
        <v>1731</v>
      </c>
      <c r="G967" s="4" t="str">
        <f>HYPERLINK("https://diaocthongthai.com/xa-dong-phuc-ba-be/","Xã Đồng Phúc")</f>
        <v>Xã Đồng Phúc</v>
      </c>
    </row>
    <row r="968" spans="1:7" x14ac:dyDescent="0.25">
      <c r="A968" s="2">
        <v>967</v>
      </c>
      <c r="B968" s="3" t="s">
        <v>6</v>
      </c>
      <c r="C968" s="4" t="str">
        <f t="shared" si="75"/>
        <v>Bắc Kạn</v>
      </c>
      <c r="D968" s="3" t="s">
        <v>120</v>
      </c>
      <c r="E968" s="4" t="str">
        <f t="shared" ref="E968:E977" si="76">HYPERLINK("https://diaocthongthai.com/ban-do-huyen-ngan-son-bac-kan/","Huyện Ngân Sơn")</f>
        <v>Huyện Ngân Sơn</v>
      </c>
      <c r="F968" s="3" t="s">
        <v>1732</v>
      </c>
      <c r="G968" s="4" t="str">
        <f>HYPERLINK("https://diaocthongthai.com/thi-tran-na-phac-ngan-son/","Thị trấn Nà Phặc")</f>
        <v>Thị trấn Nà Phặc</v>
      </c>
    </row>
    <row r="969" spans="1:7" x14ac:dyDescent="0.25">
      <c r="A969" s="2">
        <v>968</v>
      </c>
      <c r="B969" s="3" t="s">
        <v>6</v>
      </c>
      <c r="C969" s="4" t="str">
        <f t="shared" si="75"/>
        <v>Bắc Kạn</v>
      </c>
      <c r="D969" s="3" t="s">
        <v>120</v>
      </c>
      <c r="E969" s="4" t="str">
        <f t="shared" si="76"/>
        <v>Huyện Ngân Sơn</v>
      </c>
      <c r="F969" s="3" t="s">
        <v>1733</v>
      </c>
      <c r="G969" s="4" t="str">
        <f>HYPERLINK("https://diaocthongthai.com/xa-thuong-an-ngan-son/","Xã Thượng Ân")</f>
        <v>Xã Thượng Ân</v>
      </c>
    </row>
    <row r="970" spans="1:7" x14ac:dyDescent="0.25">
      <c r="A970" s="2">
        <v>969</v>
      </c>
      <c r="B970" s="3" t="s">
        <v>6</v>
      </c>
      <c r="C970" s="4" t="str">
        <f t="shared" si="75"/>
        <v>Bắc Kạn</v>
      </c>
      <c r="D970" s="3" t="s">
        <v>120</v>
      </c>
      <c r="E970" s="4" t="str">
        <f t="shared" si="76"/>
        <v>Huyện Ngân Sơn</v>
      </c>
      <c r="F970" s="3" t="s">
        <v>1734</v>
      </c>
      <c r="G970" s="4" t="str">
        <f>HYPERLINK("https://diaocthongthai.com/xa-bang-van-ngan-son/","Xã Bằng Vân")</f>
        <v>Xã Bằng Vân</v>
      </c>
    </row>
    <row r="971" spans="1:7" x14ac:dyDescent="0.25">
      <c r="A971" s="2">
        <v>970</v>
      </c>
      <c r="B971" s="3" t="s">
        <v>6</v>
      </c>
      <c r="C971" s="4" t="str">
        <f t="shared" si="75"/>
        <v>Bắc Kạn</v>
      </c>
      <c r="D971" s="3" t="s">
        <v>120</v>
      </c>
      <c r="E971" s="4" t="str">
        <f t="shared" si="76"/>
        <v>Huyện Ngân Sơn</v>
      </c>
      <c r="F971" s="3" t="s">
        <v>1735</v>
      </c>
      <c r="G971" s="4" t="str">
        <f>HYPERLINK("https://diaocthongthai.com/xa-coc-dan-ngan-son/","Xã Cốc Đán")</f>
        <v>Xã Cốc Đán</v>
      </c>
    </row>
    <row r="972" spans="1:7" x14ac:dyDescent="0.25">
      <c r="A972" s="2">
        <v>971</v>
      </c>
      <c r="B972" s="3" t="s">
        <v>6</v>
      </c>
      <c r="C972" s="4" t="str">
        <f t="shared" si="75"/>
        <v>Bắc Kạn</v>
      </c>
      <c r="D972" s="3" t="s">
        <v>120</v>
      </c>
      <c r="E972" s="4" t="str">
        <f t="shared" si="76"/>
        <v>Huyện Ngân Sơn</v>
      </c>
      <c r="F972" s="3" t="s">
        <v>1736</v>
      </c>
      <c r="G972" s="4" t="str">
        <f>HYPERLINK("https://diaocthongthai.com/xa-trung-hoa-1-ngan-son/","Xã Trung Hoà")</f>
        <v>Xã Trung Hoà</v>
      </c>
    </row>
    <row r="973" spans="1:7" x14ac:dyDescent="0.25">
      <c r="A973" s="2">
        <v>972</v>
      </c>
      <c r="B973" s="3" t="s">
        <v>6</v>
      </c>
      <c r="C973" s="4" t="str">
        <f t="shared" si="75"/>
        <v>Bắc Kạn</v>
      </c>
      <c r="D973" s="3" t="s">
        <v>120</v>
      </c>
      <c r="E973" s="4" t="str">
        <f t="shared" si="76"/>
        <v>Huyện Ngân Sơn</v>
      </c>
      <c r="F973" s="3" t="s">
        <v>1737</v>
      </c>
      <c r="G973" s="4" t="str">
        <f>HYPERLINK("https://diaocthongthai.com/xa-duc-van-ngan-son/","Xã Đức Vân")</f>
        <v>Xã Đức Vân</v>
      </c>
    </row>
    <row r="974" spans="1:7" x14ac:dyDescent="0.25">
      <c r="A974" s="2">
        <v>973</v>
      </c>
      <c r="B974" s="3" t="s">
        <v>6</v>
      </c>
      <c r="C974" s="4" t="str">
        <f t="shared" si="75"/>
        <v>Bắc Kạn</v>
      </c>
      <c r="D974" s="3" t="s">
        <v>120</v>
      </c>
      <c r="E974" s="4" t="str">
        <f t="shared" si="76"/>
        <v>Huyện Ngân Sơn</v>
      </c>
      <c r="F974" s="3" t="s">
        <v>1738</v>
      </c>
      <c r="G974" s="4" t="str">
        <f>HYPERLINK("https://diaocthongthai.com/xa-van-tung-ngan-son/","Xã Vân Tùng")</f>
        <v>Xã Vân Tùng</v>
      </c>
    </row>
    <row r="975" spans="1:7" x14ac:dyDescent="0.25">
      <c r="A975" s="2">
        <v>974</v>
      </c>
      <c r="B975" s="3" t="s">
        <v>6</v>
      </c>
      <c r="C975" s="4" t="str">
        <f t="shared" si="75"/>
        <v>Bắc Kạn</v>
      </c>
      <c r="D975" s="3" t="s">
        <v>120</v>
      </c>
      <c r="E975" s="4" t="str">
        <f t="shared" si="76"/>
        <v>Huyện Ngân Sơn</v>
      </c>
      <c r="F975" s="3" t="s">
        <v>1739</v>
      </c>
      <c r="G975" s="4" t="str">
        <f>HYPERLINK("https://diaocthongthai.com/xa-thuong-quan-ngan-son/","Xã Thượng Quan")</f>
        <v>Xã Thượng Quan</v>
      </c>
    </row>
    <row r="976" spans="1:7" x14ac:dyDescent="0.25">
      <c r="A976" s="2">
        <v>975</v>
      </c>
      <c r="B976" s="3" t="s">
        <v>6</v>
      </c>
      <c r="C976" s="4" t="str">
        <f t="shared" si="75"/>
        <v>Bắc Kạn</v>
      </c>
      <c r="D976" s="3" t="s">
        <v>120</v>
      </c>
      <c r="E976" s="4" t="str">
        <f t="shared" si="76"/>
        <v>Huyện Ngân Sơn</v>
      </c>
      <c r="F976" s="3" t="s">
        <v>1740</v>
      </c>
      <c r="G976" s="4" t="str">
        <f>HYPERLINK("https://diaocthongthai.com/xa-hiep-luc-ngan-son/","Xã Hiệp Lực")</f>
        <v>Xã Hiệp Lực</v>
      </c>
    </row>
    <row r="977" spans="1:7" x14ac:dyDescent="0.25">
      <c r="A977" s="2">
        <v>976</v>
      </c>
      <c r="B977" s="3" t="s">
        <v>6</v>
      </c>
      <c r="C977" s="4" t="str">
        <f t="shared" si="75"/>
        <v>Bắc Kạn</v>
      </c>
      <c r="D977" s="3" t="s">
        <v>120</v>
      </c>
      <c r="E977" s="4" t="str">
        <f t="shared" si="76"/>
        <v>Huyện Ngân Sơn</v>
      </c>
      <c r="F977" s="3" t="s">
        <v>1741</v>
      </c>
      <c r="G977" s="4" t="str">
        <f>HYPERLINK("https://diaocthongthai.com/xa-thuan-mang-ngan-son/","Xã Thuần Mang")</f>
        <v>Xã Thuần Mang</v>
      </c>
    </row>
    <row r="978" spans="1:7" x14ac:dyDescent="0.25">
      <c r="A978" s="2">
        <v>977</v>
      </c>
      <c r="B978" s="3" t="s">
        <v>6</v>
      </c>
      <c r="C978" s="4" t="str">
        <f t="shared" si="75"/>
        <v>Bắc Kạn</v>
      </c>
      <c r="D978" s="3" t="s">
        <v>121</v>
      </c>
      <c r="E978" s="4" t="str">
        <f t="shared" ref="E978:E991" si="77">HYPERLINK("https://diaocthongthai.com/ban-do-huyen-bach-thong-bac-kan/","Huyện Bạch Thông")</f>
        <v>Huyện Bạch Thông</v>
      </c>
      <c r="F978" s="3" t="s">
        <v>1742</v>
      </c>
      <c r="G978" s="4" t="str">
        <f>HYPERLINK("https://diaocthongthai.com/thi-tran-phu-thong-bach-thong/","Thị trấn Phủ Thông")</f>
        <v>Thị trấn Phủ Thông</v>
      </c>
    </row>
    <row r="979" spans="1:7" x14ac:dyDescent="0.25">
      <c r="A979" s="2">
        <v>978</v>
      </c>
      <c r="B979" s="3" t="s">
        <v>6</v>
      </c>
      <c r="C979" s="4" t="str">
        <f t="shared" si="75"/>
        <v>Bắc Kạn</v>
      </c>
      <c r="D979" s="3" t="s">
        <v>121</v>
      </c>
      <c r="E979" s="4" t="str">
        <f t="shared" si="77"/>
        <v>Huyện Bạch Thông</v>
      </c>
      <c r="F979" s="3" t="s">
        <v>1743</v>
      </c>
      <c r="G979" s="4" t="str">
        <f>HYPERLINK("https://diaocthongthai.com/xa-vi-huong-bach-thong/","Xã Vi Hương")</f>
        <v>Xã Vi Hương</v>
      </c>
    </row>
    <row r="980" spans="1:7" x14ac:dyDescent="0.25">
      <c r="A980" s="2">
        <v>979</v>
      </c>
      <c r="B980" s="3" t="s">
        <v>6</v>
      </c>
      <c r="C980" s="4" t="str">
        <f t="shared" si="75"/>
        <v>Bắc Kạn</v>
      </c>
      <c r="D980" s="3" t="s">
        <v>121</v>
      </c>
      <c r="E980" s="4" t="str">
        <f t="shared" si="77"/>
        <v>Huyện Bạch Thông</v>
      </c>
      <c r="F980" s="3" t="s">
        <v>1744</v>
      </c>
      <c r="G980" s="4" t="str">
        <f>HYPERLINK("https://diaocthongthai.com/xa-sy-binh-bach-thong/","Xã Sĩ Bình")</f>
        <v>Xã Sĩ Bình</v>
      </c>
    </row>
    <row r="981" spans="1:7" x14ac:dyDescent="0.25">
      <c r="A981" s="2">
        <v>980</v>
      </c>
      <c r="B981" s="3" t="s">
        <v>6</v>
      </c>
      <c r="C981" s="4" t="str">
        <f t="shared" si="75"/>
        <v>Bắc Kạn</v>
      </c>
      <c r="D981" s="3" t="s">
        <v>121</v>
      </c>
      <c r="E981" s="4" t="str">
        <f t="shared" si="77"/>
        <v>Huyện Bạch Thông</v>
      </c>
      <c r="F981" s="3" t="s">
        <v>1745</v>
      </c>
      <c r="G981" s="4" t="str">
        <f>HYPERLINK("https://diaocthongthai.com/xa-vu-muon-bach-thong/","Xã Vũ Muộn")</f>
        <v>Xã Vũ Muộn</v>
      </c>
    </row>
    <row r="982" spans="1:7" x14ac:dyDescent="0.25">
      <c r="A982" s="2">
        <v>981</v>
      </c>
      <c r="B982" s="3" t="s">
        <v>6</v>
      </c>
      <c r="C982" s="4" t="str">
        <f t="shared" si="75"/>
        <v>Bắc Kạn</v>
      </c>
      <c r="D982" s="3" t="s">
        <v>121</v>
      </c>
      <c r="E982" s="4" t="str">
        <f t="shared" si="77"/>
        <v>Huyện Bạch Thông</v>
      </c>
      <c r="F982" s="3" t="s">
        <v>1746</v>
      </c>
      <c r="G982" s="4" t="str">
        <f>HYPERLINK("https://diaocthongthai.com/xa-don-phong-bach-thong/","Xã Đôn Phong")</f>
        <v>Xã Đôn Phong</v>
      </c>
    </row>
    <row r="983" spans="1:7" x14ac:dyDescent="0.25">
      <c r="A983" s="2">
        <v>982</v>
      </c>
      <c r="B983" s="3" t="s">
        <v>6</v>
      </c>
      <c r="C983" s="4" t="str">
        <f t="shared" si="75"/>
        <v>Bắc Kạn</v>
      </c>
      <c r="D983" s="3" t="s">
        <v>121</v>
      </c>
      <c r="E983" s="4" t="str">
        <f t="shared" si="77"/>
        <v>Huyện Bạch Thông</v>
      </c>
      <c r="F983" s="3" t="s">
        <v>1747</v>
      </c>
      <c r="G983" s="4" t="str">
        <f>HYPERLINK("https://diaocthongthai.com/xa-luc-binh-bach-thong/","Xã Lục Bình")</f>
        <v>Xã Lục Bình</v>
      </c>
    </row>
    <row r="984" spans="1:7" x14ac:dyDescent="0.25">
      <c r="A984" s="2">
        <v>983</v>
      </c>
      <c r="B984" s="3" t="s">
        <v>6</v>
      </c>
      <c r="C984" s="4" t="str">
        <f t="shared" si="75"/>
        <v>Bắc Kạn</v>
      </c>
      <c r="D984" s="3" t="s">
        <v>121</v>
      </c>
      <c r="E984" s="4" t="str">
        <f t="shared" si="77"/>
        <v>Huyện Bạch Thông</v>
      </c>
      <c r="F984" s="3" t="s">
        <v>1748</v>
      </c>
      <c r="G984" s="4" t="str">
        <f>HYPERLINK("https://diaocthongthai.com/xa-tan-tu-bach-thong/","Xã Tân Tú")</f>
        <v>Xã Tân Tú</v>
      </c>
    </row>
    <row r="985" spans="1:7" x14ac:dyDescent="0.25">
      <c r="A985" s="2">
        <v>984</v>
      </c>
      <c r="B985" s="3" t="s">
        <v>6</v>
      </c>
      <c r="C985" s="4" t="str">
        <f t="shared" si="75"/>
        <v>Bắc Kạn</v>
      </c>
      <c r="D985" s="3" t="s">
        <v>121</v>
      </c>
      <c r="E985" s="4" t="str">
        <f t="shared" si="77"/>
        <v>Huyện Bạch Thông</v>
      </c>
      <c r="F985" s="3" t="s">
        <v>1749</v>
      </c>
      <c r="G985" s="4" t="str">
        <f>HYPERLINK("https://diaocthongthai.com/xa-nguyen-phuc-bach-thong/","Xã Nguyên Phúc")</f>
        <v>Xã Nguyên Phúc</v>
      </c>
    </row>
    <row r="986" spans="1:7" x14ac:dyDescent="0.25">
      <c r="A986" s="2">
        <v>985</v>
      </c>
      <c r="B986" s="3" t="s">
        <v>6</v>
      </c>
      <c r="C986" s="4" t="str">
        <f t="shared" si="75"/>
        <v>Bắc Kạn</v>
      </c>
      <c r="D986" s="3" t="s">
        <v>121</v>
      </c>
      <c r="E986" s="4" t="str">
        <f t="shared" si="77"/>
        <v>Huyện Bạch Thông</v>
      </c>
      <c r="F986" s="3" t="s">
        <v>1750</v>
      </c>
      <c r="G986" s="4" t="str">
        <f>HYPERLINK("https://diaocthongthai.com/xa-cao-son-bach-thong/","Xã Cao Sơn")</f>
        <v>Xã Cao Sơn</v>
      </c>
    </row>
    <row r="987" spans="1:7" x14ac:dyDescent="0.25">
      <c r="A987" s="2">
        <v>986</v>
      </c>
      <c r="B987" s="3" t="s">
        <v>6</v>
      </c>
      <c r="C987" s="4" t="str">
        <f t="shared" si="75"/>
        <v>Bắc Kạn</v>
      </c>
      <c r="D987" s="3" t="s">
        <v>121</v>
      </c>
      <c r="E987" s="4" t="str">
        <f t="shared" si="77"/>
        <v>Huyện Bạch Thông</v>
      </c>
      <c r="F987" s="3" t="s">
        <v>1751</v>
      </c>
      <c r="G987" s="4" t="str">
        <f>HYPERLINK("https://diaocthongthai.com/xa-quan-ha-bach-thong/","Xã Quân Hà")</f>
        <v>Xã Quân Hà</v>
      </c>
    </row>
    <row r="988" spans="1:7" x14ac:dyDescent="0.25">
      <c r="A988" s="2">
        <v>987</v>
      </c>
      <c r="B988" s="3" t="s">
        <v>6</v>
      </c>
      <c r="C988" s="4" t="str">
        <f t="shared" si="75"/>
        <v>Bắc Kạn</v>
      </c>
      <c r="D988" s="3" t="s">
        <v>121</v>
      </c>
      <c r="E988" s="4" t="str">
        <f t="shared" si="77"/>
        <v>Huyện Bạch Thông</v>
      </c>
      <c r="F988" s="3" t="s">
        <v>1752</v>
      </c>
      <c r="G988" s="4" t="str">
        <f>HYPERLINK("https://diaocthongthai.com/xa-cam-giang-bach-thong/","Xã Cẩm Giàng")</f>
        <v>Xã Cẩm Giàng</v>
      </c>
    </row>
    <row r="989" spans="1:7" x14ac:dyDescent="0.25">
      <c r="A989" s="2">
        <v>988</v>
      </c>
      <c r="B989" s="3" t="s">
        <v>6</v>
      </c>
      <c r="C989" s="4" t="str">
        <f t="shared" si="75"/>
        <v>Bắc Kạn</v>
      </c>
      <c r="D989" s="3" t="s">
        <v>121</v>
      </c>
      <c r="E989" s="4" t="str">
        <f t="shared" si="77"/>
        <v>Huyện Bạch Thông</v>
      </c>
      <c r="F989" s="3" t="s">
        <v>1753</v>
      </c>
      <c r="G989" s="4" t="str">
        <f>HYPERLINK("https://diaocthongthai.com/xa-my-thanh-bach-thong/","Xã Mỹ Thanh")</f>
        <v>Xã Mỹ Thanh</v>
      </c>
    </row>
    <row r="990" spans="1:7" x14ac:dyDescent="0.25">
      <c r="A990" s="2">
        <v>989</v>
      </c>
      <c r="B990" s="3" t="s">
        <v>6</v>
      </c>
      <c r="C990" s="4" t="str">
        <f t="shared" si="75"/>
        <v>Bắc Kạn</v>
      </c>
      <c r="D990" s="3" t="s">
        <v>121</v>
      </c>
      <c r="E990" s="4" t="str">
        <f t="shared" si="77"/>
        <v>Huyện Bạch Thông</v>
      </c>
      <c r="F990" s="3" t="s">
        <v>1754</v>
      </c>
      <c r="G990" s="4" t="str">
        <f>HYPERLINK("https://diaocthongthai.com/xa-duong-phong-bach-thong/","Xã Dương Phong")</f>
        <v>Xã Dương Phong</v>
      </c>
    </row>
    <row r="991" spans="1:7" x14ac:dyDescent="0.25">
      <c r="A991" s="2">
        <v>990</v>
      </c>
      <c r="B991" s="3" t="s">
        <v>6</v>
      </c>
      <c r="C991" s="4" t="str">
        <f t="shared" si="75"/>
        <v>Bắc Kạn</v>
      </c>
      <c r="D991" s="3" t="s">
        <v>121</v>
      </c>
      <c r="E991" s="4" t="str">
        <f t="shared" si="77"/>
        <v>Huyện Bạch Thông</v>
      </c>
      <c r="F991" s="3" t="s">
        <v>1755</v>
      </c>
      <c r="G991" s="4" t="str">
        <f>HYPERLINK("https://diaocthongthai.com/xa-quang-thuan-bach-thong/","Xã Quang Thuận")</f>
        <v>Xã Quang Thuận</v>
      </c>
    </row>
    <row r="992" spans="1:7" x14ac:dyDescent="0.25">
      <c r="A992" s="2">
        <v>991</v>
      </c>
      <c r="B992" s="3" t="s">
        <v>6</v>
      </c>
      <c r="C992" s="4" t="str">
        <f t="shared" si="75"/>
        <v>Bắc Kạn</v>
      </c>
      <c r="D992" s="3" t="s">
        <v>122</v>
      </c>
      <c r="E992" s="4" t="str">
        <f t="shared" ref="E992:E1011" si="78">HYPERLINK("https://diaocthongthai.com/ban-do-huyen-cho-don-bac-kan/","Huyện Chợ Đồn")</f>
        <v>Huyện Chợ Đồn</v>
      </c>
      <c r="F992" s="3" t="s">
        <v>1756</v>
      </c>
      <c r="G992" s="4" t="str">
        <f>HYPERLINK("https://diaocthongthai.com/thi-tran-bang-lung-cho-don/","Thị trấn Bằng Lũng")</f>
        <v>Thị trấn Bằng Lũng</v>
      </c>
    </row>
    <row r="993" spans="1:7" x14ac:dyDescent="0.25">
      <c r="A993" s="2">
        <v>992</v>
      </c>
      <c r="B993" s="3" t="s">
        <v>6</v>
      </c>
      <c r="C993" s="4" t="str">
        <f t="shared" si="75"/>
        <v>Bắc Kạn</v>
      </c>
      <c r="D993" s="3" t="s">
        <v>122</v>
      </c>
      <c r="E993" s="4" t="str">
        <f t="shared" si="78"/>
        <v>Huyện Chợ Đồn</v>
      </c>
      <c r="F993" s="3" t="s">
        <v>1757</v>
      </c>
      <c r="G993" s="4" t="str">
        <f>HYPERLINK("https://diaocthongthai.com/xa-xuan-lac-cho-don/","Xã Xuân Lạc")</f>
        <v>Xã Xuân Lạc</v>
      </c>
    </row>
    <row r="994" spans="1:7" x14ac:dyDescent="0.25">
      <c r="A994" s="2">
        <v>993</v>
      </c>
      <c r="B994" s="3" t="s">
        <v>6</v>
      </c>
      <c r="C994" s="4" t="str">
        <f t="shared" si="75"/>
        <v>Bắc Kạn</v>
      </c>
      <c r="D994" s="3" t="s">
        <v>122</v>
      </c>
      <c r="E994" s="4" t="str">
        <f t="shared" si="78"/>
        <v>Huyện Chợ Đồn</v>
      </c>
      <c r="F994" s="3" t="s">
        <v>1758</v>
      </c>
      <c r="G994" s="4" t="str">
        <f>HYPERLINK("https://diaocthongthai.com/xa-nam-cuong-cho-don/","Xã Nam Cường")</f>
        <v>Xã Nam Cường</v>
      </c>
    </row>
    <row r="995" spans="1:7" x14ac:dyDescent="0.25">
      <c r="A995" s="2">
        <v>994</v>
      </c>
      <c r="B995" s="3" t="s">
        <v>6</v>
      </c>
      <c r="C995" s="4" t="str">
        <f t="shared" si="75"/>
        <v>Bắc Kạn</v>
      </c>
      <c r="D995" s="3" t="s">
        <v>122</v>
      </c>
      <c r="E995" s="4" t="str">
        <f t="shared" si="78"/>
        <v>Huyện Chợ Đồn</v>
      </c>
      <c r="F995" s="3" t="s">
        <v>1759</v>
      </c>
      <c r="G995" s="4" t="str">
        <f>HYPERLINK("https://diaocthongthai.com/xa-dong-lac-cho-don/","Xã Đồng Lạc")</f>
        <v>Xã Đồng Lạc</v>
      </c>
    </row>
    <row r="996" spans="1:7" x14ac:dyDescent="0.25">
      <c r="A996" s="2">
        <v>995</v>
      </c>
      <c r="B996" s="3" t="s">
        <v>6</v>
      </c>
      <c r="C996" s="4" t="str">
        <f t="shared" si="75"/>
        <v>Bắc Kạn</v>
      </c>
      <c r="D996" s="3" t="s">
        <v>122</v>
      </c>
      <c r="E996" s="4" t="str">
        <f t="shared" si="78"/>
        <v>Huyện Chợ Đồn</v>
      </c>
      <c r="F996" s="3" t="s">
        <v>1760</v>
      </c>
      <c r="G996" s="4" t="str">
        <f>HYPERLINK("https://diaocthongthai.com/xa-tan-lap-cho-don/","Xã Tân Lập")</f>
        <v>Xã Tân Lập</v>
      </c>
    </row>
    <row r="997" spans="1:7" x14ac:dyDescent="0.25">
      <c r="A997" s="2">
        <v>996</v>
      </c>
      <c r="B997" s="3" t="s">
        <v>6</v>
      </c>
      <c r="C997" s="4" t="str">
        <f t="shared" si="75"/>
        <v>Bắc Kạn</v>
      </c>
      <c r="D997" s="3" t="s">
        <v>122</v>
      </c>
      <c r="E997" s="4" t="str">
        <f t="shared" si="78"/>
        <v>Huyện Chợ Đồn</v>
      </c>
      <c r="F997" s="3" t="s">
        <v>1761</v>
      </c>
      <c r="G997" s="4" t="str">
        <f>HYPERLINK("https://diaocthongthai.com/xa-ban-thi-cho-don/","Xã Bản Thi")</f>
        <v>Xã Bản Thi</v>
      </c>
    </row>
    <row r="998" spans="1:7" x14ac:dyDescent="0.25">
      <c r="A998" s="2">
        <v>997</v>
      </c>
      <c r="B998" s="3" t="s">
        <v>6</v>
      </c>
      <c r="C998" s="4" t="str">
        <f t="shared" si="75"/>
        <v>Bắc Kạn</v>
      </c>
      <c r="D998" s="3" t="s">
        <v>122</v>
      </c>
      <c r="E998" s="4" t="str">
        <f t="shared" si="78"/>
        <v>Huyện Chợ Đồn</v>
      </c>
      <c r="F998" s="3" t="s">
        <v>1762</v>
      </c>
      <c r="G998" s="4" t="str">
        <f>HYPERLINK("https://diaocthongthai.com/xa-quang-bach-cho-don/","Xã Quảng Bạch")</f>
        <v>Xã Quảng Bạch</v>
      </c>
    </row>
    <row r="999" spans="1:7" x14ac:dyDescent="0.25">
      <c r="A999" s="2">
        <v>998</v>
      </c>
      <c r="B999" s="3" t="s">
        <v>6</v>
      </c>
      <c r="C999" s="4" t="str">
        <f t="shared" ref="C999:C1030" si="79">HYPERLINK("https://diaocthongthai.com/ban-do-bac-kan/","Bắc Kạn")</f>
        <v>Bắc Kạn</v>
      </c>
      <c r="D999" s="3" t="s">
        <v>122</v>
      </c>
      <c r="E999" s="4" t="str">
        <f t="shared" si="78"/>
        <v>Huyện Chợ Đồn</v>
      </c>
      <c r="F999" s="3" t="s">
        <v>1763</v>
      </c>
      <c r="G999" s="4" t="str">
        <f>HYPERLINK("https://diaocthongthai.com/xa-bang-phuc-cho-don/","Xã Bằng Phúc")</f>
        <v>Xã Bằng Phúc</v>
      </c>
    </row>
    <row r="1000" spans="1:7" x14ac:dyDescent="0.25">
      <c r="A1000" s="2">
        <v>999</v>
      </c>
      <c r="B1000" s="3" t="s">
        <v>6</v>
      </c>
      <c r="C1000" s="4" t="str">
        <f t="shared" si="79"/>
        <v>Bắc Kạn</v>
      </c>
      <c r="D1000" s="3" t="s">
        <v>122</v>
      </c>
      <c r="E1000" s="4" t="str">
        <f t="shared" si="78"/>
        <v>Huyện Chợ Đồn</v>
      </c>
      <c r="F1000" s="3" t="s">
        <v>1764</v>
      </c>
      <c r="G1000" s="4" t="str">
        <f>HYPERLINK("https://diaocthongthai.com/xa-yen-thinh-cho-don/","Xã Yên Thịnh")</f>
        <v>Xã Yên Thịnh</v>
      </c>
    </row>
    <row r="1001" spans="1:7" x14ac:dyDescent="0.25">
      <c r="A1001" s="2">
        <v>1000</v>
      </c>
      <c r="B1001" s="3" t="s">
        <v>6</v>
      </c>
      <c r="C1001" s="4" t="str">
        <f t="shared" si="79"/>
        <v>Bắc Kạn</v>
      </c>
      <c r="D1001" s="3" t="s">
        <v>122</v>
      </c>
      <c r="E1001" s="4" t="str">
        <f t="shared" si="78"/>
        <v>Huyện Chợ Đồn</v>
      </c>
      <c r="F1001" s="3" t="s">
        <v>1765</v>
      </c>
      <c r="G1001" s="4" t="str">
        <f>HYPERLINK("https://diaocthongthai.com/xa-yen-thuong-cho-don/","Xã Yên Thượng")</f>
        <v>Xã Yên Thượng</v>
      </c>
    </row>
    <row r="1002" spans="1:7" x14ac:dyDescent="0.25">
      <c r="A1002" s="2">
        <v>1001</v>
      </c>
      <c r="B1002" s="3" t="s">
        <v>6</v>
      </c>
      <c r="C1002" s="4" t="str">
        <f t="shared" si="79"/>
        <v>Bắc Kạn</v>
      </c>
      <c r="D1002" s="3" t="s">
        <v>122</v>
      </c>
      <c r="E1002" s="4" t="str">
        <f t="shared" si="78"/>
        <v>Huyện Chợ Đồn</v>
      </c>
      <c r="F1002" s="3" t="s">
        <v>1766</v>
      </c>
      <c r="G1002" s="4" t="str">
        <f>HYPERLINK("https://diaocthongthai.com/xa-phuong-vien-cho-don/","Xã Phương Viên")</f>
        <v>Xã Phương Viên</v>
      </c>
    </row>
    <row r="1003" spans="1:7" x14ac:dyDescent="0.25">
      <c r="A1003" s="2">
        <v>1002</v>
      </c>
      <c r="B1003" s="3" t="s">
        <v>6</v>
      </c>
      <c r="C1003" s="4" t="str">
        <f t="shared" si="79"/>
        <v>Bắc Kạn</v>
      </c>
      <c r="D1003" s="3" t="s">
        <v>122</v>
      </c>
      <c r="E1003" s="4" t="str">
        <f t="shared" si="78"/>
        <v>Huyện Chợ Đồn</v>
      </c>
      <c r="F1003" s="3" t="s">
        <v>1767</v>
      </c>
      <c r="G1003" s="4" t="str">
        <f>HYPERLINK("https://diaocthongthai.com/xa-ngoc-phai-cho-don/","Xã Ngọc Phái")</f>
        <v>Xã Ngọc Phái</v>
      </c>
    </row>
    <row r="1004" spans="1:7" x14ac:dyDescent="0.25">
      <c r="A1004" s="2">
        <v>1003</v>
      </c>
      <c r="B1004" s="3" t="s">
        <v>6</v>
      </c>
      <c r="C1004" s="4" t="str">
        <f t="shared" si="79"/>
        <v>Bắc Kạn</v>
      </c>
      <c r="D1004" s="3" t="s">
        <v>122</v>
      </c>
      <c r="E1004" s="4" t="str">
        <f t="shared" si="78"/>
        <v>Huyện Chợ Đồn</v>
      </c>
      <c r="F1004" s="3" t="s">
        <v>1768</v>
      </c>
      <c r="G1004" s="4" t="str">
        <f>HYPERLINK("https://diaocthongthai.com/xa-dong-thang-cho-don/","Xã Đồng Thắng")</f>
        <v>Xã Đồng Thắng</v>
      </c>
    </row>
    <row r="1005" spans="1:7" x14ac:dyDescent="0.25">
      <c r="A1005" s="2">
        <v>1004</v>
      </c>
      <c r="B1005" s="3" t="s">
        <v>6</v>
      </c>
      <c r="C1005" s="4" t="str">
        <f t="shared" si="79"/>
        <v>Bắc Kạn</v>
      </c>
      <c r="D1005" s="3" t="s">
        <v>122</v>
      </c>
      <c r="E1005" s="4" t="str">
        <f t="shared" si="78"/>
        <v>Huyện Chợ Đồn</v>
      </c>
      <c r="F1005" s="3" t="s">
        <v>1769</v>
      </c>
      <c r="G1005" s="4" t="str">
        <f>HYPERLINK("https://diaocthongthai.com/xa-luong-bang-cho-don/","Xã Lương Bằng")</f>
        <v>Xã Lương Bằng</v>
      </c>
    </row>
    <row r="1006" spans="1:7" x14ac:dyDescent="0.25">
      <c r="A1006" s="2">
        <v>1005</v>
      </c>
      <c r="B1006" s="3" t="s">
        <v>6</v>
      </c>
      <c r="C1006" s="4" t="str">
        <f t="shared" si="79"/>
        <v>Bắc Kạn</v>
      </c>
      <c r="D1006" s="3" t="s">
        <v>122</v>
      </c>
      <c r="E1006" s="4" t="str">
        <f t="shared" si="78"/>
        <v>Huyện Chợ Đồn</v>
      </c>
      <c r="F1006" s="3" t="s">
        <v>1770</v>
      </c>
      <c r="G1006" s="4" t="str">
        <f>HYPERLINK("https://diaocthongthai.com/xa-bang-lang-cho-don/","Xã Bằng Lãng")</f>
        <v>Xã Bằng Lãng</v>
      </c>
    </row>
    <row r="1007" spans="1:7" x14ac:dyDescent="0.25">
      <c r="A1007" s="2">
        <v>1006</v>
      </c>
      <c r="B1007" s="3" t="s">
        <v>6</v>
      </c>
      <c r="C1007" s="4" t="str">
        <f t="shared" si="79"/>
        <v>Bắc Kạn</v>
      </c>
      <c r="D1007" s="3" t="s">
        <v>122</v>
      </c>
      <c r="E1007" s="4" t="str">
        <f t="shared" si="78"/>
        <v>Huyện Chợ Đồn</v>
      </c>
      <c r="F1007" s="3" t="s">
        <v>1771</v>
      </c>
      <c r="G1007" s="4" t="str">
        <f>HYPERLINK("https://diaocthongthai.com/xa-dai-sao-cho-don/","Xã Đại Sảo")</f>
        <v>Xã Đại Sảo</v>
      </c>
    </row>
    <row r="1008" spans="1:7" x14ac:dyDescent="0.25">
      <c r="A1008" s="2">
        <v>1007</v>
      </c>
      <c r="B1008" s="3" t="s">
        <v>6</v>
      </c>
      <c r="C1008" s="4" t="str">
        <f t="shared" si="79"/>
        <v>Bắc Kạn</v>
      </c>
      <c r="D1008" s="3" t="s">
        <v>122</v>
      </c>
      <c r="E1008" s="4" t="str">
        <f t="shared" si="78"/>
        <v>Huyện Chợ Đồn</v>
      </c>
      <c r="F1008" s="3" t="s">
        <v>1772</v>
      </c>
      <c r="G1008" s="4" t="str">
        <f>HYPERLINK("https://diaocthongthai.com/xa-nghia-ta-cho-don/","Xã Nghĩa Tá")</f>
        <v>Xã Nghĩa Tá</v>
      </c>
    </row>
    <row r="1009" spans="1:7" x14ac:dyDescent="0.25">
      <c r="A1009" s="2">
        <v>1008</v>
      </c>
      <c r="B1009" s="3" t="s">
        <v>6</v>
      </c>
      <c r="C1009" s="4" t="str">
        <f t="shared" si="79"/>
        <v>Bắc Kạn</v>
      </c>
      <c r="D1009" s="3" t="s">
        <v>122</v>
      </c>
      <c r="E1009" s="4" t="str">
        <f t="shared" si="78"/>
        <v>Huyện Chợ Đồn</v>
      </c>
      <c r="F1009" s="3" t="s">
        <v>1773</v>
      </c>
      <c r="G1009" s="4" t="str">
        <f>HYPERLINK("https://diaocthongthai.com/xa-yen-my-cho-don/","Xã Yên Mỹ")</f>
        <v>Xã Yên Mỹ</v>
      </c>
    </row>
    <row r="1010" spans="1:7" x14ac:dyDescent="0.25">
      <c r="A1010" s="2">
        <v>1009</v>
      </c>
      <c r="B1010" s="3" t="s">
        <v>6</v>
      </c>
      <c r="C1010" s="4" t="str">
        <f t="shared" si="79"/>
        <v>Bắc Kạn</v>
      </c>
      <c r="D1010" s="3" t="s">
        <v>122</v>
      </c>
      <c r="E1010" s="4" t="str">
        <f t="shared" si="78"/>
        <v>Huyện Chợ Đồn</v>
      </c>
      <c r="F1010" s="3" t="s">
        <v>1774</v>
      </c>
      <c r="G1010" s="4" t="str">
        <f>HYPERLINK("https://diaocthongthai.com/xa-binh-trung-cho-don/","Xã Bình Trung")</f>
        <v>Xã Bình Trung</v>
      </c>
    </row>
    <row r="1011" spans="1:7" x14ac:dyDescent="0.25">
      <c r="A1011" s="2">
        <v>1010</v>
      </c>
      <c r="B1011" s="3" t="s">
        <v>6</v>
      </c>
      <c r="C1011" s="4" t="str">
        <f t="shared" si="79"/>
        <v>Bắc Kạn</v>
      </c>
      <c r="D1011" s="3" t="s">
        <v>122</v>
      </c>
      <c r="E1011" s="4" t="str">
        <f t="shared" si="78"/>
        <v>Huyện Chợ Đồn</v>
      </c>
      <c r="F1011" s="3" t="s">
        <v>1775</v>
      </c>
      <c r="G1011" s="4" t="str">
        <f>HYPERLINK("https://diaocthongthai.com/xa-yen-phong-cho-don/","Xã Yên Phong")</f>
        <v>Xã Yên Phong</v>
      </c>
    </row>
    <row r="1012" spans="1:7" x14ac:dyDescent="0.25">
      <c r="A1012" s="2">
        <v>1011</v>
      </c>
      <c r="B1012" s="3" t="s">
        <v>6</v>
      </c>
      <c r="C1012" s="4" t="str">
        <f t="shared" si="79"/>
        <v>Bắc Kạn</v>
      </c>
      <c r="D1012" s="3" t="s">
        <v>123</v>
      </c>
      <c r="E1012" s="4" t="str">
        <f t="shared" ref="E1012:E1025" si="80">HYPERLINK("https://diaocthongthai.com/ban-do-huyen-cho-moi-bac-kan/","Huyện Chợ Mới")</f>
        <v>Huyện Chợ Mới</v>
      </c>
      <c r="F1012" s="3" t="s">
        <v>1776</v>
      </c>
      <c r="G1012" s="4" t="str">
        <f>HYPERLINK("https://diaocthongthai.com/thi-tran-dong-tam-cho-moi-bac-kan/","Thị trấn Đồng Tâm")</f>
        <v>Thị trấn Đồng Tâm</v>
      </c>
    </row>
    <row r="1013" spans="1:7" x14ac:dyDescent="0.25">
      <c r="A1013" s="2">
        <v>1012</v>
      </c>
      <c r="B1013" s="3" t="s">
        <v>6</v>
      </c>
      <c r="C1013" s="4" t="str">
        <f t="shared" si="79"/>
        <v>Bắc Kạn</v>
      </c>
      <c r="D1013" s="3" t="s">
        <v>123</v>
      </c>
      <c r="E1013" s="4" t="str">
        <f t="shared" si="80"/>
        <v>Huyện Chợ Mới</v>
      </c>
      <c r="F1013" s="3" t="s">
        <v>1777</v>
      </c>
      <c r="G1013" s="4" t="str">
        <f>HYPERLINK("https://diaocthongthai.com/xa-tan-son-cho-moi-bac-kan/","Xã Tân Sơn")</f>
        <v>Xã Tân Sơn</v>
      </c>
    </row>
    <row r="1014" spans="1:7" x14ac:dyDescent="0.25">
      <c r="A1014" s="2">
        <v>1013</v>
      </c>
      <c r="B1014" s="3" t="s">
        <v>6</v>
      </c>
      <c r="C1014" s="4" t="str">
        <f t="shared" si="79"/>
        <v>Bắc Kạn</v>
      </c>
      <c r="D1014" s="3" t="s">
        <v>123</v>
      </c>
      <c r="E1014" s="4" t="str">
        <f t="shared" si="80"/>
        <v>Huyện Chợ Mới</v>
      </c>
      <c r="F1014" s="3" t="s">
        <v>1778</v>
      </c>
      <c r="G1014" s="4" t="str">
        <f>HYPERLINK("https://diaocthongthai.com/xa-thanh-van-cho-moi-bac-kan/","Xã Thanh Vận")</f>
        <v>Xã Thanh Vận</v>
      </c>
    </row>
    <row r="1015" spans="1:7" x14ac:dyDescent="0.25">
      <c r="A1015" s="2">
        <v>1014</v>
      </c>
      <c r="B1015" s="3" t="s">
        <v>6</v>
      </c>
      <c r="C1015" s="4" t="str">
        <f t="shared" si="79"/>
        <v>Bắc Kạn</v>
      </c>
      <c r="D1015" s="3" t="s">
        <v>123</v>
      </c>
      <c r="E1015" s="4" t="str">
        <f t="shared" si="80"/>
        <v>Huyện Chợ Mới</v>
      </c>
      <c r="F1015" s="3" t="s">
        <v>1779</v>
      </c>
      <c r="G1015" s="4" t="str">
        <f>HYPERLINK("https://diaocthongthai.com/xa-mai-lap-cho-moi-bac-kan/","Xã Mai Lạp")</f>
        <v>Xã Mai Lạp</v>
      </c>
    </row>
    <row r="1016" spans="1:7" x14ac:dyDescent="0.25">
      <c r="A1016" s="2">
        <v>1015</v>
      </c>
      <c r="B1016" s="3" t="s">
        <v>6</v>
      </c>
      <c r="C1016" s="4" t="str">
        <f t="shared" si="79"/>
        <v>Bắc Kạn</v>
      </c>
      <c r="D1016" s="3" t="s">
        <v>123</v>
      </c>
      <c r="E1016" s="4" t="str">
        <f t="shared" si="80"/>
        <v>Huyện Chợ Mới</v>
      </c>
      <c r="F1016" s="3" t="s">
        <v>1780</v>
      </c>
      <c r="G1016" s="4" t="str">
        <f>HYPERLINK("https://diaocthongthai.com/xa-hoa-muc-cho-moi-bac-kan/","Xã Hoà Mục")</f>
        <v>Xã Hoà Mục</v>
      </c>
    </row>
    <row r="1017" spans="1:7" x14ac:dyDescent="0.25">
      <c r="A1017" s="2">
        <v>1016</v>
      </c>
      <c r="B1017" s="3" t="s">
        <v>6</v>
      </c>
      <c r="C1017" s="4" t="str">
        <f t="shared" si="79"/>
        <v>Bắc Kạn</v>
      </c>
      <c r="D1017" s="3" t="s">
        <v>123</v>
      </c>
      <c r="E1017" s="4" t="str">
        <f t="shared" si="80"/>
        <v>Huyện Chợ Mới</v>
      </c>
      <c r="F1017" s="3" t="s">
        <v>1781</v>
      </c>
      <c r="G1017" s="4" t="str">
        <f>HYPERLINK("https://diaocthongthai.com/xa-thanh-mai-cho-moi-bac-kan/","Xã Thanh Mai")</f>
        <v>Xã Thanh Mai</v>
      </c>
    </row>
    <row r="1018" spans="1:7" x14ac:dyDescent="0.25">
      <c r="A1018" s="2">
        <v>1017</v>
      </c>
      <c r="B1018" s="3" t="s">
        <v>6</v>
      </c>
      <c r="C1018" s="4" t="str">
        <f t="shared" si="79"/>
        <v>Bắc Kạn</v>
      </c>
      <c r="D1018" s="3" t="s">
        <v>123</v>
      </c>
      <c r="E1018" s="4" t="str">
        <f t="shared" si="80"/>
        <v>Huyện Chợ Mới</v>
      </c>
      <c r="F1018" s="3" t="s">
        <v>1782</v>
      </c>
      <c r="G1018" s="4" t="str">
        <f>HYPERLINK("https://diaocthongthai.com/xa-cao-ky-cho-moi-bac-kan/","Xã Cao Kỳ")</f>
        <v>Xã Cao Kỳ</v>
      </c>
    </row>
    <row r="1019" spans="1:7" x14ac:dyDescent="0.25">
      <c r="A1019" s="2">
        <v>1018</v>
      </c>
      <c r="B1019" s="3" t="s">
        <v>6</v>
      </c>
      <c r="C1019" s="4" t="str">
        <f t="shared" si="79"/>
        <v>Bắc Kạn</v>
      </c>
      <c r="D1019" s="3" t="s">
        <v>123</v>
      </c>
      <c r="E1019" s="4" t="str">
        <f t="shared" si="80"/>
        <v>Huyện Chợ Mới</v>
      </c>
      <c r="F1019" s="3" t="s">
        <v>1783</v>
      </c>
      <c r="G1019" s="4" t="str">
        <f>HYPERLINK("https://diaocthongthai.com/xa-nong-ha-cho-moi-bac-kan/","Xã Nông Hạ")</f>
        <v>Xã Nông Hạ</v>
      </c>
    </row>
    <row r="1020" spans="1:7" x14ac:dyDescent="0.25">
      <c r="A1020" s="2">
        <v>1019</v>
      </c>
      <c r="B1020" s="3" t="s">
        <v>6</v>
      </c>
      <c r="C1020" s="4" t="str">
        <f t="shared" si="79"/>
        <v>Bắc Kạn</v>
      </c>
      <c r="D1020" s="3" t="s">
        <v>123</v>
      </c>
      <c r="E1020" s="4" t="str">
        <f t="shared" si="80"/>
        <v>Huyện Chợ Mới</v>
      </c>
      <c r="F1020" s="3" t="s">
        <v>1784</v>
      </c>
      <c r="G1020" s="4" t="str">
        <f>HYPERLINK("https://diaocthongthai.com/xa-yen-cu-cho-moi-bac-kan/","Xã Yên Cư")</f>
        <v>Xã Yên Cư</v>
      </c>
    </row>
    <row r="1021" spans="1:7" x14ac:dyDescent="0.25">
      <c r="A1021" s="2">
        <v>1020</v>
      </c>
      <c r="B1021" s="3" t="s">
        <v>6</v>
      </c>
      <c r="C1021" s="4" t="str">
        <f t="shared" si="79"/>
        <v>Bắc Kạn</v>
      </c>
      <c r="D1021" s="3" t="s">
        <v>123</v>
      </c>
      <c r="E1021" s="4" t="str">
        <f t="shared" si="80"/>
        <v>Huyện Chợ Mới</v>
      </c>
      <c r="F1021" s="3" t="s">
        <v>1785</v>
      </c>
      <c r="G1021" s="4" t="str">
        <f>HYPERLINK("https://diaocthongthai.com/xa-thanh-thinh-cho-moi-bac-kan/","Xã Thanh Thịnh")</f>
        <v>Xã Thanh Thịnh</v>
      </c>
    </row>
    <row r="1022" spans="1:7" x14ac:dyDescent="0.25">
      <c r="A1022" s="2">
        <v>1021</v>
      </c>
      <c r="B1022" s="3" t="s">
        <v>6</v>
      </c>
      <c r="C1022" s="4" t="str">
        <f t="shared" si="79"/>
        <v>Bắc Kạn</v>
      </c>
      <c r="D1022" s="3" t="s">
        <v>123</v>
      </c>
      <c r="E1022" s="4" t="str">
        <f t="shared" si="80"/>
        <v>Huyện Chợ Mới</v>
      </c>
      <c r="F1022" s="3" t="s">
        <v>1786</v>
      </c>
      <c r="G1022" s="4" t="str">
        <f>HYPERLINK("https://diaocthongthai.com/xa-yen-han-cho-moi-bac-kan/","Xã Yên Hân")</f>
        <v>Xã Yên Hân</v>
      </c>
    </row>
    <row r="1023" spans="1:7" x14ac:dyDescent="0.25">
      <c r="A1023" s="2">
        <v>1022</v>
      </c>
      <c r="B1023" s="3" t="s">
        <v>6</v>
      </c>
      <c r="C1023" s="4" t="str">
        <f t="shared" si="79"/>
        <v>Bắc Kạn</v>
      </c>
      <c r="D1023" s="3" t="s">
        <v>123</v>
      </c>
      <c r="E1023" s="4" t="str">
        <f t="shared" si="80"/>
        <v>Huyện Chợ Mới</v>
      </c>
      <c r="F1023" s="3" t="s">
        <v>1787</v>
      </c>
      <c r="G1023" s="4" t="str">
        <f>HYPERLINK("https://diaocthongthai.com/xa-nhu-co-cho-moi-bac-kan/","Xã Như Cố")</f>
        <v>Xã Như Cố</v>
      </c>
    </row>
    <row r="1024" spans="1:7" x14ac:dyDescent="0.25">
      <c r="A1024" s="2">
        <v>1023</v>
      </c>
      <c r="B1024" s="3" t="s">
        <v>6</v>
      </c>
      <c r="C1024" s="4" t="str">
        <f t="shared" si="79"/>
        <v>Bắc Kạn</v>
      </c>
      <c r="D1024" s="3" t="s">
        <v>123</v>
      </c>
      <c r="E1024" s="4" t="str">
        <f t="shared" si="80"/>
        <v>Huyện Chợ Mới</v>
      </c>
      <c r="F1024" s="3" t="s">
        <v>1788</v>
      </c>
      <c r="G1024" s="4" t="str">
        <f>HYPERLINK("https://diaocthongthai.com/xa-binh-van-cho-moi-bac-kan/","Xã Bình Văn")</f>
        <v>Xã Bình Văn</v>
      </c>
    </row>
    <row r="1025" spans="1:7" x14ac:dyDescent="0.25">
      <c r="A1025" s="2">
        <v>1024</v>
      </c>
      <c r="B1025" s="3" t="s">
        <v>6</v>
      </c>
      <c r="C1025" s="4" t="str">
        <f t="shared" si="79"/>
        <v>Bắc Kạn</v>
      </c>
      <c r="D1025" s="3" t="s">
        <v>123</v>
      </c>
      <c r="E1025" s="4" t="str">
        <f t="shared" si="80"/>
        <v>Huyện Chợ Mới</v>
      </c>
      <c r="F1025" s="3" t="s">
        <v>1789</v>
      </c>
      <c r="G1025" s="4" t="str">
        <f>HYPERLINK("https://diaocthongthai.com/xa-quang-chu-cho-moi-bac-kan/","Xã Quảng Chu")</f>
        <v>Xã Quảng Chu</v>
      </c>
    </row>
    <row r="1026" spans="1:7" x14ac:dyDescent="0.25">
      <c r="A1026" s="2">
        <v>1025</v>
      </c>
      <c r="B1026" s="3" t="s">
        <v>6</v>
      </c>
      <c r="C1026" s="4" t="str">
        <f t="shared" si="79"/>
        <v>Bắc Kạn</v>
      </c>
      <c r="D1026" s="3" t="s">
        <v>124</v>
      </c>
      <c r="E1026" s="4" t="str">
        <f t="shared" ref="E1026:E1042" si="81">HYPERLINK("https://diaocthongthai.com/ban-do-huyen-na-ri-bac-kan/","Huyện Na Rì")</f>
        <v>Huyện Na Rì</v>
      </c>
      <c r="F1026" s="3" t="s">
        <v>1790</v>
      </c>
      <c r="G1026" s="4" t="str">
        <f>HYPERLINK("https://diaocthongthai.com/xa-van-vu-na-ri/","Xã Văn Vũ")</f>
        <v>Xã Văn Vũ</v>
      </c>
    </row>
    <row r="1027" spans="1:7" x14ac:dyDescent="0.25">
      <c r="A1027" s="2">
        <v>1026</v>
      </c>
      <c r="B1027" s="3" t="s">
        <v>6</v>
      </c>
      <c r="C1027" s="4" t="str">
        <f t="shared" si="79"/>
        <v>Bắc Kạn</v>
      </c>
      <c r="D1027" s="3" t="s">
        <v>124</v>
      </c>
      <c r="E1027" s="4" t="str">
        <f t="shared" si="81"/>
        <v>Huyện Na Rì</v>
      </c>
      <c r="F1027" s="3" t="s">
        <v>1791</v>
      </c>
      <c r="G1027" s="4" t="str">
        <f>HYPERLINK("https://diaocthongthai.com/xa-van-lang-na-ri/","Xã Văn Lang")</f>
        <v>Xã Văn Lang</v>
      </c>
    </row>
    <row r="1028" spans="1:7" x14ac:dyDescent="0.25">
      <c r="A1028" s="2">
        <v>1027</v>
      </c>
      <c r="B1028" s="3" t="s">
        <v>6</v>
      </c>
      <c r="C1028" s="4" t="str">
        <f t="shared" si="79"/>
        <v>Bắc Kạn</v>
      </c>
      <c r="D1028" s="3" t="s">
        <v>124</v>
      </c>
      <c r="E1028" s="4" t="str">
        <f t="shared" si="81"/>
        <v>Huyện Na Rì</v>
      </c>
      <c r="F1028" s="3" t="s">
        <v>1792</v>
      </c>
      <c r="G1028" s="4" t="str">
        <f>HYPERLINK("https://diaocthongthai.com/xa-luong-thuong-na-ri/","Xã Lương Thượng")</f>
        <v>Xã Lương Thượng</v>
      </c>
    </row>
    <row r="1029" spans="1:7" x14ac:dyDescent="0.25">
      <c r="A1029" s="2">
        <v>1028</v>
      </c>
      <c r="B1029" s="3" t="s">
        <v>6</v>
      </c>
      <c r="C1029" s="4" t="str">
        <f t="shared" si="79"/>
        <v>Bắc Kạn</v>
      </c>
      <c r="D1029" s="3" t="s">
        <v>124</v>
      </c>
      <c r="E1029" s="4" t="str">
        <f t="shared" si="81"/>
        <v>Huyện Na Rì</v>
      </c>
      <c r="F1029" s="3" t="s">
        <v>1793</v>
      </c>
      <c r="G1029" s="4" t="str">
        <f>HYPERLINK("https://diaocthongthai.com/xa-kim-hy-na-ri/","Xã Kim Hỷ")</f>
        <v>Xã Kim Hỷ</v>
      </c>
    </row>
    <row r="1030" spans="1:7" x14ac:dyDescent="0.25">
      <c r="A1030" s="2">
        <v>1029</v>
      </c>
      <c r="B1030" s="3" t="s">
        <v>6</v>
      </c>
      <c r="C1030" s="4" t="str">
        <f t="shared" si="79"/>
        <v>Bắc Kạn</v>
      </c>
      <c r="D1030" s="3" t="s">
        <v>124</v>
      </c>
      <c r="E1030" s="4" t="str">
        <f t="shared" si="81"/>
        <v>Huyện Na Rì</v>
      </c>
      <c r="F1030" s="3" t="s">
        <v>1794</v>
      </c>
      <c r="G1030" s="4" t="str">
        <f>HYPERLINK("https://diaocthongthai.com/xa-cuong-loi-na-ri/","Xã Cường Lợi")</f>
        <v>Xã Cường Lợi</v>
      </c>
    </row>
    <row r="1031" spans="1:7" x14ac:dyDescent="0.25">
      <c r="A1031" s="2">
        <v>1030</v>
      </c>
      <c r="B1031" s="3" t="s">
        <v>6</v>
      </c>
      <c r="C1031" s="4" t="str">
        <f t="shared" ref="C1031:C1042" si="82">HYPERLINK("https://diaocthongthai.com/ban-do-bac-kan/","Bắc Kạn")</f>
        <v>Bắc Kạn</v>
      </c>
      <c r="D1031" s="3" t="s">
        <v>124</v>
      </c>
      <c r="E1031" s="4" t="str">
        <f t="shared" si="81"/>
        <v>Huyện Na Rì</v>
      </c>
      <c r="F1031" s="3" t="s">
        <v>1795</v>
      </c>
      <c r="G1031" s="4" t="str">
        <f>HYPERLINK("https://diaocthongthai.com/thi-tran-yen-lac-na-ri/","Thị trấn Yến Lạc")</f>
        <v>Thị trấn Yến Lạc</v>
      </c>
    </row>
    <row r="1032" spans="1:7" x14ac:dyDescent="0.25">
      <c r="A1032" s="2">
        <v>1031</v>
      </c>
      <c r="B1032" s="3" t="s">
        <v>6</v>
      </c>
      <c r="C1032" s="4" t="str">
        <f t="shared" si="82"/>
        <v>Bắc Kạn</v>
      </c>
      <c r="D1032" s="3" t="s">
        <v>124</v>
      </c>
      <c r="E1032" s="4" t="str">
        <f t="shared" si="81"/>
        <v>Huyện Na Rì</v>
      </c>
      <c r="F1032" s="3" t="s">
        <v>1796</v>
      </c>
      <c r="G1032" s="4" t="str">
        <f>HYPERLINK("https://diaocthongthai.com/xa-kim-lu-na-ri/","Xã Kim Lư")</f>
        <v>Xã Kim Lư</v>
      </c>
    </row>
    <row r="1033" spans="1:7" x14ac:dyDescent="0.25">
      <c r="A1033" s="2">
        <v>1032</v>
      </c>
      <c r="B1033" s="3" t="s">
        <v>6</v>
      </c>
      <c r="C1033" s="4" t="str">
        <f t="shared" si="82"/>
        <v>Bắc Kạn</v>
      </c>
      <c r="D1033" s="3" t="s">
        <v>124</v>
      </c>
      <c r="E1033" s="4" t="str">
        <f t="shared" si="81"/>
        <v>Huyện Na Rì</v>
      </c>
      <c r="F1033" s="3" t="s">
        <v>1797</v>
      </c>
      <c r="G1033" s="4" t="str">
        <f>HYPERLINK("https://diaocthongthai.com/xa-son-thanh-na-ri/","Xã Sơn Thành")</f>
        <v>Xã Sơn Thành</v>
      </c>
    </row>
    <row r="1034" spans="1:7" x14ac:dyDescent="0.25">
      <c r="A1034" s="2">
        <v>1033</v>
      </c>
      <c r="B1034" s="3" t="s">
        <v>6</v>
      </c>
      <c r="C1034" s="4" t="str">
        <f t="shared" si="82"/>
        <v>Bắc Kạn</v>
      </c>
      <c r="D1034" s="3" t="s">
        <v>124</v>
      </c>
      <c r="E1034" s="4" t="str">
        <f t="shared" si="81"/>
        <v>Huyện Na Rì</v>
      </c>
      <c r="F1034" s="3" t="s">
        <v>1798</v>
      </c>
      <c r="G1034" s="4" t="str">
        <f>HYPERLINK("https://diaocthongthai.com/xa-van-minh-na-ri/","Xã Văn Minh")</f>
        <v>Xã Văn Minh</v>
      </c>
    </row>
    <row r="1035" spans="1:7" x14ac:dyDescent="0.25">
      <c r="A1035" s="2">
        <v>1034</v>
      </c>
      <c r="B1035" s="3" t="s">
        <v>6</v>
      </c>
      <c r="C1035" s="4" t="str">
        <f t="shared" si="82"/>
        <v>Bắc Kạn</v>
      </c>
      <c r="D1035" s="3" t="s">
        <v>124</v>
      </c>
      <c r="E1035" s="4" t="str">
        <f t="shared" si="81"/>
        <v>Huyện Na Rì</v>
      </c>
      <c r="F1035" s="3" t="s">
        <v>1799</v>
      </c>
      <c r="G1035" s="4" t="str">
        <f>HYPERLINK("https://diaocthongthai.com/xa-con-minh-na-ri/","Xã Côn Minh")</f>
        <v>Xã Côn Minh</v>
      </c>
    </row>
    <row r="1036" spans="1:7" x14ac:dyDescent="0.25">
      <c r="A1036" s="2">
        <v>1035</v>
      </c>
      <c r="B1036" s="3" t="s">
        <v>6</v>
      </c>
      <c r="C1036" s="4" t="str">
        <f t="shared" si="82"/>
        <v>Bắc Kạn</v>
      </c>
      <c r="D1036" s="3" t="s">
        <v>124</v>
      </c>
      <c r="E1036" s="4" t="str">
        <f t="shared" si="81"/>
        <v>Huyện Na Rì</v>
      </c>
      <c r="F1036" s="3" t="s">
        <v>1800</v>
      </c>
      <c r="G1036" s="4" t="str">
        <f>HYPERLINK("https://diaocthongthai.com/xa-cu-le-na-ri/","Xã Cư Lễ")</f>
        <v>Xã Cư Lễ</v>
      </c>
    </row>
    <row r="1037" spans="1:7" x14ac:dyDescent="0.25">
      <c r="A1037" s="2">
        <v>1036</v>
      </c>
      <c r="B1037" s="3" t="s">
        <v>6</v>
      </c>
      <c r="C1037" s="4" t="str">
        <f t="shared" si="82"/>
        <v>Bắc Kạn</v>
      </c>
      <c r="D1037" s="3" t="s">
        <v>124</v>
      </c>
      <c r="E1037" s="4" t="str">
        <f t="shared" si="81"/>
        <v>Huyện Na Rì</v>
      </c>
      <c r="F1037" s="3" t="s">
        <v>1801</v>
      </c>
      <c r="G1037" s="4" t="str">
        <f>HYPERLINK("https://diaocthongthai.com/xa-tran-phu-na-ri/","Xã Trần Phú")</f>
        <v>Xã Trần Phú</v>
      </c>
    </row>
    <row r="1038" spans="1:7" x14ac:dyDescent="0.25">
      <c r="A1038" s="2">
        <v>1037</v>
      </c>
      <c r="B1038" s="3" t="s">
        <v>6</v>
      </c>
      <c r="C1038" s="4" t="str">
        <f t="shared" si="82"/>
        <v>Bắc Kạn</v>
      </c>
      <c r="D1038" s="3" t="s">
        <v>124</v>
      </c>
      <c r="E1038" s="4" t="str">
        <f t="shared" si="81"/>
        <v>Huyện Na Rì</v>
      </c>
      <c r="F1038" s="3" t="s">
        <v>1802</v>
      </c>
      <c r="G1038" s="4" t="str">
        <f>HYPERLINK("https://diaocthongthai.com/xa-quang-phong-na-ri/","Xã Quang Phong")</f>
        <v>Xã Quang Phong</v>
      </c>
    </row>
    <row r="1039" spans="1:7" x14ac:dyDescent="0.25">
      <c r="A1039" s="2">
        <v>1038</v>
      </c>
      <c r="B1039" s="3" t="s">
        <v>6</v>
      </c>
      <c r="C1039" s="4" t="str">
        <f t="shared" si="82"/>
        <v>Bắc Kạn</v>
      </c>
      <c r="D1039" s="3" t="s">
        <v>124</v>
      </c>
      <c r="E1039" s="4" t="str">
        <f t="shared" si="81"/>
        <v>Huyện Na Rì</v>
      </c>
      <c r="F1039" s="3" t="s">
        <v>1803</v>
      </c>
      <c r="G1039" s="4" t="str">
        <f>HYPERLINK("https://diaocthongthai.com/xa-duong-son-na-ri/","Xã Dương Sơn")</f>
        <v>Xã Dương Sơn</v>
      </c>
    </row>
    <row r="1040" spans="1:7" x14ac:dyDescent="0.25">
      <c r="A1040" s="2">
        <v>1039</v>
      </c>
      <c r="B1040" s="3" t="s">
        <v>6</v>
      </c>
      <c r="C1040" s="4" t="str">
        <f t="shared" si="82"/>
        <v>Bắc Kạn</v>
      </c>
      <c r="D1040" s="3" t="s">
        <v>124</v>
      </c>
      <c r="E1040" s="4" t="str">
        <f t="shared" si="81"/>
        <v>Huyện Na Rì</v>
      </c>
      <c r="F1040" s="3" t="s">
        <v>1804</v>
      </c>
      <c r="G1040" s="4" t="str">
        <f>HYPERLINK("https://diaocthongthai.com/xa-xuan-duong-na-ri/","Xã Xuân Dương")</f>
        <v>Xã Xuân Dương</v>
      </c>
    </row>
    <row r="1041" spans="1:7" x14ac:dyDescent="0.25">
      <c r="A1041" s="2">
        <v>1040</v>
      </c>
      <c r="B1041" s="3" t="s">
        <v>6</v>
      </c>
      <c r="C1041" s="4" t="str">
        <f t="shared" si="82"/>
        <v>Bắc Kạn</v>
      </c>
      <c r="D1041" s="3" t="s">
        <v>124</v>
      </c>
      <c r="E1041" s="4" t="str">
        <f t="shared" si="81"/>
        <v>Huyện Na Rì</v>
      </c>
      <c r="F1041" s="3" t="s">
        <v>1805</v>
      </c>
      <c r="G1041" s="4" t="str">
        <f>HYPERLINK("https://diaocthongthai.com/xa-dong-xa-na-ri/","Xã Đổng Xá")</f>
        <v>Xã Đổng Xá</v>
      </c>
    </row>
    <row r="1042" spans="1:7" x14ac:dyDescent="0.25">
      <c r="A1042" s="2">
        <v>1041</v>
      </c>
      <c r="B1042" s="3" t="s">
        <v>6</v>
      </c>
      <c r="C1042" s="4" t="str">
        <f t="shared" si="82"/>
        <v>Bắc Kạn</v>
      </c>
      <c r="D1042" s="3" t="s">
        <v>124</v>
      </c>
      <c r="E1042" s="4" t="str">
        <f t="shared" si="81"/>
        <v>Huyện Na Rì</v>
      </c>
      <c r="F1042" s="3" t="s">
        <v>1806</v>
      </c>
      <c r="G1042" s="4" t="str">
        <f>HYPERLINK("https://diaocthongthai.com/xa-liem-thuy-1-na-ri/","Xã Liêm Thuỷ")</f>
        <v>Xã Liêm Thuỷ</v>
      </c>
    </row>
    <row r="1043" spans="1:7" x14ac:dyDescent="0.25">
      <c r="A1043" s="2">
        <v>1042</v>
      </c>
      <c r="B1043" s="3" t="s">
        <v>7</v>
      </c>
      <c r="C1043" s="4" t="str">
        <f t="shared" ref="C1043:C1074" si="83">HYPERLINK("https://diaocthongthai.com/ban-do-tuyen-quang/","Tuyên Quang")</f>
        <v>Tuyên Quang</v>
      </c>
      <c r="D1043" s="3" t="s">
        <v>125</v>
      </c>
      <c r="E1043" s="4" t="str">
        <f t="shared" ref="E1043:E1057" si="84">HYPERLINK("https://diaocthongthai.com/ban-do-tp-tuyen-quang-tuyen-quang/","Thành phố Tuyên Quang")</f>
        <v>Thành phố Tuyên Quang</v>
      </c>
      <c r="F1043" s="3" t="s">
        <v>1807</v>
      </c>
      <c r="G1043" s="4" t="str">
        <f>HYPERLINK("https://diaocthongthai.com/phuong-phan-thiet-tp-tuyen-quang/","Phường Phan Thiết")</f>
        <v>Phường Phan Thiết</v>
      </c>
    </row>
    <row r="1044" spans="1:7" x14ac:dyDescent="0.25">
      <c r="A1044" s="2">
        <v>1043</v>
      </c>
      <c r="B1044" s="3" t="s">
        <v>7</v>
      </c>
      <c r="C1044" s="4" t="str">
        <f t="shared" si="83"/>
        <v>Tuyên Quang</v>
      </c>
      <c r="D1044" s="3" t="s">
        <v>125</v>
      </c>
      <c r="E1044" s="4" t="str">
        <f t="shared" si="84"/>
        <v>Thành phố Tuyên Quang</v>
      </c>
      <c r="F1044" s="3" t="s">
        <v>1808</v>
      </c>
      <c r="G1044" s="4" t="str">
        <f>HYPERLINK("https://diaocthongthai.com/phuong-minh-xuan-tp-tuyen-quang/","Phường Minh Xuân")</f>
        <v>Phường Minh Xuân</v>
      </c>
    </row>
    <row r="1045" spans="1:7" x14ac:dyDescent="0.25">
      <c r="A1045" s="2">
        <v>1044</v>
      </c>
      <c r="B1045" s="3" t="s">
        <v>7</v>
      </c>
      <c r="C1045" s="4" t="str">
        <f t="shared" si="83"/>
        <v>Tuyên Quang</v>
      </c>
      <c r="D1045" s="3" t="s">
        <v>125</v>
      </c>
      <c r="E1045" s="4" t="str">
        <f t="shared" si="84"/>
        <v>Thành phố Tuyên Quang</v>
      </c>
      <c r="F1045" s="3" t="s">
        <v>1809</v>
      </c>
      <c r="G1045" s="4" t="str">
        <f>HYPERLINK("https://diaocthongthai.com/phuong-tan-quang-tp-tuyen-quang/","Phường Tân Quang")</f>
        <v>Phường Tân Quang</v>
      </c>
    </row>
    <row r="1046" spans="1:7" x14ac:dyDescent="0.25">
      <c r="A1046" s="2">
        <v>1045</v>
      </c>
      <c r="B1046" s="3" t="s">
        <v>7</v>
      </c>
      <c r="C1046" s="4" t="str">
        <f t="shared" si="83"/>
        <v>Tuyên Quang</v>
      </c>
      <c r="D1046" s="3" t="s">
        <v>125</v>
      </c>
      <c r="E1046" s="4" t="str">
        <f t="shared" si="84"/>
        <v>Thành phố Tuyên Quang</v>
      </c>
      <c r="F1046" s="3" t="s">
        <v>1810</v>
      </c>
      <c r="G1046" s="4" t="str">
        <f>HYPERLINK("https://diaocthongthai.com/xa-trang-da-tp-tuyen-quang/","Xã Tràng Đà")</f>
        <v>Xã Tràng Đà</v>
      </c>
    </row>
    <row r="1047" spans="1:7" x14ac:dyDescent="0.25">
      <c r="A1047" s="2">
        <v>1046</v>
      </c>
      <c r="B1047" s="3" t="s">
        <v>7</v>
      </c>
      <c r="C1047" s="4" t="str">
        <f t="shared" si="83"/>
        <v>Tuyên Quang</v>
      </c>
      <c r="D1047" s="3" t="s">
        <v>125</v>
      </c>
      <c r="E1047" s="4" t="str">
        <f t="shared" si="84"/>
        <v>Thành phố Tuyên Quang</v>
      </c>
      <c r="F1047" s="3" t="s">
        <v>1811</v>
      </c>
      <c r="G1047" s="4" t="str">
        <f>HYPERLINK("https://diaocthongthai.com/phuong-nong-tien-tp-tuyen-quang/","Phường Nông Tiến")</f>
        <v>Phường Nông Tiến</v>
      </c>
    </row>
    <row r="1048" spans="1:7" x14ac:dyDescent="0.25">
      <c r="A1048" s="2">
        <v>1047</v>
      </c>
      <c r="B1048" s="3" t="s">
        <v>7</v>
      </c>
      <c r="C1048" s="4" t="str">
        <f t="shared" si="83"/>
        <v>Tuyên Quang</v>
      </c>
      <c r="D1048" s="3" t="s">
        <v>125</v>
      </c>
      <c r="E1048" s="4" t="str">
        <f t="shared" si="84"/>
        <v>Thành phố Tuyên Quang</v>
      </c>
      <c r="F1048" s="3" t="s">
        <v>1812</v>
      </c>
      <c r="G1048" s="4" t="str">
        <f>HYPERLINK("https://diaocthongthai.com/phuong-y-la-tp-tuyen-quang/","Phường Ỷ La")</f>
        <v>Phường Ỷ La</v>
      </c>
    </row>
    <row r="1049" spans="1:7" x14ac:dyDescent="0.25">
      <c r="A1049" s="2">
        <v>1048</v>
      </c>
      <c r="B1049" s="3" t="s">
        <v>7</v>
      </c>
      <c r="C1049" s="4" t="str">
        <f t="shared" si="83"/>
        <v>Tuyên Quang</v>
      </c>
      <c r="D1049" s="3" t="s">
        <v>125</v>
      </c>
      <c r="E1049" s="4" t="str">
        <f t="shared" si="84"/>
        <v>Thành phố Tuyên Quang</v>
      </c>
      <c r="F1049" s="3" t="s">
        <v>1813</v>
      </c>
      <c r="G1049" s="4" t="str">
        <f>HYPERLINK("https://diaocthongthai.com/phuong-tan-ha-tp-tuyen-quang/","Phường Tân Hà")</f>
        <v>Phường Tân Hà</v>
      </c>
    </row>
    <row r="1050" spans="1:7" x14ac:dyDescent="0.25">
      <c r="A1050" s="2">
        <v>1049</v>
      </c>
      <c r="B1050" s="3" t="s">
        <v>7</v>
      </c>
      <c r="C1050" s="4" t="str">
        <f t="shared" si="83"/>
        <v>Tuyên Quang</v>
      </c>
      <c r="D1050" s="3" t="s">
        <v>125</v>
      </c>
      <c r="E1050" s="4" t="str">
        <f t="shared" si="84"/>
        <v>Thành phố Tuyên Quang</v>
      </c>
      <c r="F1050" s="3" t="s">
        <v>1814</v>
      </c>
      <c r="G1050" s="4" t="str">
        <f>HYPERLINK("https://diaocthongthai.com/phuong-hung-thanh-tp-tuyen-quang/","Phường Hưng Thành")</f>
        <v>Phường Hưng Thành</v>
      </c>
    </row>
    <row r="1051" spans="1:7" x14ac:dyDescent="0.25">
      <c r="A1051" s="2">
        <v>1050</v>
      </c>
      <c r="B1051" s="3" t="s">
        <v>7</v>
      </c>
      <c r="C1051" s="4" t="str">
        <f t="shared" si="83"/>
        <v>Tuyên Quang</v>
      </c>
      <c r="D1051" s="3" t="s">
        <v>125</v>
      </c>
      <c r="E1051" s="4" t="str">
        <f t="shared" si="84"/>
        <v>Thành phố Tuyên Quang</v>
      </c>
      <c r="F1051" s="3" t="s">
        <v>1815</v>
      </c>
      <c r="G1051" s="4" t="str">
        <f>HYPERLINK("https://diaocthongthai.com/xa-kim-phu-tp-tuyen-quang/","Xã Kim Phú")</f>
        <v>Xã Kim Phú</v>
      </c>
    </row>
    <row r="1052" spans="1:7" x14ac:dyDescent="0.25">
      <c r="A1052" s="2">
        <v>1051</v>
      </c>
      <c r="B1052" s="3" t="s">
        <v>7</v>
      </c>
      <c r="C1052" s="4" t="str">
        <f t="shared" si="83"/>
        <v>Tuyên Quang</v>
      </c>
      <c r="D1052" s="3" t="s">
        <v>125</v>
      </c>
      <c r="E1052" s="4" t="str">
        <f t="shared" si="84"/>
        <v>Thành phố Tuyên Quang</v>
      </c>
      <c r="F1052" s="3" t="s">
        <v>1816</v>
      </c>
      <c r="G1052" s="4" t="str">
        <f>HYPERLINK("https://diaocthongthai.com/xa-an-khang-tp-tuyen-quang/","Xã An Khang")</f>
        <v>Xã An Khang</v>
      </c>
    </row>
    <row r="1053" spans="1:7" x14ac:dyDescent="0.25">
      <c r="A1053" s="2">
        <v>1052</v>
      </c>
      <c r="B1053" s="3" t="s">
        <v>7</v>
      </c>
      <c r="C1053" s="4" t="str">
        <f t="shared" si="83"/>
        <v>Tuyên Quang</v>
      </c>
      <c r="D1053" s="3" t="s">
        <v>125</v>
      </c>
      <c r="E1053" s="4" t="str">
        <f t="shared" si="84"/>
        <v>Thành phố Tuyên Quang</v>
      </c>
      <c r="F1053" s="3" t="s">
        <v>1817</v>
      </c>
      <c r="G1053" s="4" t="str">
        <f>HYPERLINK("https://diaocthongthai.com/phuong-my-lam-tp-tuyen-quang/","Phường Mỹ Lâm")</f>
        <v>Phường Mỹ Lâm</v>
      </c>
    </row>
    <row r="1054" spans="1:7" x14ac:dyDescent="0.25">
      <c r="A1054" s="2">
        <v>1053</v>
      </c>
      <c r="B1054" s="3" t="s">
        <v>7</v>
      </c>
      <c r="C1054" s="4" t="str">
        <f t="shared" si="83"/>
        <v>Tuyên Quang</v>
      </c>
      <c r="D1054" s="3" t="s">
        <v>125</v>
      </c>
      <c r="E1054" s="4" t="str">
        <f t="shared" si="84"/>
        <v>Thành phố Tuyên Quang</v>
      </c>
      <c r="F1054" s="3" t="s">
        <v>1818</v>
      </c>
      <c r="G1054" s="4" t="str">
        <f>HYPERLINK("https://diaocthongthai.com/phuong-an-tuong-tp-tuyen-quang/","Phường An Tường")</f>
        <v>Phường An Tường</v>
      </c>
    </row>
    <row r="1055" spans="1:7" x14ac:dyDescent="0.25">
      <c r="A1055" s="2">
        <v>1054</v>
      </c>
      <c r="B1055" s="3" t="s">
        <v>7</v>
      </c>
      <c r="C1055" s="4" t="str">
        <f t="shared" si="83"/>
        <v>Tuyên Quang</v>
      </c>
      <c r="D1055" s="3" t="s">
        <v>125</v>
      </c>
      <c r="E1055" s="4" t="str">
        <f t="shared" si="84"/>
        <v>Thành phố Tuyên Quang</v>
      </c>
      <c r="F1055" s="3" t="s">
        <v>1819</v>
      </c>
      <c r="G1055" s="4" t="str">
        <f>HYPERLINK("https://diaocthongthai.com/xa-luong-vuong-tp-tuyen-quang/","Xã Lưỡng Vượng")</f>
        <v>Xã Lưỡng Vượng</v>
      </c>
    </row>
    <row r="1056" spans="1:7" x14ac:dyDescent="0.25">
      <c r="A1056" s="2">
        <v>1055</v>
      </c>
      <c r="B1056" s="3" t="s">
        <v>7</v>
      </c>
      <c r="C1056" s="4" t="str">
        <f t="shared" si="83"/>
        <v>Tuyên Quang</v>
      </c>
      <c r="D1056" s="3" t="s">
        <v>125</v>
      </c>
      <c r="E1056" s="4" t="str">
        <f t="shared" si="84"/>
        <v>Thành phố Tuyên Quang</v>
      </c>
      <c r="F1056" s="3" t="s">
        <v>1820</v>
      </c>
      <c r="G1056" s="4" t="str">
        <f>HYPERLINK("https://diaocthongthai.com/xa-thai-long-tp-tuyen-quang/","Xã Thái Long")</f>
        <v>Xã Thái Long</v>
      </c>
    </row>
    <row r="1057" spans="1:7" x14ac:dyDescent="0.25">
      <c r="A1057" s="2">
        <v>1056</v>
      </c>
      <c r="B1057" s="3" t="s">
        <v>7</v>
      </c>
      <c r="C1057" s="4" t="str">
        <f t="shared" si="83"/>
        <v>Tuyên Quang</v>
      </c>
      <c r="D1057" s="3" t="s">
        <v>125</v>
      </c>
      <c r="E1057" s="4" t="str">
        <f t="shared" si="84"/>
        <v>Thành phố Tuyên Quang</v>
      </c>
      <c r="F1057" s="3" t="s">
        <v>1821</v>
      </c>
      <c r="G1057" s="4" t="str">
        <f>HYPERLINK("https://diaocthongthai.com/phuong-doi-can-tp-tuyen-quang/","Phường Đội Cấn")</f>
        <v>Phường Đội Cấn</v>
      </c>
    </row>
    <row r="1058" spans="1:7" x14ac:dyDescent="0.25">
      <c r="A1058" s="2">
        <v>1057</v>
      </c>
      <c r="B1058" s="3" t="s">
        <v>7</v>
      </c>
      <c r="C1058" s="4" t="str">
        <f t="shared" si="83"/>
        <v>Tuyên Quang</v>
      </c>
      <c r="D1058" s="3" t="s">
        <v>126</v>
      </c>
      <c r="E1058" s="4" t="str">
        <f t="shared" ref="E1058:E1065" si="85">HYPERLINK("https://diaocthongthai.com/ban-do-huyen-lam-binh-tuyen-quang/","Huyện Lâm Bình")</f>
        <v>Huyện Lâm Bình</v>
      </c>
      <c r="F1058" s="3" t="s">
        <v>1822</v>
      </c>
      <c r="G1058" s="4" t="str">
        <f>HYPERLINK("https://diaocthongthai.com/xa-phuc-yen-lam-binh/","Xã Phúc Yên")</f>
        <v>Xã Phúc Yên</v>
      </c>
    </row>
    <row r="1059" spans="1:7" x14ac:dyDescent="0.25">
      <c r="A1059" s="2">
        <v>1058</v>
      </c>
      <c r="B1059" s="3" t="s">
        <v>7</v>
      </c>
      <c r="C1059" s="4" t="str">
        <f t="shared" si="83"/>
        <v>Tuyên Quang</v>
      </c>
      <c r="D1059" s="3" t="s">
        <v>126</v>
      </c>
      <c r="E1059" s="4" t="str">
        <f t="shared" si="85"/>
        <v>Huyện Lâm Bình</v>
      </c>
      <c r="F1059" s="3" t="s">
        <v>1823</v>
      </c>
      <c r="G1059" s="4" t="str">
        <f>HYPERLINK("https://diaocthongthai.com/xa-xuan-lap-lam-binh/","Xã Xuân Lập")</f>
        <v>Xã Xuân Lập</v>
      </c>
    </row>
    <row r="1060" spans="1:7" x14ac:dyDescent="0.25">
      <c r="A1060" s="2">
        <v>1059</v>
      </c>
      <c r="B1060" s="3" t="s">
        <v>7</v>
      </c>
      <c r="C1060" s="4" t="str">
        <f t="shared" si="83"/>
        <v>Tuyên Quang</v>
      </c>
      <c r="D1060" s="3" t="s">
        <v>126</v>
      </c>
      <c r="E1060" s="4" t="str">
        <f t="shared" si="85"/>
        <v>Huyện Lâm Bình</v>
      </c>
      <c r="F1060" s="3" t="s">
        <v>1824</v>
      </c>
      <c r="G1060" s="4" t="str">
        <f>HYPERLINK("https://diaocthongthai.com/xa-khuon-ha-lam-binh/","Xã Khuôn Hà")</f>
        <v>Xã Khuôn Hà</v>
      </c>
    </row>
    <row r="1061" spans="1:7" x14ac:dyDescent="0.25">
      <c r="A1061" s="2">
        <v>1060</v>
      </c>
      <c r="B1061" s="3" t="s">
        <v>7</v>
      </c>
      <c r="C1061" s="4" t="str">
        <f t="shared" si="83"/>
        <v>Tuyên Quang</v>
      </c>
      <c r="D1061" s="3" t="s">
        <v>126</v>
      </c>
      <c r="E1061" s="4" t="str">
        <f t="shared" si="85"/>
        <v>Huyện Lâm Bình</v>
      </c>
      <c r="F1061" s="3" t="s">
        <v>1825</v>
      </c>
      <c r="G1061" s="4" t="str">
        <f>HYPERLINK("https://diaocthongthai.com/xa-lang-can-lam-binh/","Thị trấn Lăng Can")</f>
        <v>Thị trấn Lăng Can</v>
      </c>
    </row>
    <row r="1062" spans="1:7" x14ac:dyDescent="0.25">
      <c r="A1062" s="2">
        <v>1061</v>
      </c>
      <c r="B1062" s="3" t="s">
        <v>7</v>
      </c>
      <c r="C1062" s="4" t="str">
        <f t="shared" si="83"/>
        <v>Tuyên Quang</v>
      </c>
      <c r="D1062" s="3" t="s">
        <v>126</v>
      </c>
      <c r="E1062" s="4" t="str">
        <f t="shared" si="85"/>
        <v>Huyện Lâm Bình</v>
      </c>
      <c r="F1062" s="3" t="s">
        <v>1826</v>
      </c>
      <c r="G1062" s="4" t="str">
        <f>HYPERLINK("https://diaocthongthai.com/xa-thuong-lam-lam-binh/","Xã Thượng Lâm")</f>
        <v>Xã Thượng Lâm</v>
      </c>
    </row>
    <row r="1063" spans="1:7" x14ac:dyDescent="0.25">
      <c r="A1063" s="2">
        <v>1062</v>
      </c>
      <c r="B1063" s="3" t="s">
        <v>7</v>
      </c>
      <c r="C1063" s="4" t="str">
        <f t="shared" si="83"/>
        <v>Tuyên Quang</v>
      </c>
      <c r="D1063" s="3" t="s">
        <v>126</v>
      </c>
      <c r="E1063" s="4" t="str">
        <f t="shared" si="85"/>
        <v>Huyện Lâm Bình</v>
      </c>
      <c r="F1063" s="3" t="s">
        <v>1827</v>
      </c>
      <c r="G1063" s="4" t="str">
        <f>HYPERLINK("https://diaocthongthai.com/xa-binh-an-lam-binh/","Xã Bình An")</f>
        <v>Xã Bình An</v>
      </c>
    </row>
    <row r="1064" spans="1:7" x14ac:dyDescent="0.25">
      <c r="A1064" s="2">
        <v>1063</v>
      </c>
      <c r="B1064" s="3" t="s">
        <v>7</v>
      </c>
      <c r="C1064" s="4" t="str">
        <f t="shared" si="83"/>
        <v>Tuyên Quang</v>
      </c>
      <c r="D1064" s="3" t="s">
        <v>126</v>
      </c>
      <c r="E1064" s="4" t="str">
        <f t="shared" si="85"/>
        <v>Huyện Lâm Bình</v>
      </c>
      <c r="F1064" s="3" t="s">
        <v>1828</v>
      </c>
      <c r="G1064" s="4" t="str">
        <f>HYPERLINK("https://diaocthongthai.com/xa-hong-quang-lam-binh/","Xã Hồng Quang")</f>
        <v>Xã Hồng Quang</v>
      </c>
    </row>
    <row r="1065" spans="1:7" x14ac:dyDescent="0.25">
      <c r="A1065" s="2">
        <v>1064</v>
      </c>
      <c r="B1065" s="3" t="s">
        <v>7</v>
      </c>
      <c r="C1065" s="4" t="str">
        <f t="shared" si="83"/>
        <v>Tuyên Quang</v>
      </c>
      <c r="D1065" s="3" t="s">
        <v>126</v>
      </c>
      <c r="E1065" s="4" t="str">
        <f t="shared" si="85"/>
        <v>Huyện Lâm Bình</v>
      </c>
      <c r="F1065" s="3" t="s">
        <v>1829</v>
      </c>
      <c r="G1065" s="4" t="str">
        <f>HYPERLINK("https://diaocthongthai.com/xa-tho-binh-lam-binh/","Xã Thổ Bình")</f>
        <v>Xã Thổ Bình</v>
      </c>
    </row>
    <row r="1066" spans="1:7" x14ac:dyDescent="0.25">
      <c r="A1066" s="2">
        <v>1065</v>
      </c>
      <c r="B1066" s="3" t="s">
        <v>7</v>
      </c>
      <c r="C1066" s="4" t="str">
        <f t="shared" si="83"/>
        <v>Tuyên Quang</v>
      </c>
      <c r="D1066" s="3" t="s">
        <v>126</v>
      </c>
      <c r="E1066" s="4" t="str">
        <f>HYPERLINK("https://diaocthongthai.com/ban-do-huyen-chiem-hoa-tuyen-quang/","Huyện Lâm Bình")</f>
        <v>Huyện Lâm Bình</v>
      </c>
      <c r="F1066" s="3" t="s">
        <v>1830</v>
      </c>
      <c r="G1066" s="4" t="str">
        <f>HYPERLINK("https://diaocthongthai.com/xa-phuc-son-chiem-hoa/","Xã Phúc Sơn")</f>
        <v>Xã Phúc Sơn</v>
      </c>
    </row>
    <row r="1067" spans="1:7" x14ac:dyDescent="0.25">
      <c r="A1067" s="2">
        <v>1066</v>
      </c>
      <c r="B1067" s="3" t="s">
        <v>7</v>
      </c>
      <c r="C1067" s="4" t="str">
        <f t="shared" si="83"/>
        <v>Tuyên Quang</v>
      </c>
      <c r="D1067" s="3" t="s">
        <v>126</v>
      </c>
      <c r="E1067" s="4" t="str">
        <f>HYPERLINK("https://diaocthongthai.com/ban-do-huyen-chiem-hoa-tuyen-quang/","Huyện Lâm Bình")</f>
        <v>Huyện Lâm Bình</v>
      </c>
      <c r="F1067" s="3" t="s">
        <v>1831</v>
      </c>
      <c r="G1067" s="4" t="str">
        <f>HYPERLINK("https://diaocthongthai.com/xa-minh-quang-chiem-hoa/","Xã Minh Quang")</f>
        <v>Xã Minh Quang</v>
      </c>
    </row>
    <row r="1068" spans="1:7" x14ac:dyDescent="0.25">
      <c r="A1068" s="2">
        <v>1067</v>
      </c>
      <c r="B1068" s="3" t="s">
        <v>7</v>
      </c>
      <c r="C1068" s="4" t="str">
        <f t="shared" si="83"/>
        <v>Tuyên Quang</v>
      </c>
      <c r="D1068" s="3" t="s">
        <v>127</v>
      </c>
      <c r="E1068" s="4" t="str">
        <f t="shared" ref="E1068:E1079" si="86">HYPERLINK("https://diaocthongthai.com/ban-do-huyen-na-hang-tuyen-quang/","Huyện Na Hang")</f>
        <v>Huyện Na Hang</v>
      </c>
      <c r="F1068" s="3" t="s">
        <v>1832</v>
      </c>
      <c r="G1068" s="4" t="str">
        <f>HYPERLINK("https://diaocthongthai.com/thi-tran-na-hang-na-hang/","Thị trấn Na Hang")</f>
        <v>Thị trấn Na Hang</v>
      </c>
    </row>
    <row r="1069" spans="1:7" x14ac:dyDescent="0.25">
      <c r="A1069" s="2">
        <v>1068</v>
      </c>
      <c r="B1069" s="3" t="s">
        <v>7</v>
      </c>
      <c r="C1069" s="4" t="str">
        <f t="shared" si="83"/>
        <v>Tuyên Quang</v>
      </c>
      <c r="D1069" s="3" t="s">
        <v>127</v>
      </c>
      <c r="E1069" s="4" t="str">
        <f t="shared" si="86"/>
        <v>Huyện Na Hang</v>
      </c>
      <c r="F1069" s="3" t="s">
        <v>1833</v>
      </c>
      <c r="G1069" s="4" t="str">
        <f>HYPERLINK("https://diaocthongthai.com/xa-sinh-long-na-hang/","Xã Sinh Long")</f>
        <v>Xã Sinh Long</v>
      </c>
    </row>
    <row r="1070" spans="1:7" x14ac:dyDescent="0.25">
      <c r="A1070" s="2">
        <v>1069</v>
      </c>
      <c r="B1070" s="3" t="s">
        <v>7</v>
      </c>
      <c r="C1070" s="4" t="str">
        <f t="shared" si="83"/>
        <v>Tuyên Quang</v>
      </c>
      <c r="D1070" s="3" t="s">
        <v>127</v>
      </c>
      <c r="E1070" s="4" t="str">
        <f t="shared" si="86"/>
        <v>Huyện Na Hang</v>
      </c>
      <c r="F1070" s="3" t="s">
        <v>1834</v>
      </c>
      <c r="G1070" s="4" t="str">
        <f>HYPERLINK("https://diaocthongthai.com/xa-thuong-giap-na-hang/","Xã Thượng Giáp")</f>
        <v>Xã Thượng Giáp</v>
      </c>
    </row>
    <row r="1071" spans="1:7" x14ac:dyDescent="0.25">
      <c r="A1071" s="2">
        <v>1070</v>
      </c>
      <c r="B1071" s="3" t="s">
        <v>7</v>
      </c>
      <c r="C1071" s="4" t="str">
        <f t="shared" si="83"/>
        <v>Tuyên Quang</v>
      </c>
      <c r="D1071" s="3" t="s">
        <v>127</v>
      </c>
      <c r="E1071" s="4" t="str">
        <f t="shared" si="86"/>
        <v>Huyện Na Hang</v>
      </c>
      <c r="F1071" s="3" t="s">
        <v>1835</v>
      </c>
      <c r="G1071" s="4" t="str">
        <f>HYPERLINK("https://diaocthongthai.com/xa-thuong-nong-na-hang/","Xã Thượng Nông")</f>
        <v>Xã Thượng Nông</v>
      </c>
    </row>
    <row r="1072" spans="1:7" x14ac:dyDescent="0.25">
      <c r="A1072" s="2">
        <v>1071</v>
      </c>
      <c r="B1072" s="3" t="s">
        <v>7</v>
      </c>
      <c r="C1072" s="4" t="str">
        <f t="shared" si="83"/>
        <v>Tuyên Quang</v>
      </c>
      <c r="D1072" s="3" t="s">
        <v>127</v>
      </c>
      <c r="E1072" s="4" t="str">
        <f t="shared" si="86"/>
        <v>Huyện Na Hang</v>
      </c>
      <c r="F1072" s="3" t="s">
        <v>1836</v>
      </c>
      <c r="G1072" s="4" t="str">
        <f>HYPERLINK("https://diaocthongthai.com/xa-con-lon-na-hang/","Xã Côn Lôn")</f>
        <v>Xã Côn Lôn</v>
      </c>
    </row>
    <row r="1073" spans="1:7" x14ac:dyDescent="0.25">
      <c r="A1073" s="2">
        <v>1072</v>
      </c>
      <c r="B1073" s="3" t="s">
        <v>7</v>
      </c>
      <c r="C1073" s="4" t="str">
        <f t="shared" si="83"/>
        <v>Tuyên Quang</v>
      </c>
      <c r="D1073" s="3" t="s">
        <v>127</v>
      </c>
      <c r="E1073" s="4" t="str">
        <f t="shared" si="86"/>
        <v>Huyện Na Hang</v>
      </c>
      <c r="F1073" s="3" t="s">
        <v>1837</v>
      </c>
      <c r="G1073" s="4" t="str">
        <f>HYPERLINK("https://diaocthongthai.com/xa-yen-hoa-na-hang/","Xã Yên Hoa")</f>
        <v>Xã Yên Hoa</v>
      </c>
    </row>
    <row r="1074" spans="1:7" x14ac:dyDescent="0.25">
      <c r="A1074" s="2">
        <v>1073</v>
      </c>
      <c r="B1074" s="3" t="s">
        <v>7</v>
      </c>
      <c r="C1074" s="4" t="str">
        <f t="shared" si="83"/>
        <v>Tuyên Quang</v>
      </c>
      <c r="D1074" s="3" t="s">
        <v>127</v>
      </c>
      <c r="E1074" s="4" t="str">
        <f t="shared" si="86"/>
        <v>Huyện Na Hang</v>
      </c>
      <c r="F1074" s="3" t="s">
        <v>1838</v>
      </c>
      <c r="G1074" s="4" t="str">
        <f>HYPERLINK("https://diaocthongthai.com/xa-hong-thai-na-hang/","Xã Hồng Thái")</f>
        <v>Xã Hồng Thái</v>
      </c>
    </row>
    <row r="1075" spans="1:7" x14ac:dyDescent="0.25">
      <c r="A1075" s="2">
        <v>1074</v>
      </c>
      <c r="B1075" s="3" t="s">
        <v>7</v>
      </c>
      <c r="C1075" s="4" t="str">
        <f t="shared" ref="C1075:C1106" si="87">HYPERLINK("https://diaocthongthai.com/ban-do-tuyen-quang/","Tuyên Quang")</f>
        <v>Tuyên Quang</v>
      </c>
      <c r="D1075" s="3" t="s">
        <v>127</v>
      </c>
      <c r="E1075" s="4" t="str">
        <f t="shared" si="86"/>
        <v>Huyện Na Hang</v>
      </c>
      <c r="F1075" s="3" t="s">
        <v>1839</v>
      </c>
      <c r="G1075" s="4" t="str">
        <f>HYPERLINK("https://diaocthongthai.com/xa-da-vi-na-hang/","Xã Đà Vị")</f>
        <v>Xã Đà Vị</v>
      </c>
    </row>
    <row r="1076" spans="1:7" x14ac:dyDescent="0.25">
      <c r="A1076" s="2">
        <v>1075</v>
      </c>
      <c r="B1076" s="3" t="s">
        <v>7</v>
      </c>
      <c r="C1076" s="4" t="str">
        <f t="shared" si="87"/>
        <v>Tuyên Quang</v>
      </c>
      <c r="D1076" s="3" t="s">
        <v>127</v>
      </c>
      <c r="E1076" s="4" t="str">
        <f t="shared" si="86"/>
        <v>Huyện Na Hang</v>
      </c>
      <c r="F1076" s="3" t="s">
        <v>1840</v>
      </c>
      <c r="G1076" s="4" t="str">
        <f>HYPERLINK("https://diaocthongthai.com/xa-khau-tinh-na-hang/","Xã Khau Tinh")</f>
        <v>Xã Khau Tinh</v>
      </c>
    </row>
    <row r="1077" spans="1:7" x14ac:dyDescent="0.25">
      <c r="A1077" s="2">
        <v>1076</v>
      </c>
      <c r="B1077" s="3" t="s">
        <v>7</v>
      </c>
      <c r="C1077" s="4" t="str">
        <f t="shared" si="87"/>
        <v>Tuyên Quang</v>
      </c>
      <c r="D1077" s="3" t="s">
        <v>127</v>
      </c>
      <c r="E1077" s="4" t="str">
        <f t="shared" si="86"/>
        <v>Huyện Na Hang</v>
      </c>
      <c r="F1077" s="3" t="s">
        <v>1841</v>
      </c>
      <c r="G1077" s="4" t="str">
        <f>HYPERLINK("https://diaocthongthai.com/xa-son-phu-na-hang/","Xã Sơn Phú")</f>
        <v>Xã Sơn Phú</v>
      </c>
    </row>
    <row r="1078" spans="1:7" x14ac:dyDescent="0.25">
      <c r="A1078" s="2">
        <v>1077</v>
      </c>
      <c r="B1078" s="3" t="s">
        <v>7</v>
      </c>
      <c r="C1078" s="4" t="str">
        <f t="shared" si="87"/>
        <v>Tuyên Quang</v>
      </c>
      <c r="D1078" s="3" t="s">
        <v>127</v>
      </c>
      <c r="E1078" s="4" t="str">
        <f t="shared" si="86"/>
        <v>Huyện Na Hang</v>
      </c>
      <c r="F1078" s="3" t="s">
        <v>1842</v>
      </c>
      <c r="G1078" s="4" t="str">
        <f>HYPERLINK("https://diaocthongthai.com/xa-nang-kha-na-hang/","Xã Năng Khả")</f>
        <v>Xã Năng Khả</v>
      </c>
    </row>
    <row r="1079" spans="1:7" x14ac:dyDescent="0.25">
      <c r="A1079" s="2">
        <v>1078</v>
      </c>
      <c r="B1079" s="3" t="s">
        <v>7</v>
      </c>
      <c r="C1079" s="4" t="str">
        <f t="shared" si="87"/>
        <v>Tuyên Quang</v>
      </c>
      <c r="D1079" s="3" t="s">
        <v>127</v>
      </c>
      <c r="E1079" s="4" t="str">
        <f t="shared" si="86"/>
        <v>Huyện Na Hang</v>
      </c>
      <c r="F1079" s="3" t="s">
        <v>1843</v>
      </c>
      <c r="G1079" s="4" t="str">
        <f>HYPERLINK("https://diaocthongthai.com/xa-thanh-tuong-na-hang/","Xã Thanh Tương")</f>
        <v>Xã Thanh Tương</v>
      </c>
    </row>
    <row r="1080" spans="1:7" x14ac:dyDescent="0.25">
      <c r="A1080" s="2">
        <v>1079</v>
      </c>
      <c r="B1080" s="3" t="s">
        <v>7</v>
      </c>
      <c r="C1080" s="4" t="str">
        <f t="shared" si="87"/>
        <v>Tuyên Quang</v>
      </c>
      <c r="D1080" s="3" t="s">
        <v>128</v>
      </c>
      <c r="E1080" s="4" t="str">
        <f t="shared" ref="E1080:E1103" si="88">HYPERLINK("https://diaocthongthai.com/ban-do-huyen-chiem-hoa-tuyen-quang/","Huyện Chiêm Hóa")</f>
        <v>Huyện Chiêm Hóa</v>
      </c>
      <c r="F1080" s="3" t="s">
        <v>1844</v>
      </c>
      <c r="G1080" s="4" t="str">
        <f>HYPERLINK("https://diaocthongthai.com/thi-tran-vinh-loc-chiem-hoa/","Thị trấn Vĩnh Lộc")</f>
        <v>Thị trấn Vĩnh Lộc</v>
      </c>
    </row>
    <row r="1081" spans="1:7" x14ac:dyDescent="0.25">
      <c r="A1081" s="2">
        <v>1080</v>
      </c>
      <c r="B1081" s="3" t="s">
        <v>7</v>
      </c>
      <c r="C1081" s="4" t="str">
        <f t="shared" si="87"/>
        <v>Tuyên Quang</v>
      </c>
      <c r="D1081" s="3" t="s">
        <v>128</v>
      </c>
      <c r="E1081" s="4" t="str">
        <f t="shared" si="88"/>
        <v>Huyện Chiêm Hóa</v>
      </c>
      <c r="F1081" s="3" t="s">
        <v>1845</v>
      </c>
      <c r="G1081" s="4" t="str">
        <f>HYPERLINK("https://diaocthongthai.com/xa-trung-ha-chiem-hoa/","Xã Trung Hà")</f>
        <v>Xã Trung Hà</v>
      </c>
    </row>
    <row r="1082" spans="1:7" x14ac:dyDescent="0.25">
      <c r="A1082" s="2">
        <v>1081</v>
      </c>
      <c r="B1082" s="3" t="s">
        <v>7</v>
      </c>
      <c r="C1082" s="4" t="str">
        <f t="shared" si="87"/>
        <v>Tuyên Quang</v>
      </c>
      <c r="D1082" s="3" t="s">
        <v>128</v>
      </c>
      <c r="E1082" s="4" t="str">
        <f t="shared" si="88"/>
        <v>Huyện Chiêm Hóa</v>
      </c>
      <c r="F1082" s="3" t="s">
        <v>1846</v>
      </c>
      <c r="G1082" s="4" t="str">
        <f>HYPERLINK("https://diaocthongthai.com/xa-tan-my-chiem-hoa/","Xã Tân Mỹ")</f>
        <v>Xã Tân Mỹ</v>
      </c>
    </row>
    <row r="1083" spans="1:7" x14ac:dyDescent="0.25">
      <c r="A1083" s="2">
        <v>1082</v>
      </c>
      <c r="B1083" s="3" t="s">
        <v>7</v>
      </c>
      <c r="C1083" s="4" t="str">
        <f t="shared" si="87"/>
        <v>Tuyên Quang</v>
      </c>
      <c r="D1083" s="3" t="s">
        <v>128</v>
      </c>
      <c r="E1083" s="4" t="str">
        <f t="shared" si="88"/>
        <v>Huyện Chiêm Hóa</v>
      </c>
      <c r="F1083" s="3" t="s">
        <v>1847</v>
      </c>
      <c r="G1083" s="4" t="str">
        <f>HYPERLINK("https://diaocthongthai.com/xa-ha-lang-chiem-hoa/","Xã Hà Lang")</f>
        <v>Xã Hà Lang</v>
      </c>
    </row>
    <row r="1084" spans="1:7" x14ac:dyDescent="0.25">
      <c r="A1084" s="2">
        <v>1083</v>
      </c>
      <c r="B1084" s="3" t="s">
        <v>7</v>
      </c>
      <c r="C1084" s="4" t="str">
        <f t="shared" si="87"/>
        <v>Tuyên Quang</v>
      </c>
      <c r="D1084" s="3" t="s">
        <v>128</v>
      </c>
      <c r="E1084" s="4" t="str">
        <f t="shared" si="88"/>
        <v>Huyện Chiêm Hóa</v>
      </c>
      <c r="F1084" s="3" t="s">
        <v>1848</v>
      </c>
      <c r="G1084" s="4" t="str">
        <f>HYPERLINK("https://diaocthongthai.com/xa-hung-my-chiem-hoa/","Xã Hùng Mỹ")</f>
        <v>Xã Hùng Mỹ</v>
      </c>
    </row>
    <row r="1085" spans="1:7" x14ac:dyDescent="0.25">
      <c r="A1085" s="2">
        <v>1084</v>
      </c>
      <c r="B1085" s="3" t="s">
        <v>7</v>
      </c>
      <c r="C1085" s="4" t="str">
        <f t="shared" si="87"/>
        <v>Tuyên Quang</v>
      </c>
      <c r="D1085" s="3" t="s">
        <v>128</v>
      </c>
      <c r="E1085" s="4" t="str">
        <f t="shared" si="88"/>
        <v>Huyện Chiêm Hóa</v>
      </c>
      <c r="F1085" s="3" t="s">
        <v>1849</v>
      </c>
      <c r="G1085" s="4" t="str">
        <f>HYPERLINK("https://diaocthongthai.com/xa-yen-lap-chiem-hoa/","Xã Yên Lập")</f>
        <v>Xã Yên Lập</v>
      </c>
    </row>
    <row r="1086" spans="1:7" x14ac:dyDescent="0.25">
      <c r="A1086" s="2">
        <v>1085</v>
      </c>
      <c r="B1086" s="3" t="s">
        <v>7</v>
      </c>
      <c r="C1086" s="4" t="str">
        <f t="shared" si="87"/>
        <v>Tuyên Quang</v>
      </c>
      <c r="D1086" s="3" t="s">
        <v>128</v>
      </c>
      <c r="E1086" s="4" t="str">
        <f t="shared" si="88"/>
        <v>Huyện Chiêm Hóa</v>
      </c>
      <c r="F1086" s="3" t="s">
        <v>1850</v>
      </c>
      <c r="G1086" s="4" t="str">
        <f>HYPERLINK("https://diaocthongthai.com/xa-tan-an-chiem-hoa/","Xã Tân An")</f>
        <v>Xã Tân An</v>
      </c>
    </row>
    <row r="1087" spans="1:7" x14ac:dyDescent="0.25">
      <c r="A1087" s="2">
        <v>1086</v>
      </c>
      <c r="B1087" s="3" t="s">
        <v>7</v>
      </c>
      <c r="C1087" s="4" t="str">
        <f t="shared" si="87"/>
        <v>Tuyên Quang</v>
      </c>
      <c r="D1087" s="3" t="s">
        <v>128</v>
      </c>
      <c r="E1087" s="4" t="str">
        <f t="shared" si="88"/>
        <v>Huyện Chiêm Hóa</v>
      </c>
      <c r="F1087" s="3" t="s">
        <v>1851</v>
      </c>
      <c r="G1087" s="4" t="str">
        <f>HYPERLINK("https://diaocthongthai.com/xa-binh-phu-chiem-hoa/","Xã Bình Phú")</f>
        <v>Xã Bình Phú</v>
      </c>
    </row>
    <row r="1088" spans="1:7" x14ac:dyDescent="0.25">
      <c r="A1088" s="2">
        <v>1087</v>
      </c>
      <c r="B1088" s="3" t="s">
        <v>7</v>
      </c>
      <c r="C1088" s="4" t="str">
        <f t="shared" si="87"/>
        <v>Tuyên Quang</v>
      </c>
      <c r="D1088" s="3" t="s">
        <v>128</v>
      </c>
      <c r="E1088" s="4" t="str">
        <f t="shared" si="88"/>
        <v>Huyện Chiêm Hóa</v>
      </c>
      <c r="F1088" s="3" t="s">
        <v>1852</v>
      </c>
      <c r="G1088" s="4" t="str">
        <f>HYPERLINK("https://diaocthongthai.com/xa-xuan-quang-chiem-hoa/","Xã Xuân Quang")</f>
        <v>Xã Xuân Quang</v>
      </c>
    </row>
    <row r="1089" spans="1:7" x14ac:dyDescent="0.25">
      <c r="A1089" s="2">
        <v>1088</v>
      </c>
      <c r="B1089" s="3" t="s">
        <v>7</v>
      </c>
      <c r="C1089" s="4" t="str">
        <f t="shared" si="87"/>
        <v>Tuyên Quang</v>
      </c>
      <c r="D1089" s="3" t="s">
        <v>128</v>
      </c>
      <c r="E1089" s="4" t="str">
        <f t="shared" si="88"/>
        <v>Huyện Chiêm Hóa</v>
      </c>
      <c r="F1089" s="3" t="s">
        <v>1853</v>
      </c>
      <c r="G1089" s="4" t="str">
        <f>HYPERLINK("https://diaocthongthai.com/xa-ngoc-hoi-chiem-hoa/","Xã Ngọc Hội")</f>
        <v>Xã Ngọc Hội</v>
      </c>
    </row>
    <row r="1090" spans="1:7" x14ac:dyDescent="0.25">
      <c r="A1090" s="2">
        <v>1089</v>
      </c>
      <c r="B1090" s="3" t="s">
        <v>7</v>
      </c>
      <c r="C1090" s="4" t="str">
        <f t="shared" si="87"/>
        <v>Tuyên Quang</v>
      </c>
      <c r="D1090" s="3" t="s">
        <v>128</v>
      </c>
      <c r="E1090" s="4" t="str">
        <f t="shared" si="88"/>
        <v>Huyện Chiêm Hóa</v>
      </c>
      <c r="F1090" s="3" t="s">
        <v>1854</v>
      </c>
      <c r="G1090" s="4" t="str">
        <f>HYPERLINK("https://diaocthongthai.com/xa-phu-binh-chiem-hoa/","Xã Phú Bình")</f>
        <v>Xã Phú Bình</v>
      </c>
    </row>
    <row r="1091" spans="1:7" x14ac:dyDescent="0.25">
      <c r="A1091" s="2">
        <v>1090</v>
      </c>
      <c r="B1091" s="3" t="s">
        <v>7</v>
      </c>
      <c r="C1091" s="4" t="str">
        <f t="shared" si="87"/>
        <v>Tuyên Quang</v>
      </c>
      <c r="D1091" s="3" t="s">
        <v>128</v>
      </c>
      <c r="E1091" s="4" t="str">
        <f t="shared" si="88"/>
        <v>Huyện Chiêm Hóa</v>
      </c>
      <c r="F1091" s="3" t="s">
        <v>1855</v>
      </c>
      <c r="G1091" s="4" t="str">
        <f>HYPERLINK("https://diaocthongthai.com/xa-hoa-phu-chiem-hoa/","Xã Hòa Phú")</f>
        <v>Xã Hòa Phú</v>
      </c>
    </row>
    <row r="1092" spans="1:7" x14ac:dyDescent="0.25">
      <c r="A1092" s="2">
        <v>1091</v>
      </c>
      <c r="B1092" s="3" t="s">
        <v>7</v>
      </c>
      <c r="C1092" s="4" t="str">
        <f t="shared" si="87"/>
        <v>Tuyên Quang</v>
      </c>
      <c r="D1092" s="3" t="s">
        <v>128</v>
      </c>
      <c r="E1092" s="4" t="str">
        <f t="shared" si="88"/>
        <v>Huyện Chiêm Hóa</v>
      </c>
      <c r="F1092" s="3" t="s">
        <v>1856</v>
      </c>
      <c r="G1092" s="4" t="str">
        <f>HYPERLINK("https://diaocthongthai.com/xa-phuc-thinh-chiem-hoa/","Xã Phúc Thịnh")</f>
        <v>Xã Phúc Thịnh</v>
      </c>
    </row>
    <row r="1093" spans="1:7" x14ac:dyDescent="0.25">
      <c r="A1093" s="2">
        <v>1092</v>
      </c>
      <c r="B1093" s="3" t="s">
        <v>7</v>
      </c>
      <c r="C1093" s="4" t="str">
        <f t="shared" si="87"/>
        <v>Tuyên Quang</v>
      </c>
      <c r="D1093" s="3" t="s">
        <v>128</v>
      </c>
      <c r="E1093" s="4" t="str">
        <f t="shared" si="88"/>
        <v>Huyện Chiêm Hóa</v>
      </c>
      <c r="F1093" s="3" t="s">
        <v>1857</v>
      </c>
      <c r="G1093" s="4" t="str">
        <f>HYPERLINK("https://diaocthongthai.com/xa-kien-dai-chiem-hoa/","Xã Kiên Đài")</f>
        <v>Xã Kiên Đài</v>
      </c>
    </row>
    <row r="1094" spans="1:7" x14ac:dyDescent="0.25">
      <c r="A1094" s="2">
        <v>1093</v>
      </c>
      <c r="B1094" s="3" t="s">
        <v>7</v>
      </c>
      <c r="C1094" s="4" t="str">
        <f t="shared" si="87"/>
        <v>Tuyên Quang</v>
      </c>
      <c r="D1094" s="3" t="s">
        <v>128</v>
      </c>
      <c r="E1094" s="4" t="str">
        <f t="shared" si="88"/>
        <v>Huyện Chiêm Hóa</v>
      </c>
      <c r="F1094" s="3" t="s">
        <v>1858</v>
      </c>
      <c r="G1094" s="4" t="str">
        <f>HYPERLINK("https://diaocthongthai.com/xa-tan-thinh-chiem-hoa/","Xã Tân Thịnh")</f>
        <v>Xã Tân Thịnh</v>
      </c>
    </row>
    <row r="1095" spans="1:7" x14ac:dyDescent="0.25">
      <c r="A1095" s="2">
        <v>1094</v>
      </c>
      <c r="B1095" s="3" t="s">
        <v>7</v>
      </c>
      <c r="C1095" s="4" t="str">
        <f t="shared" si="87"/>
        <v>Tuyên Quang</v>
      </c>
      <c r="D1095" s="3" t="s">
        <v>128</v>
      </c>
      <c r="E1095" s="4" t="str">
        <f t="shared" si="88"/>
        <v>Huyện Chiêm Hóa</v>
      </c>
      <c r="F1095" s="3" t="s">
        <v>1859</v>
      </c>
      <c r="G1095" s="4" t="str">
        <f>HYPERLINK("https://diaocthongthai.com/xa-trung-hoa-chiem-hoa/","Xã Trung Hòa")</f>
        <v>Xã Trung Hòa</v>
      </c>
    </row>
    <row r="1096" spans="1:7" x14ac:dyDescent="0.25">
      <c r="A1096" s="2">
        <v>1095</v>
      </c>
      <c r="B1096" s="3" t="s">
        <v>7</v>
      </c>
      <c r="C1096" s="4" t="str">
        <f t="shared" si="87"/>
        <v>Tuyên Quang</v>
      </c>
      <c r="D1096" s="3" t="s">
        <v>128</v>
      </c>
      <c r="E1096" s="4" t="str">
        <f t="shared" si="88"/>
        <v>Huyện Chiêm Hóa</v>
      </c>
      <c r="F1096" s="3" t="s">
        <v>1860</v>
      </c>
      <c r="G1096" s="4" t="str">
        <f>HYPERLINK("https://diaocthongthai.com/xa-kim-binh-chiem-hoa/","Xã Kim Bình")</f>
        <v>Xã Kim Bình</v>
      </c>
    </row>
    <row r="1097" spans="1:7" x14ac:dyDescent="0.25">
      <c r="A1097" s="2">
        <v>1096</v>
      </c>
      <c r="B1097" s="3" t="s">
        <v>7</v>
      </c>
      <c r="C1097" s="4" t="str">
        <f t="shared" si="87"/>
        <v>Tuyên Quang</v>
      </c>
      <c r="D1097" s="3" t="s">
        <v>128</v>
      </c>
      <c r="E1097" s="4" t="str">
        <f t="shared" si="88"/>
        <v>Huyện Chiêm Hóa</v>
      </c>
      <c r="F1097" s="3" t="s">
        <v>1861</v>
      </c>
      <c r="G1097" s="4" t="str">
        <f>HYPERLINK("https://diaocthongthai.com/xa-hoa-an-chiem-hoa/","Xã Hòa An")</f>
        <v>Xã Hòa An</v>
      </c>
    </row>
    <row r="1098" spans="1:7" x14ac:dyDescent="0.25">
      <c r="A1098" s="2">
        <v>1097</v>
      </c>
      <c r="B1098" s="3" t="s">
        <v>7</v>
      </c>
      <c r="C1098" s="4" t="str">
        <f t="shared" si="87"/>
        <v>Tuyên Quang</v>
      </c>
      <c r="D1098" s="3" t="s">
        <v>128</v>
      </c>
      <c r="E1098" s="4" t="str">
        <f t="shared" si="88"/>
        <v>Huyện Chiêm Hóa</v>
      </c>
      <c r="F1098" s="3" t="s">
        <v>1862</v>
      </c>
      <c r="G1098" s="4" t="str">
        <f>HYPERLINK("https://diaocthongthai.com/xa-vinh-quang-chiem-hoa/","Xã Vinh Quang")</f>
        <v>Xã Vinh Quang</v>
      </c>
    </row>
    <row r="1099" spans="1:7" x14ac:dyDescent="0.25">
      <c r="A1099" s="2">
        <v>1098</v>
      </c>
      <c r="B1099" s="3" t="s">
        <v>7</v>
      </c>
      <c r="C1099" s="4" t="str">
        <f t="shared" si="87"/>
        <v>Tuyên Quang</v>
      </c>
      <c r="D1099" s="3" t="s">
        <v>128</v>
      </c>
      <c r="E1099" s="4" t="str">
        <f t="shared" si="88"/>
        <v>Huyện Chiêm Hóa</v>
      </c>
      <c r="F1099" s="3" t="s">
        <v>1863</v>
      </c>
      <c r="G1099" s="4" t="str">
        <f>HYPERLINK("https://diaocthongthai.com/xa-tri-phu-chiem-hoa/","Xã Tri Phú")</f>
        <v>Xã Tri Phú</v>
      </c>
    </row>
    <row r="1100" spans="1:7" x14ac:dyDescent="0.25">
      <c r="A1100" s="2">
        <v>1099</v>
      </c>
      <c r="B1100" s="3" t="s">
        <v>7</v>
      </c>
      <c r="C1100" s="4" t="str">
        <f t="shared" si="87"/>
        <v>Tuyên Quang</v>
      </c>
      <c r="D1100" s="3" t="s">
        <v>128</v>
      </c>
      <c r="E1100" s="4" t="str">
        <f t="shared" si="88"/>
        <v>Huyện Chiêm Hóa</v>
      </c>
      <c r="F1100" s="3" t="s">
        <v>1864</v>
      </c>
      <c r="G1100" s="4" t="str">
        <f>HYPERLINK("https://diaocthongthai.com/xa-nhan-ly-chiem-hoa/","Xã Nhân Lý")</f>
        <v>Xã Nhân Lý</v>
      </c>
    </row>
    <row r="1101" spans="1:7" x14ac:dyDescent="0.25">
      <c r="A1101" s="2">
        <v>1100</v>
      </c>
      <c r="B1101" s="3" t="s">
        <v>7</v>
      </c>
      <c r="C1101" s="4" t="str">
        <f t="shared" si="87"/>
        <v>Tuyên Quang</v>
      </c>
      <c r="D1101" s="3" t="s">
        <v>128</v>
      </c>
      <c r="E1101" s="4" t="str">
        <f t="shared" si="88"/>
        <v>Huyện Chiêm Hóa</v>
      </c>
      <c r="F1101" s="3" t="s">
        <v>1865</v>
      </c>
      <c r="G1101" s="4" t="str">
        <f>HYPERLINK("https://diaocthongthai.com/xa-yen-nguyen-chiem-hoa/","Xã Yên Nguyên")</f>
        <v>Xã Yên Nguyên</v>
      </c>
    </row>
    <row r="1102" spans="1:7" x14ac:dyDescent="0.25">
      <c r="A1102" s="2">
        <v>1101</v>
      </c>
      <c r="B1102" s="3" t="s">
        <v>7</v>
      </c>
      <c r="C1102" s="4" t="str">
        <f t="shared" si="87"/>
        <v>Tuyên Quang</v>
      </c>
      <c r="D1102" s="3" t="s">
        <v>128</v>
      </c>
      <c r="E1102" s="4" t="str">
        <f t="shared" si="88"/>
        <v>Huyện Chiêm Hóa</v>
      </c>
      <c r="F1102" s="3" t="s">
        <v>1866</v>
      </c>
      <c r="G1102" s="4" t="str">
        <f>HYPERLINK("https://diaocthongthai.com/xa-linh-phu-chiem-hoa/","Xã Linh Phú")</f>
        <v>Xã Linh Phú</v>
      </c>
    </row>
    <row r="1103" spans="1:7" x14ac:dyDescent="0.25">
      <c r="A1103" s="2">
        <v>1102</v>
      </c>
      <c r="B1103" s="3" t="s">
        <v>7</v>
      </c>
      <c r="C1103" s="4" t="str">
        <f t="shared" si="87"/>
        <v>Tuyên Quang</v>
      </c>
      <c r="D1103" s="3" t="s">
        <v>128</v>
      </c>
      <c r="E1103" s="4" t="str">
        <f t="shared" si="88"/>
        <v>Huyện Chiêm Hóa</v>
      </c>
      <c r="F1103" s="3" t="s">
        <v>1867</v>
      </c>
      <c r="G1103" s="4" t="str">
        <f>HYPERLINK("https://diaocthongthai.com/xa-binh-nhan-chiem-hoa/","Xã Bình Nhân")</f>
        <v>Xã Bình Nhân</v>
      </c>
    </row>
    <row r="1104" spans="1:7" x14ac:dyDescent="0.25">
      <c r="A1104" s="2">
        <v>1103</v>
      </c>
      <c r="B1104" s="3" t="s">
        <v>7</v>
      </c>
      <c r="C1104" s="4" t="str">
        <f t="shared" si="87"/>
        <v>Tuyên Quang</v>
      </c>
      <c r="D1104" s="3" t="s">
        <v>129</v>
      </c>
      <c r="E1104" s="4" t="str">
        <f t="shared" ref="E1104:E1121" si="89">HYPERLINK("https://diaocthongthai.com/ban-do-huyen-ham-yen-tuyen-quang/","Huyện Hàm Yên")</f>
        <v>Huyện Hàm Yên</v>
      </c>
      <c r="F1104" s="3" t="s">
        <v>1868</v>
      </c>
      <c r="G1104" s="4" t="str">
        <f>HYPERLINK("https://diaocthongthai.com/thi-tran-tan-yen-ham-yen/","Thị trấn Tân Yên")</f>
        <v>Thị trấn Tân Yên</v>
      </c>
    </row>
    <row r="1105" spans="1:7" x14ac:dyDescent="0.25">
      <c r="A1105" s="2">
        <v>1104</v>
      </c>
      <c r="B1105" s="3" t="s">
        <v>7</v>
      </c>
      <c r="C1105" s="4" t="str">
        <f t="shared" si="87"/>
        <v>Tuyên Quang</v>
      </c>
      <c r="D1105" s="3" t="s">
        <v>129</v>
      </c>
      <c r="E1105" s="4" t="str">
        <f t="shared" si="89"/>
        <v>Huyện Hàm Yên</v>
      </c>
      <c r="F1105" s="3" t="s">
        <v>1869</v>
      </c>
      <c r="G1105" s="4" t="str">
        <f>HYPERLINK("https://diaocthongthai.com/xa-yen-thuan-ham-yen/","Xã Yên Thuận")</f>
        <v>Xã Yên Thuận</v>
      </c>
    </row>
    <row r="1106" spans="1:7" x14ac:dyDescent="0.25">
      <c r="A1106" s="2">
        <v>1105</v>
      </c>
      <c r="B1106" s="3" t="s">
        <v>7</v>
      </c>
      <c r="C1106" s="4" t="str">
        <f t="shared" si="87"/>
        <v>Tuyên Quang</v>
      </c>
      <c r="D1106" s="3" t="s">
        <v>129</v>
      </c>
      <c r="E1106" s="4" t="str">
        <f t="shared" si="89"/>
        <v>Huyện Hàm Yên</v>
      </c>
      <c r="F1106" s="3" t="s">
        <v>1870</v>
      </c>
      <c r="G1106" s="4" t="str">
        <f>HYPERLINK("https://diaocthongthai.com/xa-bach-xa-ham-yen/","Xã Bạch Xa")</f>
        <v>Xã Bạch Xa</v>
      </c>
    </row>
    <row r="1107" spans="1:7" x14ac:dyDescent="0.25">
      <c r="A1107" s="2">
        <v>1106</v>
      </c>
      <c r="B1107" s="3" t="s">
        <v>7</v>
      </c>
      <c r="C1107" s="4" t="str">
        <f t="shared" ref="C1107:C1138" si="90">HYPERLINK("https://diaocthongthai.com/ban-do-tuyen-quang/","Tuyên Quang")</f>
        <v>Tuyên Quang</v>
      </c>
      <c r="D1107" s="3" t="s">
        <v>129</v>
      </c>
      <c r="E1107" s="4" t="str">
        <f t="shared" si="89"/>
        <v>Huyện Hàm Yên</v>
      </c>
      <c r="F1107" s="3" t="s">
        <v>1871</v>
      </c>
      <c r="G1107" s="4" t="str">
        <f>HYPERLINK("https://diaocthongthai.com/xa-minh-khuong-ham-yen/","Xã Minh Khương")</f>
        <v>Xã Minh Khương</v>
      </c>
    </row>
    <row r="1108" spans="1:7" x14ac:dyDescent="0.25">
      <c r="A1108" s="2">
        <v>1107</v>
      </c>
      <c r="B1108" s="3" t="s">
        <v>7</v>
      </c>
      <c r="C1108" s="4" t="str">
        <f t="shared" si="90"/>
        <v>Tuyên Quang</v>
      </c>
      <c r="D1108" s="3" t="s">
        <v>129</v>
      </c>
      <c r="E1108" s="4" t="str">
        <f t="shared" si="89"/>
        <v>Huyện Hàm Yên</v>
      </c>
      <c r="F1108" s="3" t="s">
        <v>1872</v>
      </c>
      <c r="G1108" s="4" t="str">
        <f>HYPERLINK("https://diaocthongthai.com/xa-yen-lam-ham-yen/","Xã Yên Lâm")</f>
        <v>Xã Yên Lâm</v>
      </c>
    </row>
    <row r="1109" spans="1:7" x14ac:dyDescent="0.25">
      <c r="A1109" s="2">
        <v>1108</v>
      </c>
      <c r="B1109" s="3" t="s">
        <v>7</v>
      </c>
      <c r="C1109" s="4" t="str">
        <f t="shared" si="90"/>
        <v>Tuyên Quang</v>
      </c>
      <c r="D1109" s="3" t="s">
        <v>129</v>
      </c>
      <c r="E1109" s="4" t="str">
        <f t="shared" si="89"/>
        <v>Huyện Hàm Yên</v>
      </c>
      <c r="F1109" s="3" t="s">
        <v>1873</v>
      </c>
      <c r="G1109" s="4" t="str">
        <f>HYPERLINK("https://diaocthongthai.com/xa-minh-dan-ham-yen/","Xã Minh Dân")</f>
        <v>Xã Minh Dân</v>
      </c>
    </row>
    <row r="1110" spans="1:7" x14ac:dyDescent="0.25">
      <c r="A1110" s="2">
        <v>1109</v>
      </c>
      <c r="B1110" s="3" t="s">
        <v>7</v>
      </c>
      <c r="C1110" s="4" t="str">
        <f t="shared" si="90"/>
        <v>Tuyên Quang</v>
      </c>
      <c r="D1110" s="3" t="s">
        <v>129</v>
      </c>
      <c r="E1110" s="4" t="str">
        <f t="shared" si="89"/>
        <v>Huyện Hàm Yên</v>
      </c>
      <c r="F1110" s="3" t="s">
        <v>1874</v>
      </c>
      <c r="G1110" s="4" t="str">
        <f>HYPERLINK("https://diaocthongthai.com/xa-phu-luu-ham-yen/","Xã Phù Lưu")</f>
        <v>Xã Phù Lưu</v>
      </c>
    </row>
    <row r="1111" spans="1:7" x14ac:dyDescent="0.25">
      <c r="A1111" s="2">
        <v>1110</v>
      </c>
      <c r="B1111" s="3" t="s">
        <v>7</v>
      </c>
      <c r="C1111" s="4" t="str">
        <f t="shared" si="90"/>
        <v>Tuyên Quang</v>
      </c>
      <c r="D1111" s="3" t="s">
        <v>129</v>
      </c>
      <c r="E1111" s="4" t="str">
        <f t="shared" si="89"/>
        <v>Huyện Hàm Yên</v>
      </c>
      <c r="F1111" s="3" t="s">
        <v>1875</v>
      </c>
      <c r="G1111" s="4" t="str">
        <f>HYPERLINK("https://diaocthongthai.com/xa-minh-huong-ham-yen/","Xã Minh Hương")</f>
        <v>Xã Minh Hương</v>
      </c>
    </row>
    <row r="1112" spans="1:7" x14ac:dyDescent="0.25">
      <c r="A1112" s="2">
        <v>1111</v>
      </c>
      <c r="B1112" s="3" t="s">
        <v>7</v>
      </c>
      <c r="C1112" s="4" t="str">
        <f t="shared" si="90"/>
        <v>Tuyên Quang</v>
      </c>
      <c r="D1112" s="3" t="s">
        <v>129</v>
      </c>
      <c r="E1112" s="4" t="str">
        <f t="shared" si="89"/>
        <v>Huyện Hàm Yên</v>
      </c>
      <c r="F1112" s="3" t="s">
        <v>1876</v>
      </c>
      <c r="G1112" s="4" t="str">
        <f>HYPERLINK("https://diaocthongthai.com/xa-yen-phu-ham-yen/","Xã Yên Phú")</f>
        <v>Xã Yên Phú</v>
      </c>
    </row>
    <row r="1113" spans="1:7" x14ac:dyDescent="0.25">
      <c r="A1113" s="2">
        <v>1112</v>
      </c>
      <c r="B1113" s="3" t="s">
        <v>7</v>
      </c>
      <c r="C1113" s="4" t="str">
        <f t="shared" si="90"/>
        <v>Tuyên Quang</v>
      </c>
      <c r="D1113" s="3" t="s">
        <v>129</v>
      </c>
      <c r="E1113" s="4" t="str">
        <f t="shared" si="89"/>
        <v>Huyện Hàm Yên</v>
      </c>
      <c r="F1113" s="3" t="s">
        <v>1877</v>
      </c>
      <c r="G1113" s="4" t="str">
        <f>HYPERLINK("https://diaocthongthai.com/xa-tan-thanh-ham-yen/","Xã Tân Thành")</f>
        <v>Xã Tân Thành</v>
      </c>
    </row>
    <row r="1114" spans="1:7" x14ac:dyDescent="0.25">
      <c r="A1114" s="2">
        <v>1113</v>
      </c>
      <c r="B1114" s="3" t="s">
        <v>7</v>
      </c>
      <c r="C1114" s="4" t="str">
        <f t="shared" si="90"/>
        <v>Tuyên Quang</v>
      </c>
      <c r="D1114" s="3" t="s">
        <v>129</v>
      </c>
      <c r="E1114" s="4" t="str">
        <f t="shared" si="89"/>
        <v>Huyện Hàm Yên</v>
      </c>
      <c r="F1114" s="3" t="s">
        <v>1878</v>
      </c>
      <c r="G1114" s="4" t="str">
        <f>HYPERLINK("https://diaocthongthai.com/xa-binh-xa-ham-yen/","Xã Bình Xa")</f>
        <v>Xã Bình Xa</v>
      </c>
    </row>
    <row r="1115" spans="1:7" x14ac:dyDescent="0.25">
      <c r="A1115" s="2">
        <v>1114</v>
      </c>
      <c r="B1115" s="3" t="s">
        <v>7</v>
      </c>
      <c r="C1115" s="4" t="str">
        <f t="shared" si="90"/>
        <v>Tuyên Quang</v>
      </c>
      <c r="D1115" s="3" t="s">
        <v>129</v>
      </c>
      <c r="E1115" s="4" t="str">
        <f t="shared" si="89"/>
        <v>Huyện Hàm Yên</v>
      </c>
      <c r="F1115" s="3" t="s">
        <v>1879</v>
      </c>
      <c r="G1115" s="4" t="str">
        <f>HYPERLINK("https://diaocthongthai.com/xa-thai-son-ham-yen/","Xã Thái Sơn")</f>
        <v>Xã Thái Sơn</v>
      </c>
    </row>
    <row r="1116" spans="1:7" x14ac:dyDescent="0.25">
      <c r="A1116" s="2">
        <v>1115</v>
      </c>
      <c r="B1116" s="3" t="s">
        <v>7</v>
      </c>
      <c r="C1116" s="4" t="str">
        <f t="shared" si="90"/>
        <v>Tuyên Quang</v>
      </c>
      <c r="D1116" s="3" t="s">
        <v>129</v>
      </c>
      <c r="E1116" s="4" t="str">
        <f t="shared" si="89"/>
        <v>Huyện Hàm Yên</v>
      </c>
      <c r="F1116" s="3" t="s">
        <v>1880</v>
      </c>
      <c r="G1116" s="4" t="str">
        <f>HYPERLINK("https://diaocthongthai.com/xa-nhan-muc-ham-yen/","Xã Nhân Mục")</f>
        <v>Xã Nhân Mục</v>
      </c>
    </row>
    <row r="1117" spans="1:7" x14ac:dyDescent="0.25">
      <c r="A1117" s="2">
        <v>1116</v>
      </c>
      <c r="B1117" s="3" t="s">
        <v>7</v>
      </c>
      <c r="C1117" s="4" t="str">
        <f t="shared" si="90"/>
        <v>Tuyên Quang</v>
      </c>
      <c r="D1117" s="3" t="s">
        <v>129</v>
      </c>
      <c r="E1117" s="4" t="str">
        <f t="shared" si="89"/>
        <v>Huyện Hàm Yên</v>
      </c>
      <c r="F1117" s="3" t="s">
        <v>1881</v>
      </c>
      <c r="G1117" s="4" t="str">
        <f>HYPERLINK("https://diaocthongthai.com/xa-thanh-long-ham-yen/","Xã Thành Long")</f>
        <v>Xã Thành Long</v>
      </c>
    </row>
    <row r="1118" spans="1:7" x14ac:dyDescent="0.25">
      <c r="A1118" s="2">
        <v>1117</v>
      </c>
      <c r="B1118" s="3" t="s">
        <v>7</v>
      </c>
      <c r="C1118" s="4" t="str">
        <f t="shared" si="90"/>
        <v>Tuyên Quang</v>
      </c>
      <c r="D1118" s="3" t="s">
        <v>129</v>
      </c>
      <c r="E1118" s="4" t="str">
        <f t="shared" si="89"/>
        <v>Huyện Hàm Yên</v>
      </c>
      <c r="F1118" s="3" t="s">
        <v>1882</v>
      </c>
      <c r="G1118" s="4" t="str">
        <f>HYPERLINK("https://diaocthongthai.com/xa-bang-coc-ham-yen/","Xã Bằng Cốc")</f>
        <v>Xã Bằng Cốc</v>
      </c>
    </row>
    <row r="1119" spans="1:7" x14ac:dyDescent="0.25">
      <c r="A1119" s="2">
        <v>1118</v>
      </c>
      <c r="B1119" s="3" t="s">
        <v>7</v>
      </c>
      <c r="C1119" s="4" t="str">
        <f t="shared" si="90"/>
        <v>Tuyên Quang</v>
      </c>
      <c r="D1119" s="3" t="s">
        <v>129</v>
      </c>
      <c r="E1119" s="4" t="str">
        <f t="shared" si="89"/>
        <v>Huyện Hàm Yên</v>
      </c>
      <c r="F1119" s="3" t="s">
        <v>1883</v>
      </c>
      <c r="G1119" s="4" t="str">
        <f>HYPERLINK("https://diaocthongthai.com/xa-thai-hoa-ham-yen/","Xã Thái Hòa")</f>
        <v>Xã Thái Hòa</v>
      </c>
    </row>
    <row r="1120" spans="1:7" x14ac:dyDescent="0.25">
      <c r="A1120" s="2">
        <v>1119</v>
      </c>
      <c r="B1120" s="3" t="s">
        <v>7</v>
      </c>
      <c r="C1120" s="4" t="str">
        <f t="shared" si="90"/>
        <v>Tuyên Quang</v>
      </c>
      <c r="D1120" s="3" t="s">
        <v>129</v>
      </c>
      <c r="E1120" s="4" t="str">
        <f t="shared" si="89"/>
        <v>Huyện Hàm Yên</v>
      </c>
      <c r="F1120" s="3" t="s">
        <v>1884</v>
      </c>
      <c r="G1120" s="4" t="str">
        <f>HYPERLINK("https://diaocthongthai.com/xa-duc-ninh-ham-yen/","Xã Đức Ninh")</f>
        <v>Xã Đức Ninh</v>
      </c>
    </row>
    <row r="1121" spans="1:7" x14ac:dyDescent="0.25">
      <c r="A1121" s="2">
        <v>1120</v>
      </c>
      <c r="B1121" s="3" t="s">
        <v>7</v>
      </c>
      <c r="C1121" s="4" t="str">
        <f t="shared" si="90"/>
        <v>Tuyên Quang</v>
      </c>
      <c r="D1121" s="3" t="s">
        <v>129</v>
      </c>
      <c r="E1121" s="4" t="str">
        <f t="shared" si="89"/>
        <v>Huyện Hàm Yên</v>
      </c>
      <c r="F1121" s="3" t="s">
        <v>1885</v>
      </c>
      <c r="G1121" s="4" t="str">
        <f>HYPERLINK("https://diaocthongthai.com/xa-hung-duc-ham-yen/","Xã Hùng Đức")</f>
        <v>Xã Hùng Đức</v>
      </c>
    </row>
    <row r="1122" spans="1:7" x14ac:dyDescent="0.25">
      <c r="A1122" s="2">
        <v>1121</v>
      </c>
      <c r="B1122" s="3" t="s">
        <v>7</v>
      </c>
      <c r="C1122" s="4" t="str">
        <f t="shared" si="90"/>
        <v>Tuyên Quang</v>
      </c>
      <c r="D1122" s="3" t="s">
        <v>130</v>
      </c>
      <c r="E1122" s="4" t="str">
        <f t="shared" ref="E1122:E1149" si="91">HYPERLINK("https://diaocthongthai.com/ban-do-huyen-yen-son-tuyen-quang/","Huyện Yên Sơn")</f>
        <v>Huyện Yên Sơn</v>
      </c>
      <c r="F1122" s="3" t="s">
        <v>1886</v>
      </c>
      <c r="G1122" s="4" t="str">
        <f>HYPERLINK("https://diaocthongthai.com/xa-quy-quan-yen-son/","Xã Quí Quân")</f>
        <v>Xã Quí Quân</v>
      </c>
    </row>
    <row r="1123" spans="1:7" x14ac:dyDescent="0.25">
      <c r="A1123" s="2">
        <v>1122</v>
      </c>
      <c r="B1123" s="3" t="s">
        <v>7</v>
      </c>
      <c r="C1123" s="4" t="str">
        <f t="shared" si="90"/>
        <v>Tuyên Quang</v>
      </c>
      <c r="D1123" s="3" t="s">
        <v>130</v>
      </c>
      <c r="E1123" s="4" t="str">
        <f t="shared" si="91"/>
        <v>Huyện Yên Sơn</v>
      </c>
      <c r="F1123" s="3" t="s">
        <v>1887</v>
      </c>
      <c r="G1123" s="4" t="str">
        <f>HYPERLINK("https://diaocthongthai.com/xa-luc-hanh-yen-son/","Xã Lực Hành")</f>
        <v>Xã Lực Hành</v>
      </c>
    </row>
    <row r="1124" spans="1:7" x14ac:dyDescent="0.25">
      <c r="A1124" s="2">
        <v>1123</v>
      </c>
      <c r="B1124" s="3" t="s">
        <v>7</v>
      </c>
      <c r="C1124" s="4" t="str">
        <f t="shared" si="90"/>
        <v>Tuyên Quang</v>
      </c>
      <c r="D1124" s="3" t="s">
        <v>130</v>
      </c>
      <c r="E1124" s="4" t="str">
        <f t="shared" si="91"/>
        <v>Huyện Yên Sơn</v>
      </c>
      <c r="F1124" s="3" t="s">
        <v>1888</v>
      </c>
      <c r="G1124" s="4" t="str">
        <f>HYPERLINK("https://diaocthongthai.com/xa-kien-thiet-yen-son/","Xã Kiến Thiết")</f>
        <v>Xã Kiến Thiết</v>
      </c>
    </row>
    <row r="1125" spans="1:7" x14ac:dyDescent="0.25">
      <c r="A1125" s="2">
        <v>1124</v>
      </c>
      <c r="B1125" s="3" t="s">
        <v>7</v>
      </c>
      <c r="C1125" s="4" t="str">
        <f t="shared" si="90"/>
        <v>Tuyên Quang</v>
      </c>
      <c r="D1125" s="3" t="s">
        <v>130</v>
      </c>
      <c r="E1125" s="4" t="str">
        <f t="shared" si="91"/>
        <v>Huyện Yên Sơn</v>
      </c>
      <c r="F1125" s="3" t="s">
        <v>1889</v>
      </c>
      <c r="G1125" s="4" t="str">
        <f>HYPERLINK("https://diaocthongthai.com/xa-trung-minh-yen-son/","Xã Trung Minh")</f>
        <v>Xã Trung Minh</v>
      </c>
    </row>
    <row r="1126" spans="1:7" x14ac:dyDescent="0.25">
      <c r="A1126" s="2">
        <v>1125</v>
      </c>
      <c r="B1126" s="3" t="s">
        <v>7</v>
      </c>
      <c r="C1126" s="4" t="str">
        <f t="shared" si="90"/>
        <v>Tuyên Quang</v>
      </c>
      <c r="D1126" s="3" t="s">
        <v>130</v>
      </c>
      <c r="E1126" s="4" t="str">
        <f t="shared" si="91"/>
        <v>Huyện Yên Sơn</v>
      </c>
      <c r="F1126" s="3" t="s">
        <v>1890</v>
      </c>
      <c r="G1126" s="4" t="str">
        <f>HYPERLINK("https://diaocthongthai.com/xa-chieu-yen-yen-son/","Xã Chiêu Yên")</f>
        <v>Xã Chiêu Yên</v>
      </c>
    </row>
    <row r="1127" spans="1:7" x14ac:dyDescent="0.25">
      <c r="A1127" s="2">
        <v>1126</v>
      </c>
      <c r="B1127" s="3" t="s">
        <v>7</v>
      </c>
      <c r="C1127" s="4" t="str">
        <f t="shared" si="90"/>
        <v>Tuyên Quang</v>
      </c>
      <c r="D1127" s="3" t="s">
        <v>130</v>
      </c>
      <c r="E1127" s="4" t="str">
        <f t="shared" si="91"/>
        <v>Huyện Yên Sơn</v>
      </c>
      <c r="F1127" s="3" t="s">
        <v>1891</v>
      </c>
      <c r="G1127" s="4" t="str">
        <f>HYPERLINK("https://diaocthongthai.com/xa-trung-truc-yen-son/","Xã Trung Trực")</f>
        <v>Xã Trung Trực</v>
      </c>
    </row>
    <row r="1128" spans="1:7" x14ac:dyDescent="0.25">
      <c r="A1128" s="2">
        <v>1127</v>
      </c>
      <c r="B1128" s="3" t="s">
        <v>7</v>
      </c>
      <c r="C1128" s="4" t="str">
        <f t="shared" si="90"/>
        <v>Tuyên Quang</v>
      </c>
      <c r="D1128" s="3" t="s">
        <v>130</v>
      </c>
      <c r="E1128" s="4" t="str">
        <f t="shared" si="91"/>
        <v>Huyện Yên Sơn</v>
      </c>
      <c r="F1128" s="3" t="s">
        <v>1892</v>
      </c>
      <c r="G1128" s="4" t="str">
        <f>HYPERLINK("https://diaocthongthai.com/xa-xuan-van-yen-son/","Xã Xuân Vân")</f>
        <v>Xã Xuân Vân</v>
      </c>
    </row>
    <row r="1129" spans="1:7" x14ac:dyDescent="0.25">
      <c r="A1129" s="2">
        <v>1128</v>
      </c>
      <c r="B1129" s="3" t="s">
        <v>7</v>
      </c>
      <c r="C1129" s="4" t="str">
        <f t="shared" si="90"/>
        <v>Tuyên Quang</v>
      </c>
      <c r="D1129" s="3" t="s">
        <v>130</v>
      </c>
      <c r="E1129" s="4" t="str">
        <f t="shared" si="91"/>
        <v>Huyện Yên Sơn</v>
      </c>
      <c r="F1129" s="3" t="s">
        <v>1893</v>
      </c>
      <c r="G1129" s="4" t="str">
        <f>HYPERLINK("https://diaocthongthai.com/xa-phuc-ninh-yen-son/","Xã Phúc Ninh")</f>
        <v>Xã Phúc Ninh</v>
      </c>
    </row>
    <row r="1130" spans="1:7" x14ac:dyDescent="0.25">
      <c r="A1130" s="2">
        <v>1129</v>
      </c>
      <c r="B1130" s="3" t="s">
        <v>7</v>
      </c>
      <c r="C1130" s="4" t="str">
        <f t="shared" si="90"/>
        <v>Tuyên Quang</v>
      </c>
      <c r="D1130" s="3" t="s">
        <v>130</v>
      </c>
      <c r="E1130" s="4" t="str">
        <f t="shared" si="91"/>
        <v>Huyện Yên Sơn</v>
      </c>
      <c r="F1130" s="3" t="s">
        <v>1894</v>
      </c>
      <c r="G1130" s="4" t="str">
        <f>HYPERLINK("https://diaocthongthai.com/xa-hung-loi-yen-son/","Xã Hùng Lợi")</f>
        <v>Xã Hùng Lợi</v>
      </c>
    </row>
    <row r="1131" spans="1:7" x14ac:dyDescent="0.25">
      <c r="A1131" s="2">
        <v>1130</v>
      </c>
      <c r="B1131" s="3" t="s">
        <v>7</v>
      </c>
      <c r="C1131" s="4" t="str">
        <f t="shared" si="90"/>
        <v>Tuyên Quang</v>
      </c>
      <c r="D1131" s="3" t="s">
        <v>130</v>
      </c>
      <c r="E1131" s="4" t="str">
        <f t="shared" si="91"/>
        <v>Huyện Yên Sơn</v>
      </c>
      <c r="F1131" s="3" t="s">
        <v>1895</v>
      </c>
      <c r="G1131" s="4" t="str">
        <f>HYPERLINK("https://diaocthongthai.com/xa-trung-son-yen-son/","Xã Trung Sơn")</f>
        <v>Xã Trung Sơn</v>
      </c>
    </row>
    <row r="1132" spans="1:7" x14ac:dyDescent="0.25">
      <c r="A1132" s="2">
        <v>1131</v>
      </c>
      <c r="B1132" s="3" t="s">
        <v>7</v>
      </c>
      <c r="C1132" s="4" t="str">
        <f t="shared" si="90"/>
        <v>Tuyên Quang</v>
      </c>
      <c r="D1132" s="3" t="s">
        <v>130</v>
      </c>
      <c r="E1132" s="4" t="str">
        <f t="shared" si="91"/>
        <v>Huyện Yên Sơn</v>
      </c>
      <c r="F1132" s="3" t="s">
        <v>1896</v>
      </c>
      <c r="G1132" s="4" t="str">
        <f>HYPERLINK("https://diaocthongthai.com/xa-tan-tien-yen-son/","Xã Tân Tiến")</f>
        <v>Xã Tân Tiến</v>
      </c>
    </row>
    <row r="1133" spans="1:7" x14ac:dyDescent="0.25">
      <c r="A1133" s="2">
        <v>1132</v>
      </c>
      <c r="B1133" s="3" t="s">
        <v>7</v>
      </c>
      <c r="C1133" s="4" t="str">
        <f t="shared" si="90"/>
        <v>Tuyên Quang</v>
      </c>
      <c r="D1133" s="3" t="s">
        <v>130</v>
      </c>
      <c r="E1133" s="4" t="str">
        <f t="shared" si="91"/>
        <v>Huyện Yên Sơn</v>
      </c>
      <c r="F1133" s="3" t="s">
        <v>1897</v>
      </c>
      <c r="G1133" s="4" t="str">
        <f>HYPERLINK("https://diaocthongthai.com/xa-tu-quan-yen-son/","Xã Tứ Quận")</f>
        <v>Xã Tứ Quận</v>
      </c>
    </row>
    <row r="1134" spans="1:7" x14ac:dyDescent="0.25">
      <c r="A1134" s="2">
        <v>1133</v>
      </c>
      <c r="B1134" s="3" t="s">
        <v>7</v>
      </c>
      <c r="C1134" s="4" t="str">
        <f t="shared" si="90"/>
        <v>Tuyên Quang</v>
      </c>
      <c r="D1134" s="3" t="s">
        <v>130</v>
      </c>
      <c r="E1134" s="4" t="str">
        <f t="shared" si="91"/>
        <v>Huyện Yên Sơn</v>
      </c>
      <c r="F1134" s="3" t="s">
        <v>1898</v>
      </c>
      <c r="G1134" s="4" t="str">
        <f>HYPERLINK("https://diaocthongthai.com/xa-dao-vien-yen-son/","Xã Đạo Viện")</f>
        <v>Xã Đạo Viện</v>
      </c>
    </row>
    <row r="1135" spans="1:7" x14ac:dyDescent="0.25">
      <c r="A1135" s="2">
        <v>1134</v>
      </c>
      <c r="B1135" s="3" t="s">
        <v>7</v>
      </c>
      <c r="C1135" s="4" t="str">
        <f t="shared" si="90"/>
        <v>Tuyên Quang</v>
      </c>
      <c r="D1135" s="3" t="s">
        <v>130</v>
      </c>
      <c r="E1135" s="4" t="str">
        <f t="shared" si="91"/>
        <v>Huyện Yên Sơn</v>
      </c>
      <c r="F1135" s="3" t="s">
        <v>1899</v>
      </c>
      <c r="G1135" s="4" t="str">
        <f>HYPERLINK("https://diaocthongthai.com/xa-tan-long-yen-son/","Xã Tân Long")</f>
        <v>Xã Tân Long</v>
      </c>
    </row>
    <row r="1136" spans="1:7" x14ac:dyDescent="0.25">
      <c r="A1136" s="2">
        <v>1135</v>
      </c>
      <c r="B1136" s="3" t="s">
        <v>7</v>
      </c>
      <c r="C1136" s="4" t="str">
        <f t="shared" si="90"/>
        <v>Tuyên Quang</v>
      </c>
      <c r="D1136" s="3" t="s">
        <v>130</v>
      </c>
      <c r="E1136" s="4" t="str">
        <f t="shared" si="91"/>
        <v>Huyện Yên Sơn</v>
      </c>
      <c r="F1136" s="3" t="s">
        <v>1900</v>
      </c>
      <c r="G1136" s="4" t="str">
        <f>HYPERLINK("https://diaocthongthai.com/xa-thang-quan-yen-son/","Thị trấn Yên Sơn")</f>
        <v>Thị trấn Yên Sơn</v>
      </c>
    </row>
    <row r="1137" spans="1:7" x14ac:dyDescent="0.25">
      <c r="A1137" s="2">
        <v>1136</v>
      </c>
      <c r="B1137" s="3" t="s">
        <v>7</v>
      </c>
      <c r="C1137" s="4" t="str">
        <f t="shared" si="90"/>
        <v>Tuyên Quang</v>
      </c>
      <c r="D1137" s="3" t="s">
        <v>130</v>
      </c>
      <c r="E1137" s="4" t="str">
        <f t="shared" si="91"/>
        <v>Huyện Yên Sơn</v>
      </c>
      <c r="F1137" s="3" t="s">
        <v>1901</v>
      </c>
      <c r="G1137" s="4" t="str">
        <f>HYPERLINK("https://diaocthongthai.com/xa-kim-quan-yen-son/","Xã Kim Quan")</f>
        <v>Xã Kim Quan</v>
      </c>
    </row>
    <row r="1138" spans="1:7" x14ac:dyDescent="0.25">
      <c r="A1138" s="2">
        <v>1137</v>
      </c>
      <c r="B1138" s="3" t="s">
        <v>7</v>
      </c>
      <c r="C1138" s="4" t="str">
        <f t="shared" si="90"/>
        <v>Tuyên Quang</v>
      </c>
      <c r="D1138" s="3" t="s">
        <v>130</v>
      </c>
      <c r="E1138" s="4" t="str">
        <f t="shared" si="91"/>
        <v>Huyện Yên Sơn</v>
      </c>
      <c r="F1138" s="3" t="s">
        <v>1902</v>
      </c>
      <c r="G1138" s="4" t="str">
        <f>HYPERLINK("https://diaocthongthai.com/xa-lang-quan-yen-son/","Xã Lang Quán")</f>
        <v>Xã Lang Quán</v>
      </c>
    </row>
    <row r="1139" spans="1:7" x14ac:dyDescent="0.25">
      <c r="A1139" s="2">
        <v>1138</v>
      </c>
      <c r="B1139" s="3" t="s">
        <v>7</v>
      </c>
      <c r="C1139" s="4" t="str">
        <f t="shared" ref="C1139:C1170" si="92">HYPERLINK("https://diaocthongthai.com/ban-do-tuyen-quang/","Tuyên Quang")</f>
        <v>Tuyên Quang</v>
      </c>
      <c r="D1139" s="3" t="s">
        <v>130</v>
      </c>
      <c r="E1139" s="4" t="str">
        <f t="shared" si="91"/>
        <v>Huyện Yên Sơn</v>
      </c>
      <c r="F1139" s="3" t="s">
        <v>1903</v>
      </c>
      <c r="G1139" s="4" t="str">
        <f>HYPERLINK("https://diaocthongthai.com/xa-phu-thinh-yen-son/","Xã Phú Thịnh")</f>
        <v>Xã Phú Thịnh</v>
      </c>
    </row>
    <row r="1140" spans="1:7" x14ac:dyDescent="0.25">
      <c r="A1140" s="2">
        <v>1139</v>
      </c>
      <c r="B1140" s="3" t="s">
        <v>7</v>
      </c>
      <c r="C1140" s="4" t="str">
        <f t="shared" si="92"/>
        <v>Tuyên Quang</v>
      </c>
      <c r="D1140" s="3" t="s">
        <v>130</v>
      </c>
      <c r="E1140" s="4" t="str">
        <f t="shared" si="91"/>
        <v>Huyện Yên Sơn</v>
      </c>
      <c r="F1140" s="3" t="s">
        <v>1904</v>
      </c>
      <c r="G1140" s="4" t="str">
        <f>HYPERLINK("https://diaocthongthai.com/xa-cong-da-yen-son/","Xã Công Đa")</f>
        <v>Xã Công Đa</v>
      </c>
    </row>
    <row r="1141" spans="1:7" x14ac:dyDescent="0.25">
      <c r="A1141" s="2">
        <v>1140</v>
      </c>
      <c r="B1141" s="3" t="s">
        <v>7</v>
      </c>
      <c r="C1141" s="4" t="str">
        <f t="shared" si="92"/>
        <v>Tuyên Quang</v>
      </c>
      <c r="D1141" s="3" t="s">
        <v>130</v>
      </c>
      <c r="E1141" s="4" t="str">
        <f t="shared" si="91"/>
        <v>Huyện Yên Sơn</v>
      </c>
      <c r="F1141" s="3" t="s">
        <v>1905</v>
      </c>
      <c r="G1141" s="4" t="str">
        <f>HYPERLINK("https://diaocthongthai.com/xa-trung-mon-yen-son/","Xã Trung Môn")</f>
        <v>Xã Trung Môn</v>
      </c>
    </row>
    <row r="1142" spans="1:7" x14ac:dyDescent="0.25">
      <c r="A1142" s="2">
        <v>1141</v>
      </c>
      <c r="B1142" s="3" t="s">
        <v>7</v>
      </c>
      <c r="C1142" s="4" t="str">
        <f t="shared" si="92"/>
        <v>Tuyên Quang</v>
      </c>
      <c r="D1142" s="3" t="s">
        <v>130</v>
      </c>
      <c r="E1142" s="4" t="str">
        <f t="shared" si="91"/>
        <v>Huyện Yên Sơn</v>
      </c>
      <c r="F1142" s="3" t="s">
        <v>1906</v>
      </c>
      <c r="G1142" s="4" t="str">
        <f>HYPERLINK("https://diaocthongthai.com/xa-chan-son-yen-son/","Xã Chân Sơn")</f>
        <v>Xã Chân Sơn</v>
      </c>
    </row>
    <row r="1143" spans="1:7" x14ac:dyDescent="0.25">
      <c r="A1143" s="2">
        <v>1142</v>
      </c>
      <c r="B1143" s="3" t="s">
        <v>7</v>
      </c>
      <c r="C1143" s="4" t="str">
        <f t="shared" si="92"/>
        <v>Tuyên Quang</v>
      </c>
      <c r="D1143" s="3" t="s">
        <v>130</v>
      </c>
      <c r="E1143" s="4" t="str">
        <f t="shared" si="91"/>
        <v>Huyện Yên Sơn</v>
      </c>
      <c r="F1143" s="3" t="s">
        <v>1907</v>
      </c>
      <c r="G1143" s="4" t="str">
        <f>HYPERLINK("https://diaocthongthai.com/xa-thai-binh-yen-son/","Xã Thái Bình")</f>
        <v>Xã Thái Bình</v>
      </c>
    </row>
    <row r="1144" spans="1:7" x14ac:dyDescent="0.25">
      <c r="A1144" s="2">
        <v>1143</v>
      </c>
      <c r="B1144" s="3" t="s">
        <v>7</v>
      </c>
      <c r="C1144" s="4" t="str">
        <f t="shared" si="92"/>
        <v>Tuyên Quang</v>
      </c>
      <c r="D1144" s="3" t="s">
        <v>130</v>
      </c>
      <c r="E1144" s="4" t="str">
        <f t="shared" si="91"/>
        <v>Huyện Yên Sơn</v>
      </c>
      <c r="F1144" s="3" t="s">
        <v>1908</v>
      </c>
      <c r="G1144" s="4" t="str">
        <f>HYPERLINK("https://diaocthongthai.com/xa-tien-bo-yen-son/","Xã Tiến Bộ")</f>
        <v>Xã Tiến Bộ</v>
      </c>
    </row>
    <row r="1145" spans="1:7" x14ac:dyDescent="0.25">
      <c r="A1145" s="2">
        <v>1144</v>
      </c>
      <c r="B1145" s="3" t="s">
        <v>7</v>
      </c>
      <c r="C1145" s="4" t="str">
        <f t="shared" si="92"/>
        <v>Tuyên Quang</v>
      </c>
      <c r="D1145" s="3" t="s">
        <v>130</v>
      </c>
      <c r="E1145" s="4" t="str">
        <f t="shared" si="91"/>
        <v>Huyện Yên Sơn</v>
      </c>
      <c r="F1145" s="3" t="s">
        <v>1909</v>
      </c>
      <c r="G1145" s="4" t="str">
        <f>HYPERLINK("https://diaocthongthai.com/xa-my-bang-yen-son/","Xã Mỹ Bằng")</f>
        <v>Xã Mỹ Bằng</v>
      </c>
    </row>
    <row r="1146" spans="1:7" x14ac:dyDescent="0.25">
      <c r="A1146" s="2">
        <v>1145</v>
      </c>
      <c r="B1146" s="3" t="s">
        <v>7</v>
      </c>
      <c r="C1146" s="4" t="str">
        <f t="shared" si="92"/>
        <v>Tuyên Quang</v>
      </c>
      <c r="D1146" s="3" t="s">
        <v>130</v>
      </c>
      <c r="E1146" s="4" t="str">
        <f t="shared" si="91"/>
        <v>Huyện Yên Sơn</v>
      </c>
      <c r="F1146" s="3" t="s">
        <v>1910</v>
      </c>
      <c r="G1146" s="4" t="str">
        <f>HYPERLINK("https://diaocthongthai.com/xa-hoang-khai-yen-son/","Xã Hoàng Khai")</f>
        <v>Xã Hoàng Khai</v>
      </c>
    </row>
    <row r="1147" spans="1:7" x14ac:dyDescent="0.25">
      <c r="A1147" s="2">
        <v>1146</v>
      </c>
      <c r="B1147" s="3" t="s">
        <v>7</v>
      </c>
      <c r="C1147" s="4" t="str">
        <f t="shared" si="92"/>
        <v>Tuyên Quang</v>
      </c>
      <c r="D1147" s="3" t="s">
        <v>130</v>
      </c>
      <c r="E1147" s="4" t="str">
        <f t="shared" si="91"/>
        <v>Huyện Yên Sơn</v>
      </c>
      <c r="F1147" s="3" t="s">
        <v>1911</v>
      </c>
      <c r="G1147" s="4" t="str">
        <f>HYPERLINK("https://diaocthongthai.com/xa-nhu-han-yen-son/","Xã Nhữ Hán")</f>
        <v>Xã Nhữ Hán</v>
      </c>
    </row>
    <row r="1148" spans="1:7" x14ac:dyDescent="0.25">
      <c r="A1148" s="2">
        <v>1147</v>
      </c>
      <c r="B1148" s="3" t="s">
        <v>7</v>
      </c>
      <c r="C1148" s="4" t="str">
        <f t="shared" si="92"/>
        <v>Tuyên Quang</v>
      </c>
      <c r="D1148" s="3" t="s">
        <v>130</v>
      </c>
      <c r="E1148" s="4" t="str">
        <f t="shared" si="91"/>
        <v>Huyện Yên Sơn</v>
      </c>
      <c r="F1148" s="3" t="s">
        <v>1912</v>
      </c>
      <c r="G1148" s="4" t="str">
        <f>HYPERLINK("https://diaocthongthai.com/xa-nhu-khe-yen-son/","Xã Nhữ Khê")</f>
        <v>Xã Nhữ Khê</v>
      </c>
    </row>
    <row r="1149" spans="1:7" x14ac:dyDescent="0.25">
      <c r="A1149" s="2">
        <v>1148</v>
      </c>
      <c r="B1149" s="3" t="s">
        <v>7</v>
      </c>
      <c r="C1149" s="4" t="str">
        <f t="shared" si="92"/>
        <v>Tuyên Quang</v>
      </c>
      <c r="D1149" s="3" t="s">
        <v>130</v>
      </c>
      <c r="E1149" s="4" t="str">
        <f t="shared" si="91"/>
        <v>Huyện Yên Sơn</v>
      </c>
      <c r="F1149" s="3" t="s">
        <v>1913</v>
      </c>
      <c r="G1149" s="4" t="str">
        <f>HYPERLINK("https://diaocthongthai.com/xa-doi-binh-yen-son/","Xã Đội Bình")</f>
        <v>Xã Đội Bình</v>
      </c>
    </row>
    <row r="1150" spans="1:7" x14ac:dyDescent="0.25">
      <c r="A1150" s="2">
        <v>1149</v>
      </c>
      <c r="B1150" s="3" t="s">
        <v>7</v>
      </c>
      <c r="C1150" s="4" t="str">
        <f t="shared" si="92"/>
        <v>Tuyên Quang</v>
      </c>
      <c r="D1150" s="3" t="s">
        <v>131</v>
      </c>
      <c r="E1150" s="4" t="str">
        <f t="shared" ref="E1150:E1180" si="93">HYPERLINK("https://diaocthongthai.com/ban-do-huyen-son-duong-tuyen-quang/","Huyện Sơn Dương")</f>
        <v>Huyện Sơn Dương</v>
      </c>
      <c r="F1150" s="3" t="s">
        <v>1914</v>
      </c>
      <c r="G1150" s="4" t="str">
        <f>HYPERLINK("https://diaocthongthai.com/thi-tran-son-duong-son-duong/","Thị trấn Sơn Dương")</f>
        <v>Thị trấn Sơn Dương</v>
      </c>
    </row>
    <row r="1151" spans="1:7" x14ac:dyDescent="0.25">
      <c r="A1151" s="2">
        <v>1150</v>
      </c>
      <c r="B1151" s="3" t="s">
        <v>7</v>
      </c>
      <c r="C1151" s="4" t="str">
        <f t="shared" si="92"/>
        <v>Tuyên Quang</v>
      </c>
      <c r="D1151" s="3" t="s">
        <v>131</v>
      </c>
      <c r="E1151" s="4" t="str">
        <f t="shared" si="93"/>
        <v>Huyện Sơn Dương</v>
      </c>
      <c r="F1151" s="3" t="s">
        <v>1915</v>
      </c>
      <c r="G1151" s="4" t="str">
        <f>HYPERLINK("https://diaocthongthai.com/xa-trung-yen-son-duong/","Xã Trung Yên")</f>
        <v>Xã Trung Yên</v>
      </c>
    </row>
    <row r="1152" spans="1:7" x14ac:dyDescent="0.25">
      <c r="A1152" s="2">
        <v>1151</v>
      </c>
      <c r="B1152" s="3" t="s">
        <v>7</v>
      </c>
      <c r="C1152" s="4" t="str">
        <f t="shared" si="92"/>
        <v>Tuyên Quang</v>
      </c>
      <c r="D1152" s="3" t="s">
        <v>131</v>
      </c>
      <c r="E1152" s="4" t="str">
        <f t="shared" si="93"/>
        <v>Huyện Sơn Dương</v>
      </c>
      <c r="F1152" s="3" t="s">
        <v>1916</v>
      </c>
      <c r="G1152" s="4" t="str">
        <f>HYPERLINK("https://diaocthongthai.com/xa-minh-thanh-son-duong/","Xã Minh Thanh")</f>
        <v>Xã Minh Thanh</v>
      </c>
    </row>
    <row r="1153" spans="1:7" x14ac:dyDescent="0.25">
      <c r="A1153" s="2">
        <v>1152</v>
      </c>
      <c r="B1153" s="3" t="s">
        <v>7</v>
      </c>
      <c r="C1153" s="4" t="str">
        <f t="shared" si="92"/>
        <v>Tuyên Quang</v>
      </c>
      <c r="D1153" s="3" t="s">
        <v>131</v>
      </c>
      <c r="E1153" s="4" t="str">
        <f t="shared" si="93"/>
        <v>Huyện Sơn Dương</v>
      </c>
      <c r="F1153" s="3" t="s">
        <v>1917</v>
      </c>
      <c r="G1153" s="4" t="str">
        <f>HYPERLINK("https://diaocthongthai.com/xa-tan-trao-son-duong/","Xã Tân Trào")</f>
        <v>Xã Tân Trào</v>
      </c>
    </row>
    <row r="1154" spans="1:7" x14ac:dyDescent="0.25">
      <c r="A1154" s="2">
        <v>1153</v>
      </c>
      <c r="B1154" s="3" t="s">
        <v>7</v>
      </c>
      <c r="C1154" s="4" t="str">
        <f t="shared" si="92"/>
        <v>Tuyên Quang</v>
      </c>
      <c r="D1154" s="3" t="s">
        <v>131</v>
      </c>
      <c r="E1154" s="4" t="str">
        <f t="shared" si="93"/>
        <v>Huyện Sơn Dương</v>
      </c>
      <c r="F1154" s="3" t="s">
        <v>1918</v>
      </c>
      <c r="G1154" s="4" t="str">
        <f>HYPERLINK("https://diaocthongthai.com/xa-vinh-loi-son-duong/","Xã Vĩnh Lợi")</f>
        <v>Xã Vĩnh Lợi</v>
      </c>
    </row>
    <row r="1155" spans="1:7" x14ac:dyDescent="0.25">
      <c r="A1155" s="2">
        <v>1154</v>
      </c>
      <c r="B1155" s="3" t="s">
        <v>7</v>
      </c>
      <c r="C1155" s="4" t="str">
        <f t="shared" si="92"/>
        <v>Tuyên Quang</v>
      </c>
      <c r="D1155" s="3" t="s">
        <v>131</v>
      </c>
      <c r="E1155" s="4" t="str">
        <f t="shared" si="93"/>
        <v>Huyện Sơn Dương</v>
      </c>
      <c r="F1155" s="3" t="s">
        <v>1919</v>
      </c>
      <c r="G1155" s="4" t="str">
        <f>HYPERLINK("https://diaocthongthai.com/xa-thuong-am-1-son-duong/","Xã Thượng Ấm")</f>
        <v>Xã Thượng Ấm</v>
      </c>
    </row>
    <row r="1156" spans="1:7" x14ac:dyDescent="0.25">
      <c r="A1156" s="2">
        <v>1155</v>
      </c>
      <c r="B1156" s="3" t="s">
        <v>7</v>
      </c>
      <c r="C1156" s="4" t="str">
        <f t="shared" si="92"/>
        <v>Tuyên Quang</v>
      </c>
      <c r="D1156" s="3" t="s">
        <v>131</v>
      </c>
      <c r="E1156" s="4" t="str">
        <f t="shared" si="93"/>
        <v>Huyện Sơn Dương</v>
      </c>
      <c r="F1156" s="3" t="s">
        <v>1920</v>
      </c>
      <c r="G1156" s="4" t="str">
        <f>HYPERLINK("https://diaocthongthai.com/xa-binh-yen-son-duong/","Xã Bình Yên")</f>
        <v>Xã Bình Yên</v>
      </c>
    </row>
    <row r="1157" spans="1:7" x14ac:dyDescent="0.25">
      <c r="A1157" s="2">
        <v>1156</v>
      </c>
      <c r="B1157" s="3" t="s">
        <v>7</v>
      </c>
      <c r="C1157" s="4" t="str">
        <f t="shared" si="92"/>
        <v>Tuyên Quang</v>
      </c>
      <c r="D1157" s="3" t="s">
        <v>131</v>
      </c>
      <c r="E1157" s="4" t="str">
        <f t="shared" si="93"/>
        <v>Huyện Sơn Dương</v>
      </c>
      <c r="F1157" s="3" t="s">
        <v>1921</v>
      </c>
      <c r="G1157" s="4" t="str">
        <f>HYPERLINK("https://diaocthongthai.com/xa-luong-thien-son-duong/","Xã Lương Thiện")</f>
        <v>Xã Lương Thiện</v>
      </c>
    </row>
    <row r="1158" spans="1:7" x14ac:dyDescent="0.25">
      <c r="A1158" s="2">
        <v>1157</v>
      </c>
      <c r="B1158" s="3" t="s">
        <v>7</v>
      </c>
      <c r="C1158" s="4" t="str">
        <f t="shared" si="92"/>
        <v>Tuyên Quang</v>
      </c>
      <c r="D1158" s="3" t="s">
        <v>131</v>
      </c>
      <c r="E1158" s="4" t="str">
        <f t="shared" si="93"/>
        <v>Huyện Sơn Dương</v>
      </c>
      <c r="F1158" s="3" t="s">
        <v>1922</v>
      </c>
      <c r="G1158" s="4" t="str">
        <f>HYPERLINK("https://diaocthongthai.com/xa-tu-thinh-son-duong/","Xã Tú Thịnh")</f>
        <v>Xã Tú Thịnh</v>
      </c>
    </row>
    <row r="1159" spans="1:7" x14ac:dyDescent="0.25">
      <c r="A1159" s="2">
        <v>1158</v>
      </c>
      <c r="B1159" s="3" t="s">
        <v>7</v>
      </c>
      <c r="C1159" s="4" t="str">
        <f t="shared" si="92"/>
        <v>Tuyên Quang</v>
      </c>
      <c r="D1159" s="3" t="s">
        <v>131</v>
      </c>
      <c r="E1159" s="4" t="str">
        <f t="shared" si="93"/>
        <v>Huyện Sơn Dương</v>
      </c>
      <c r="F1159" s="3" t="s">
        <v>1923</v>
      </c>
      <c r="G1159" s="4" t="str">
        <f>HYPERLINK("https://diaocthongthai.com/xa-cap-tien-son-duong/","Xã Cấp Tiến")</f>
        <v>Xã Cấp Tiến</v>
      </c>
    </row>
    <row r="1160" spans="1:7" x14ac:dyDescent="0.25">
      <c r="A1160" s="2">
        <v>1159</v>
      </c>
      <c r="B1160" s="3" t="s">
        <v>7</v>
      </c>
      <c r="C1160" s="4" t="str">
        <f t="shared" si="92"/>
        <v>Tuyên Quang</v>
      </c>
      <c r="D1160" s="3" t="s">
        <v>131</v>
      </c>
      <c r="E1160" s="4" t="str">
        <f t="shared" si="93"/>
        <v>Huyện Sơn Dương</v>
      </c>
      <c r="F1160" s="3" t="s">
        <v>1924</v>
      </c>
      <c r="G1160" s="4" t="str">
        <f>HYPERLINK("https://diaocthongthai.com/xa-hop-thanh-son-duong/","Xã Hợp Thành")</f>
        <v>Xã Hợp Thành</v>
      </c>
    </row>
    <row r="1161" spans="1:7" x14ac:dyDescent="0.25">
      <c r="A1161" s="2">
        <v>1160</v>
      </c>
      <c r="B1161" s="3" t="s">
        <v>7</v>
      </c>
      <c r="C1161" s="4" t="str">
        <f t="shared" si="92"/>
        <v>Tuyên Quang</v>
      </c>
      <c r="D1161" s="3" t="s">
        <v>131</v>
      </c>
      <c r="E1161" s="4" t="str">
        <f t="shared" si="93"/>
        <v>Huyện Sơn Dương</v>
      </c>
      <c r="F1161" s="3" t="s">
        <v>1925</v>
      </c>
      <c r="G1161" s="4" t="str">
        <f>HYPERLINK("https://diaocthongthai.com/xa-phuc-ung-son-duong/","Xã Phúc Ứng")</f>
        <v>Xã Phúc Ứng</v>
      </c>
    </row>
    <row r="1162" spans="1:7" x14ac:dyDescent="0.25">
      <c r="A1162" s="2">
        <v>1161</v>
      </c>
      <c r="B1162" s="3" t="s">
        <v>7</v>
      </c>
      <c r="C1162" s="4" t="str">
        <f t="shared" si="92"/>
        <v>Tuyên Quang</v>
      </c>
      <c r="D1162" s="3" t="s">
        <v>131</v>
      </c>
      <c r="E1162" s="4" t="str">
        <f t="shared" si="93"/>
        <v>Huyện Sơn Dương</v>
      </c>
      <c r="F1162" s="3" t="s">
        <v>1926</v>
      </c>
      <c r="G1162" s="4" t="str">
        <f>HYPERLINK("https://diaocthongthai.com/xa-dong-tho-son-duong/","Xã Đông Thọ")</f>
        <v>Xã Đông Thọ</v>
      </c>
    </row>
    <row r="1163" spans="1:7" x14ac:dyDescent="0.25">
      <c r="A1163" s="2">
        <v>1162</v>
      </c>
      <c r="B1163" s="3" t="s">
        <v>7</v>
      </c>
      <c r="C1163" s="4" t="str">
        <f t="shared" si="92"/>
        <v>Tuyên Quang</v>
      </c>
      <c r="D1163" s="3" t="s">
        <v>131</v>
      </c>
      <c r="E1163" s="4" t="str">
        <f t="shared" si="93"/>
        <v>Huyện Sơn Dương</v>
      </c>
      <c r="F1163" s="3" t="s">
        <v>1927</v>
      </c>
      <c r="G1163" s="4" t="str">
        <f>HYPERLINK("https://diaocthongthai.com/xa-khang-nhat-son-duong/","Xã Kháng Nhật")</f>
        <v>Xã Kháng Nhật</v>
      </c>
    </row>
    <row r="1164" spans="1:7" x14ac:dyDescent="0.25">
      <c r="A1164" s="2">
        <v>1163</v>
      </c>
      <c r="B1164" s="3" t="s">
        <v>7</v>
      </c>
      <c r="C1164" s="4" t="str">
        <f t="shared" si="92"/>
        <v>Tuyên Quang</v>
      </c>
      <c r="D1164" s="3" t="s">
        <v>131</v>
      </c>
      <c r="E1164" s="4" t="str">
        <f t="shared" si="93"/>
        <v>Huyện Sơn Dương</v>
      </c>
      <c r="F1164" s="3" t="s">
        <v>1928</v>
      </c>
      <c r="G1164" s="4" t="str">
        <f>HYPERLINK("https://diaocthongthai.com/xa-hop-hoa-son-duong/","Xã Hợp Hòa")</f>
        <v>Xã Hợp Hòa</v>
      </c>
    </row>
    <row r="1165" spans="1:7" x14ac:dyDescent="0.25">
      <c r="A1165" s="2">
        <v>1164</v>
      </c>
      <c r="B1165" s="3" t="s">
        <v>7</v>
      </c>
      <c r="C1165" s="4" t="str">
        <f t="shared" si="92"/>
        <v>Tuyên Quang</v>
      </c>
      <c r="D1165" s="3" t="s">
        <v>131</v>
      </c>
      <c r="E1165" s="4" t="str">
        <f t="shared" si="93"/>
        <v>Huyện Sơn Dương</v>
      </c>
      <c r="F1165" s="3" t="s">
        <v>1929</v>
      </c>
      <c r="G1165" s="4" t="str">
        <f>HYPERLINK("https://diaocthongthai.com/xa-quyet-thang-son-duong/","Xã Quyết Thắng")</f>
        <v>Xã Quyết Thắng</v>
      </c>
    </row>
    <row r="1166" spans="1:7" x14ac:dyDescent="0.25">
      <c r="A1166" s="2">
        <v>1165</v>
      </c>
      <c r="B1166" s="3" t="s">
        <v>7</v>
      </c>
      <c r="C1166" s="4" t="str">
        <f t="shared" si="92"/>
        <v>Tuyên Quang</v>
      </c>
      <c r="D1166" s="3" t="s">
        <v>131</v>
      </c>
      <c r="E1166" s="4" t="str">
        <f t="shared" si="93"/>
        <v>Huyện Sơn Dương</v>
      </c>
      <c r="F1166" s="3" t="s">
        <v>1930</v>
      </c>
      <c r="G1166" s="4" t="str">
        <f>HYPERLINK("https://diaocthongthai.com/xa-dong-quy-son-duong/","Xã Đồng Quý")</f>
        <v>Xã Đồng Quý</v>
      </c>
    </row>
    <row r="1167" spans="1:7" x14ac:dyDescent="0.25">
      <c r="A1167" s="2">
        <v>1166</v>
      </c>
      <c r="B1167" s="3" t="s">
        <v>7</v>
      </c>
      <c r="C1167" s="4" t="str">
        <f t="shared" si="92"/>
        <v>Tuyên Quang</v>
      </c>
      <c r="D1167" s="3" t="s">
        <v>131</v>
      </c>
      <c r="E1167" s="4" t="str">
        <f t="shared" si="93"/>
        <v>Huyện Sơn Dương</v>
      </c>
      <c r="F1167" s="3" t="s">
        <v>1931</v>
      </c>
      <c r="G1167" s="4" t="str">
        <f>HYPERLINK("https://diaocthongthai.com/xa-tan-thanh-son-duong/","Xã Tân Thanh")</f>
        <v>Xã Tân Thanh</v>
      </c>
    </row>
    <row r="1168" spans="1:7" x14ac:dyDescent="0.25">
      <c r="A1168" s="2">
        <v>1167</v>
      </c>
      <c r="B1168" s="3" t="s">
        <v>7</v>
      </c>
      <c r="C1168" s="4" t="str">
        <f t="shared" si="92"/>
        <v>Tuyên Quang</v>
      </c>
      <c r="D1168" s="3" t="s">
        <v>131</v>
      </c>
      <c r="E1168" s="4" t="str">
        <f t="shared" si="93"/>
        <v>Huyện Sơn Dương</v>
      </c>
      <c r="F1168" s="3" t="s">
        <v>1932</v>
      </c>
      <c r="G1168" s="4" t="str">
        <f>HYPERLINK("https://diaocthongthai.com/xa-van-son-son-duong/","Xã Vân Sơn")</f>
        <v>Xã Vân Sơn</v>
      </c>
    </row>
    <row r="1169" spans="1:7" x14ac:dyDescent="0.25">
      <c r="A1169" s="2">
        <v>1168</v>
      </c>
      <c r="B1169" s="3" t="s">
        <v>7</v>
      </c>
      <c r="C1169" s="4" t="str">
        <f t="shared" si="92"/>
        <v>Tuyên Quang</v>
      </c>
      <c r="D1169" s="3" t="s">
        <v>131</v>
      </c>
      <c r="E1169" s="4" t="str">
        <f t="shared" si="93"/>
        <v>Huyện Sơn Dương</v>
      </c>
      <c r="F1169" s="3" t="s">
        <v>1933</v>
      </c>
      <c r="G1169" s="4" t="str">
        <f>HYPERLINK("https://diaocthongthai.com/xa-van-phu-son-duong/","Xã Văn Phú")</f>
        <v>Xã Văn Phú</v>
      </c>
    </row>
    <row r="1170" spans="1:7" x14ac:dyDescent="0.25">
      <c r="A1170" s="2">
        <v>1169</v>
      </c>
      <c r="B1170" s="3" t="s">
        <v>7</v>
      </c>
      <c r="C1170" s="4" t="str">
        <f t="shared" si="92"/>
        <v>Tuyên Quang</v>
      </c>
      <c r="D1170" s="3" t="s">
        <v>131</v>
      </c>
      <c r="E1170" s="4" t="str">
        <f t="shared" si="93"/>
        <v>Huyện Sơn Dương</v>
      </c>
      <c r="F1170" s="3" t="s">
        <v>1934</v>
      </c>
      <c r="G1170" s="4" t="str">
        <f>HYPERLINK("https://diaocthongthai.com/xa-chi-thiet-son-duong/","Xã Chi Thiết")</f>
        <v>Xã Chi Thiết</v>
      </c>
    </row>
    <row r="1171" spans="1:7" x14ac:dyDescent="0.25">
      <c r="A1171" s="2">
        <v>1170</v>
      </c>
      <c r="B1171" s="3" t="s">
        <v>7</v>
      </c>
      <c r="C1171" s="4" t="str">
        <f t="shared" ref="C1171:C1180" si="94">HYPERLINK("https://diaocthongthai.com/ban-do-tuyen-quang/","Tuyên Quang")</f>
        <v>Tuyên Quang</v>
      </c>
      <c r="D1171" s="3" t="s">
        <v>131</v>
      </c>
      <c r="E1171" s="4" t="str">
        <f t="shared" si="93"/>
        <v>Huyện Sơn Dương</v>
      </c>
      <c r="F1171" s="3" t="s">
        <v>1935</v>
      </c>
      <c r="G1171" s="4" t="str">
        <f>HYPERLINK("https://diaocthongthai.com/xa-dong-loi-son-duong/","Xã Đông Lợi")</f>
        <v>Xã Đông Lợi</v>
      </c>
    </row>
    <row r="1172" spans="1:7" x14ac:dyDescent="0.25">
      <c r="A1172" s="2">
        <v>1171</v>
      </c>
      <c r="B1172" s="3" t="s">
        <v>7</v>
      </c>
      <c r="C1172" s="4" t="str">
        <f t="shared" si="94"/>
        <v>Tuyên Quang</v>
      </c>
      <c r="D1172" s="3" t="s">
        <v>131</v>
      </c>
      <c r="E1172" s="4" t="str">
        <f t="shared" si="93"/>
        <v>Huyện Sơn Dương</v>
      </c>
      <c r="F1172" s="3" t="s">
        <v>1936</v>
      </c>
      <c r="G1172" s="4" t="str">
        <f>HYPERLINK("https://diaocthongthai.com/xa-thien-ke-son-duong/","Xã Thiện Kế")</f>
        <v>Xã Thiện Kế</v>
      </c>
    </row>
    <row r="1173" spans="1:7" x14ac:dyDescent="0.25">
      <c r="A1173" s="2">
        <v>1172</v>
      </c>
      <c r="B1173" s="3" t="s">
        <v>7</v>
      </c>
      <c r="C1173" s="4" t="str">
        <f t="shared" si="94"/>
        <v>Tuyên Quang</v>
      </c>
      <c r="D1173" s="3" t="s">
        <v>131</v>
      </c>
      <c r="E1173" s="4" t="str">
        <f t="shared" si="93"/>
        <v>Huyện Sơn Dương</v>
      </c>
      <c r="F1173" s="3" t="s">
        <v>1937</v>
      </c>
      <c r="G1173" s="4" t="str">
        <f>HYPERLINK("https://diaocthongthai.com/xa-hong-lac-son-duong/","Xã Hồng Lạc")</f>
        <v>Xã Hồng Lạc</v>
      </c>
    </row>
    <row r="1174" spans="1:7" x14ac:dyDescent="0.25">
      <c r="A1174" s="2">
        <v>1173</v>
      </c>
      <c r="B1174" s="3" t="s">
        <v>7</v>
      </c>
      <c r="C1174" s="4" t="str">
        <f t="shared" si="94"/>
        <v>Tuyên Quang</v>
      </c>
      <c r="D1174" s="3" t="s">
        <v>131</v>
      </c>
      <c r="E1174" s="4" t="str">
        <f t="shared" si="93"/>
        <v>Huyện Sơn Dương</v>
      </c>
      <c r="F1174" s="3" t="s">
        <v>1938</v>
      </c>
      <c r="G1174" s="4" t="str">
        <f>HYPERLINK("https://diaocthongthai.com/xa-phu-luong-son-duong/","Xã Phú Lương")</f>
        <v>Xã Phú Lương</v>
      </c>
    </row>
    <row r="1175" spans="1:7" x14ac:dyDescent="0.25">
      <c r="A1175" s="2">
        <v>1174</v>
      </c>
      <c r="B1175" s="3" t="s">
        <v>7</v>
      </c>
      <c r="C1175" s="4" t="str">
        <f t="shared" si="94"/>
        <v>Tuyên Quang</v>
      </c>
      <c r="D1175" s="3" t="s">
        <v>131</v>
      </c>
      <c r="E1175" s="4" t="str">
        <f t="shared" si="93"/>
        <v>Huyện Sơn Dương</v>
      </c>
      <c r="F1175" s="3" t="s">
        <v>1939</v>
      </c>
      <c r="G1175" s="4" t="str">
        <f>HYPERLINK("https://diaocthongthai.com/xa-ninh-lai-son-duong/","Xã Ninh Lai")</f>
        <v>Xã Ninh Lai</v>
      </c>
    </row>
    <row r="1176" spans="1:7" x14ac:dyDescent="0.25">
      <c r="A1176" s="2">
        <v>1175</v>
      </c>
      <c r="B1176" s="3" t="s">
        <v>7</v>
      </c>
      <c r="C1176" s="4" t="str">
        <f t="shared" si="94"/>
        <v>Tuyên Quang</v>
      </c>
      <c r="D1176" s="3" t="s">
        <v>131</v>
      </c>
      <c r="E1176" s="4" t="str">
        <f t="shared" si="93"/>
        <v>Huyện Sơn Dương</v>
      </c>
      <c r="F1176" s="3" t="s">
        <v>1940</v>
      </c>
      <c r="G1176" s="4" t="str">
        <f>HYPERLINK("https://diaocthongthai.com/xa-dai-phu-son-duong/","Xã Đại Phú")</f>
        <v>Xã Đại Phú</v>
      </c>
    </row>
    <row r="1177" spans="1:7" x14ac:dyDescent="0.25">
      <c r="A1177" s="2">
        <v>1176</v>
      </c>
      <c r="B1177" s="3" t="s">
        <v>7</v>
      </c>
      <c r="C1177" s="4" t="str">
        <f t="shared" si="94"/>
        <v>Tuyên Quang</v>
      </c>
      <c r="D1177" s="3" t="s">
        <v>131</v>
      </c>
      <c r="E1177" s="4" t="str">
        <f t="shared" si="93"/>
        <v>Huyện Sơn Dương</v>
      </c>
      <c r="F1177" s="3" t="s">
        <v>1941</v>
      </c>
      <c r="G1177" s="4" t="str">
        <f>HYPERLINK("https://diaocthongthai.com/xa-son-nam-son-duong/","Xã Sơn Nam")</f>
        <v>Xã Sơn Nam</v>
      </c>
    </row>
    <row r="1178" spans="1:7" x14ac:dyDescent="0.25">
      <c r="A1178" s="2">
        <v>1177</v>
      </c>
      <c r="B1178" s="3" t="s">
        <v>7</v>
      </c>
      <c r="C1178" s="4" t="str">
        <f t="shared" si="94"/>
        <v>Tuyên Quang</v>
      </c>
      <c r="D1178" s="3" t="s">
        <v>131</v>
      </c>
      <c r="E1178" s="4" t="str">
        <f t="shared" si="93"/>
        <v>Huyện Sơn Dương</v>
      </c>
      <c r="F1178" s="3" t="s">
        <v>1942</v>
      </c>
      <c r="G1178" s="4" t="str">
        <f>HYPERLINK("https://diaocthongthai.com/xa-hao-phu-son-duong/","Xã Hào Phú")</f>
        <v>Xã Hào Phú</v>
      </c>
    </row>
    <row r="1179" spans="1:7" x14ac:dyDescent="0.25">
      <c r="A1179" s="2">
        <v>1178</v>
      </c>
      <c r="B1179" s="3" t="s">
        <v>7</v>
      </c>
      <c r="C1179" s="4" t="str">
        <f t="shared" si="94"/>
        <v>Tuyên Quang</v>
      </c>
      <c r="D1179" s="3" t="s">
        <v>131</v>
      </c>
      <c r="E1179" s="4" t="str">
        <f t="shared" si="93"/>
        <v>Huyện Sơn Dương</v>
      </c>
      <c r="F1179" s="3" t="s">
        <v>1943</v>
      </c>
      <c r="G1179" s="4" t="str">
        <f>HYPERLINK("https://diaocthongthai.com/xa-tam-da-son-duong/","Xã Tam Đa")</f>
        <v>Xã Tam Đa</v>
      </c>
    </row>
    <row r="1180" spans="1:7" x14ac:dyDescent="0.25">
      <c r="A1180" s="2">
        <v>1179</v>
      </c>
      <c r="B1180" s="3" t="s">
        <v>7</v>
      </c>
      <c r="C1180" s="4" t="str">
        <f t="shared" si="94"/>
        <v>Tuyên Quang</v>
      </c>
      <c r="D1180" s="3" t="s">
        <v>131</v>
      </c>
      <c r="E1180" s="4" t="str">
        <f t="shared" si="93"/>
        <v>Huyện Sơn Dương</v>
      </c>
      <c r="F1180" s="3" t="s">
        <v>1944</v>
      </c>
      <c r="G1180" s="4" t="str">
        <f>HYPERLINK("https://diaocthongthai.com/xa-truong-sinh-son-duong/","Xã Trường Sinh")</f>
        <v>Xã Trường Sinh</v>
      </c>
    </row>
    <row r="1181" spans="1:7" x14ac:dyDescent="0.25">
      <c r="A1181" s="2">
        <v>1180</v>
      </c>
      <c r="B1181" s="3" t="s">
        <v>8</v>
      </c>
      <c r="C1181" s="4" t="str">
        <f t="shared" ref="C1181:C1212" si="95">HYPERLINK("https://diaocthongthai.com/ban-do-lao-cai/","Lào Cai")</f>
        <v>Lào Cai</v>
      </c>
      <c r="D1181" s="3" t="s">
        <v>132</v>
      </c>
      <c r="E1181" s="4" t="str">
        <f t="shared" ref="E1181:E1197" si="96">HYPERLINK("https://diaocthongthai.com/ban-do-tp-lao-cai-lao-cai/","Thành phố Lào Cai")</f>
        <v>Thành phố Lào Cai</v>
      </c>
      <c r="F1181" s="3" t="s">
        <v>1945</v>
      </c>
      <c r="G1181" s="4" t="str">
        <f>HYPERLINK("https://diaocthongthai.com/phuong-duyen-hai-tp-lao-cai/","Phường Duyên Hải")</f>
        <v>Phường Duyên Hải</v>
      </c>
    </row>
    <row r="1182" spans="1:7" x14ac:dyDescent="0.25">
      <c r="A1182" s="2">
        <v>1181</v>
      </c>
      <c r="B1182" s="3" t="s">
        <v>8</v>
      </c>
      <c r="C1182" s="4" t="str">
        <f t="shared" si="95"/>
        <v>Lào Cai</v>
      </c>
      <c r="D1182" s="3" t="s">
        <v>132</v>
      </c>
      <c r="E1182" s="4" t="str">
        <f t="shared" si="96"/>
        <v>Thành phố Lào Cai</v>
      </c>
      <c r="F1182" s="3" t="s">
        <v>1946</v>
      </c>
      <c r="G1182" s="4" t="str">
        <f>HYPERLINK("https://diaocthongthai.com/phuong-lao-cai-tp-lao-cai/","Phường Lào Cai")</f>
        <v>Phường Lào Cai</v>
      </c>
    </row>
    <row r="1183" spans="1:7" x14ac:dyDescent="0.25">
      <c r="A1183" s="2">
        <v>1182</v>
      </c>
      <c r="B1183" s="3" t="s">
        <v>8</v>
      </c>
      <c r="C1183" s="4" t="str">
        <f t="shared" si="95"/>
        <v>Lào Cai</v>
      </c>
      <c r="D1183" s="3" t="s">
        <v>132</v>
      </c>
      <c r="E1183" s="4" t="str">
        <f t="shared" si="96"/>
        <v>Thành phố Lào Cai</v>
      </c>
      <c r="F1183" s="3" t="s">
        <v>1947</v>
      </c>
      <c r="G1183" s="4" t="str">
        <f>HYPERLINK("https://diaocthongthai.com/phuong-coc-leu-tp-lao-cai/","Phường Cốc Lếu")</f>
        <v>Phường Cốc Lếu</v>
      </c>
    </row>
    <row r="1184" spans="1:7" x14ac:dyDescent="0.25">
      <c r="A1184" s="2">
        <v>1183</v>
      </c>
      <c r="B1184" s="3" t="s">
        <v>8</v>
      </c>
      <c r="C1184" s="4" t="str">
        <f t="shared" si="95"/>
        <v>Lào Cai</v>
      </c>
      <c r="D1184" s="3" t="s">
        <v>132</v>
      </c>
      <c r="E1184" s="4" t="str">
        <f t="shared" si="96"/>
        <v>Thành phố Lào Cai</v>
      </c>
      <c r="F1184" s="3" t="s">
        <v>1948</v>
      </c>
      <c r="G1184" s="4" t="str">
        <f>HYPERLINK("https://diaocthongthai.com/phuong-kim-tan-tp-lao-cai/","Phường Kim Tân")</f>
        <v>Phường Kim Tân</v>
      </c>
    </row>
    <row r="1185" spans="1:7" x14ac:dyDescent="0.25">
      <c r="A1185" s="2">
        <v>1184</v>
      </c>
      <c r="B1185" s="3" t="s">
        <v>8</v>
      </c>
      <c r="C1185" s="4" t="str">
        <f t="shared" si="95"/>
        <v>Lào Cai</v>
      </c>
      <c r="D1185" s="3" t="s">
        <v>132</v>
      </c>
      <c r="E1185" s="4" t="str">
        <f t="shared" si="96"/>
        <v>Thành phố Lào Cai</v>
      </c>
      <c r="F1185" s="3" t="s">
        <v>1949</v>
      </c>
      <c r="G1185" s="4" t="str">
        <f>HYPERLINK("https://diaocthongthai.com/phuong-bac-lenh-tp-lao-cai/","Phường Bắc Lệnh")</f>
        <v>Phường Bắc Lệnh</v>
      </c>
    </row>
    <row r="1186" spans="1:7" x14ac:dyDescent="0.25">
      <c r="A1186" s="2">
        <v>1185</v>
      </c>
      <c r="B1186" s="3" t="s">
        <v>8</v>
      </c>
      <c r="C1186" s="4" t="str">
        <f t="shared" si="95"/>
        <v>Lào Cai</v>
      </c>
      <c r="D1186" s="3" t="s">
        <v>132</v>
      </c>
      <c r="E1186" s="4" t="str">
        <f t="shared" si="96"/>
        <v>Thành phố Lào Cai</v>
      </c>
      <c r="F1186" s="3" t="s">
        <v>1950</v>
      </c>
      <c r="G1186" s="4" t="str">
        <f>HYPERLINK("https://diaocthongthai.com/phuong-pom-han-tp-lao-cai/","Phường Pom Hán")</f>
        <v>Phường Pom Hán</v>
      </c>
    </row>
    <row r="1187" spans="1:7" x14ac:dyDescent="0.25">
      <c r="A1187" s="2">
        <v>1186</v>
      </c>
      <c r="B1187" s="3" t="s">
        <v>8</v>
      </c>
      <c r="C1187" s="4" t="str">
        <f t="shared" si="95"/>
        <v>Lào Cai</v>
      </c>
      <c r="D1187" s="3" t="s">
        <v>132</v>
      </c>
      <c r="E1187" s="4" t="str">
        <f t="shared" si="96"/>
        <v>Thành phố Lào Cai</v>
      </c>
      <c r="F1187" s="3" t="s">
        <v>1951</v>
      </c>
      <c r="G1187" s="4" t="str">
        <f>HYPERLINK("https://diaocthongthai.com/phuong-xuan-tang-tp-lao-cai/","Phường Xuân Tăng")</f>
        <v>Phường Xuân Tăng</v>
      </c>
    </row>
    <row r="1188" spans="1:7" x14ac:dyDescent="0.25">
      <c r="A1188" s="2">
        <v>1187</v>
      </c>
      <c r="B1188" s="3" t="s">
        <v>8</v>
      </c>
      <c r="C1188" s="4" t="str">
        <f t="shared" si="95"/>
        <v>Lào Cai</v>
      </c>
      <c r="D1188" s="3" t="s">
        <v>132</v>
      </c>
      <c r="E1188" s="4" t="str">
        <f t="shared" si="96"/>
        <v>Thành phố Lào Cai</v>
      </c>
      <c r="F1188" s="3" t="s">
        <v>1952</v>
      </c>
      <c r="G1188" s="4" t="str">
        <f>HYPERLINK("https://diaocthongthai.com/phuong-binh-minh-tp-lao-cai/","Phường Bình Minh")</f>
        <v>Phường Bình Minh</v>
      </c>
    </row>
    <row r="1189" spans="1:7" x14ac:dyDescent="0.25">
      <c r="A1189" s="2">
        <v>1188</v>
      </c>
      <c r="B1189" s="3" t="s">
        <v>8</v>
      </c>
      <c r="C1189" s="4" t="str">
        <f t="shared" si="95"/>
        <v>Lào Cai</v>
      </c>
      <c r="D1189" s="3" t="s">
        <v>132</v>
      </c>
      <c r="E1189" s="4" t="str">
        <f t="shared" si="96"/>
        <v>Thành phố Lào Cai</v>
      </c>
      <c r="F1189" s="3" t="s">
        <v>1953</v>
      </c>
      <c r="G1189" s="4" t="str">
        <f>HYPERLINK("https://diaocthongthai.com/xa-thong-nhat-tp-lao-cai/","Xã Thống Nhất")</f>
        <v>Xã Thống Nhất</v>
      </c>
    </row>
    <row r="1190" spans="1:7" x14ac:dyDescent="0.25">
      <c r="A1190" s="2">
        <v>1189</v>
      </c>
      <c r="B1190" s="3" t="s">
        <v>8</v>
      </c>
      <c r="C1190" s="4" t="str">
        <f t="shared" si="95"/>
        <v>Lào Cai</v>
      </c>
      <c r="D1190" s="3" t="s">
        <v>132</v>
      </c>
      <c r="E1190" s="4" t="str">
        <f t="shared" si="96"/>
        <v>Thành phố Lào Cai</v>
      </c>
      <c r="F1190" s="3" t="s">
        <v>1954</v>
      </c>
      <c r="G1190" s="4" t="str">
        <f>HYPERLINK("https://diaocthongthai.com/xa-dong-tuyen-tp-lao-cai/","Xã Đồng Tuyển")</f>
        <v>Xã Đồng Tuyển</v>
      </c>
    </row>
    <row r="1191" spans="1:7" x14ac:dyDescent="0.25">
      <c r="A1191" s="2">
        <v>1190</v>
      </c>
      <c r="B1191" s="3" t="s">
        <v>8</v>
      </c>
      <c r="C1191" s="4" t="str">
        <f t="shared" si="95"/>
        <v>Lào Cai</v>
      </c>
      <c r="D1191" s="3" t="s">
        <v>132</v>
      </c>
      <c r="E1191" s="4" t="str">
        <f t="shared" si="96"/>
        <v>Thành phố Lào Cai</v>
      </c>
      <c r="F1191" s="3" t="s">
        <v>1955</v>
      </c>
      <c r="G1191" s="4" t="str">
        <f>HYPERLINK("https://diaocthongthai.com/xa-van-hoa-tp-lao-cai/","Xã Vạn Hoà")</f>
        <v>Xã Vạn Hoà</v>
      </c>
    </row>
    <row r="1192" spans="1:7" x14ac:dyDescent="0.25">
      <c r="A1192" s="2">
        <v>1191</v>
      </c>
      <c r="B1192" s="3" t="s">
        <v>8</v>
      </c>
      <c r="C1192" s="4" t="str">
        <f t="shared" si="95"/>
        <v>Lào Cai</v>
      </c>
      <c r="D1192" s="3" t="s">
        <v>132</v>
      </c>
      <c r="E1192" s="4" t="str">
        <f t="shared" si="96"/>
        <v>Thành phố Lào Cai</v>
      </c>
      <c r="F1192" s="3" t="s">
        <v>1956</v>
      </c>
      <c r="G1192" s="4" t="str">
        <f>HYPERLINK("https://diaocthongthai.com/phuong-bac-cuong-tp-lao-cai/","Phường Bắc Cường")</f>
        <v>Phường Bắc Cường</v>
      </c>
    </row>
    <row r="1193" spans="1:7" x14ac:dyDescent="0.25">
      <c r="A1193" s="2">
        <v>1192</v>
      </c>
      <c r="B1193" s="3" t="s">
        <v>8</v>
      </c>
      <c r="C1193" s="4" t="str">
        <f t="shared" si="95"/>
        <v>Lào Cai</v>
      </c>
      <c r="D1193" s="3" t="s">
        <v>132</v>
      </c>
      <c r="E1193" s="4" t="str">
        <f t="shared" si="96"/>
        <v>Thành phố Lào Cai</v>
      </c>
      <c r="F1193" s="3" t="s">
        <v>1957</v>
      </c>
      <c r="G1193" s="4" t="str">
        <f>HYPERLINK("https://diaocthongthai.com/phuong-nam-cuong-tp-lao-cai/","Phường Nam Cường")</f>
        <v>Phường Nam Cường</v>
      </c>
    </row>
    <row r="1194" spans="1:7" x14ac:dyDescent="0.25">
      <c r="A1194" s="2">
        <v>1193</v>
      </c>
      <c r="B1194" s="3" t="s">
        <v>8</v>
      </c>
      <c r="C1194" s="4" t="str">
        <f t="shared" si="95"/>
        <v>Lào Cai</v>
      </c>
      <c r="D1194" s="3" t="s">
        <v>132</v>
      </c>
      <c r="E1194" s="4" t="str">
        <f t="shared" si="96"/>
        <v>Thành phố Lào Cai</v>
      </c>
      <c r="F1194" s="3" t="s">
        <v>1958</v>
      </c>
      <c r="G1194" s="4" t="str">
        <f>HYPERLINK("https://diaocthongthai.com/xa-cam-duong-tp-lao-cai/","Xã Cam Đường")</f>
        <v>Xã Cam Đường</v>
      </c>
    </row>
    <row r="1195" spans="1:7" x14ac:dyDescent="0.25">
      <c r="A1195" s="2">
        <v>1194</v>
      </c>
      <c r="B1195" s="3" t="s">
        <v>8</v>
      </c>
      <c r="C1195" s="4" t="str">
        <f t="shared" si="95"/>
        <v>Lào Cai</v>
      </c>
      <c r="D1195" s="3" t="s">
        <v>132</v>
      </c>
      <c r="E1195" s="4" t="str">
        <f t="shared" si="96"/>
        <v>Thành phố Lào Cai</v>
      </c>
      <c r="F1195" s="3" t="s">
        <v>1959</v>
      </c>
      <c r="G1195" s="4" t="str">
        <f>HYPERLINK("https://diaocthongthai.com/xa-ta-phoi-tp-lao-cai/","Xã Tả Phời")</f>
        <v>Xã Tả Phời</v>
      </c>
    </row>
    <row r="1196" spans="1:7" x14ac:dyDescent="0.25">
      <c r="A1196" s="2">
        <v>1195</v>
      </c>
      <c r="B1196" s="3" t="s">
        <v>8</v>
      </c>
      <c r="C1196" s="4" t="str">
        <f t="shared" si="95"/>
        <v>Lào Cai</v>
      </c>
      <c r="D1196" s="3" t="s">
        <v>132</v>
      </c>
      <c r="E1196" s="4" t="str">
        <f t="shared" si="96"/>
        <v>Thành phố Lào Cai</v>
      </c>
      <c r="F1196" s="3" t="s">
        <v>1960</v>
      </c>
      <c r="G1196" s="4" t="str">
        <f>HYPERLINK("https://diaocthongthai.com/xa-hop-thanh-tp-lao-cai/","Xã Hợp Thành")</f>
        <v>Xã Hợp Thành</v>
      </c>
    </row>
    <row r="1197" spans="1:7" x14ac:dyDescent="0.25">
      <c r="A1197" s="2">
        <v>1196</v>
      </c>
      <c r="B1197" s="3" t="s">
        <v>8</v>
      </c>
      <c r="C1197" s="4" t="str">
        <f t="shared" si="95"/>
        <v>Lào Cai</v>
      </c>
      <c r="D1197" s="3" t="s">
        <v>132</v>
      </c>
      <c r="E1197" s="4" t="str">
        <f t="shared" si="96"/>
        <v>Thành phố Lào Cai</v>
      </c>
      <c r="F1197" s="3" t="s">
        <v>1961</v>
      </c>
      <c r="G1197" s="4" t="str">
        <f>HYPERLINK("https://diaocthongthai.com/xa-coc-san-tp-lao-cai/","Xã Cốc San")</f>
        <v>Xã Cốc San</v>
      </c>
    </row>
    <row r="1198" spans="1:7" x14ac:dyDescent="0.25">
      <c r="A1198" s="2">
        <v>1197</v>
      </c>
      <c r="B1198" s="3" t="s">
        <v>8</v>
      </c>
      <c r="C1198" s="4" t="str">
        <f t="shared" si="95"/>
        <v>Lào Cai</v>
      </c>
      <c r="D1198" s="3" t="s">
        <v>133</v>
      </c>
      <c r="E1198" s="4" t="str">
        <f t="shared" ref="E1198:E1218" si="97">HYPERLINK("https://diaocthongthai.com/ban-do-huyen-bat-xat-lao-cai/","Huyện Bát Xát")</f>
        <v>Huyện Bát Xát</v>
      </c>
      <c r="F1198" s="3" t="s">
        <v>1962</v>
      </c>
      <c r="G1198" s="4" t="str">
        <f>HYPERLINK("https://diaocthongthai.com/thi-tran-bat-xat-bat-xat/","Thị trấn Bát Xát")</f>
        <v>Thị trấn Bát Xát</v>
      </c>
    </row>
    <row r="1199" spans="1:7" x14ac:dyDescent="0.25">
      <c r="A1199" s="2">
        <v>1198</v>
      </c>
      <c r="B1199" s="3" t="s">
        <v>8</v>
      </c>
      <c r="C1199" s="4" t="str">
        <f t="shared" si="95"/>
        <v>Lào Cai</v>
      </c>
      <c r="D1199" s="3" t="s">
        <v>133</v>
      </c>
      <c r="E1199" s="4" t="str">
        <f t="shared" si="97"/>
        <v>Huyện Bát Xát</v>
      </c>
      <c r="F1199" s="3" t="s">
        <v>1963</v>
      </c>
      <c r="G1199" s="4" t="str">
        <f>HYPERLINK("https://diaocthongthai.com/xa-a-mu-sung-bat-xat/","Xã A Mú Sung")</f>
        <v>Xã A Mú Sung</v>
      </c>
    </row>
    <row r="1200" spans="1:7" x14ac:dyDescent="0.25">
      <c r="A1200" s="2">
        <v>1199</v>
      </c>
      <c r="B1200" s="3" t="s">
        <v>8</v>
      </c>
      <c r="C1200" s="4" t="str">
        <f t="shared" si="95"/>
        <v>Lào Cai</v>
      </c>
      <c r="D1200" s="3" t="s">
        <v>133</v>
      </c>
      <c r="E1200" s="4" t="str">
        <f t="shared" si="97"/>
        <v>Huyện Bát Xát</v>
      </c>
      <c r="F1200" s="3" t="s">
        <v>1964</v>
      </c>
      <c r="G1200" s="4" t="str">
        <f>HYPERLINK("https://diaocthongthai.com/xa-nam-chac-bat-xat/","Xã Nậm Chạc")</f>
        <v>Xã Nậm Chạc</v>
      </c>
    </row>
    <row r="1201" spans="1:7" x14ac:dyDescent="0.25">
      <c r="A1201" s="2">
        <v>1200</v>
      </c>
      <c r="B1201" s="3" t="s">
        <v>8</v>
      </c>
      <c r="C1201" s="4" t="str">
        <f t="shared" si="95"/>
        <v>Lào Cai</v>
      </c>
      <c r="D1201" s="3" t="s">
        <v>133</v>
      </c>
      <c r="E1201" s="4" t="str">
        <f t="shared" si="97"/>
        <v>Huyện Bát Xát</v>
      </c>
      <c r="F1201" s="3" t="s">
        <v>1965</v>
      </c>
      <c r="G1201" s="4" t="str">
        <f>HYPERLINK("https://diaocthongthai.com/xa-a-lu-bat-xat/","Xã A Lù")</f>
        <v>Xã A Lù</v>
      </c>
    </row>
    <row r="1202" spans="1:7" x14ac:dyDescent="0.25">
      <c r="A1202" s="2">
        <v>1201</v>
      </c>
      <c r="B1202" s="3" t="s">
        <v>8</v>
      </c>
      <c r="C1202" s="4" t="str">
        <f t="shared" si="95"/>
        <v>Lào Cai</v>
      </c>
      <c r="D1202" s="3" t="s">
        <v>133</v>
      </c>
      <c r="E1202" s="4" t="str">
        <f t="shared" si="97"/>
        <v>Huyện Bát Xát</v>
      </c>
      <c r="F1202" s="3" t="s">
        <v>1966</v>
      </c>
      <c r="G1202" s="4" t="str">
        <f>HYPERLINK("https://diaocthongthai.com/xa-trinh-tuong-bat-xat/","Xã Trịnh Tường")</f>
        <v>Xã Trịnh Tường</v>
      </c>
    </row>
    <row r="1203" spans="1:7" x14ac:dyDescent="0.25">
      <c r="A1203" s="2">
        <v>1202</v>
      </c>
      <c r="B1203" s="3" t="s">
        <v>8</v>
      </c>
      <c r="C1203" s="4" t="str">
        <f t="shared" si="95"/>
        <v>Lào Cai</v>
      </c>
      <c r="D1203" s="3" t="s">
        <v>133</v>
      </c>
      <c r="E1203" s="4" t="str">
        <f t="shared" si="97"/>
        <v>Huyện Bát Xát</v>
      </c>
      <c r="F1203" s="3" t="s">
        <v>1967</v>
      </c>
      <c r="G1203" s="4" t="str">
        <f>HYPERLINK("https://diaocthongthai.com/xa-y-ty-bat-xat/","Xã Y Tý")</f>
        <v>Xã Y Tý</v>
      </c>
    </row>
    <row r="1204" spans="1:7" x14ac:dyDescent="0.25">
      <c r="A1204" s="2">
        <v>1203</v>
      </c>
      <c r="B1204" s="3" t="s">
        <v>8</v>
      </c>
      <c r="C1204" s="4" t="str">
        <f t="shared" si="95"/>
        <v>Lào Cai</v>
      </c>
      <c r="D1204" s="3" t="s">
        <v>133</v>
      </c>
      <c r="E1204" s="4" t="str">
        <f t="shared" si="97"/>
        <v>Huyện Bát Xát</v>
      </c>
      <c r="F1204" s="3" t="s">
        <v>1968</v>
      </c>
      <c r="G1204" s="4" t="str">
        <f>HYPERLINK("https://diaocthongthai.com/xa-coc-my-bat-xat/","Xã Cốc Mỳ")</f>
        <v>Xã Cốc Mỳ</v>
      </c>
    </row>
    <row r="1205" spans="1:7" x14ac:dyDescent="0.25">
      <c r="A1205" s="2">
        <v>1204</v>
      </c>
      <c r="B1205" s="3" t="s">
        <v>8</v>
      </c>
      <c r="C1205" s="4" t="str">
        <f t="shared" si="95"/>
        <v>Lào Cai</v>
      </c>
      <c r="D1205" s="3" t="s">
        <v>133</v>
      </c>
      <c r="E1205" s="4" t="str">
        <f t="shared" si="97"/>
        <v>Huyện Bát Xát</v>
      </c>
      <c r="F1205" s="3" t="s">
        <v>1969</v>
      </c>
      <c r="G1205" s="4" t="str">
        <f>HYPERLINK("https://diaocthongthai.com/xa-den-sang-bat-xat/","Xã Dền Sáng")</f>
        <v>Xã Dền Sáng</v>
      </c>
    </row>
    <row r="1206" spans="1:7" x14ac:dyDescent="0.25">
      <c r="A1206" s="2">
        <v>1205</v>
      </c>
      <c r="B1206" s="3" t="s">
        <v>8</v>
      </c>
      <c r="C1206" s="4" t="str">
        <f t="shared" si="95"/>
        <v>Lào Cai</v>
      </c>
      <c r="D1206" s="3" t="s">
        <v>133</v>
      </c>
      <c r="E1206" s="4" t="str">
        <f t="shared" si="97"/>
        <v>Huyện Bát Xát</v>
      </c>
      <c r="F1206" s="3" t="s">
        <v>1970</v>
      </c>
      <c r="G1206" s="4" t="str">
        <f>HYPERLINK("https://diaocthongthai.com/xa-ban-vuoc-bat-xat/","Xã Bản Vược")</f>
        <v>Xã Bản Vược</v>
      </c>
    </row>
    <row r="1207" spans="1:7" x14ac:dyDescent="0.25">
      <c r="A1207" s="2">
        <v>1206</v>
      </c>
      <c r="B1207" s="3" t="s">
        <v>8</v>
      </c>
      <c r="C1207" s="4" t="str">
        <f t="shared" si="95"/>
        <v>Lào Cai</v>
      </c>
      <c r="D1207" s="3" t="s">
        <v>133</v>
      </c>
      <c r="E1207" s="4" t="str">
        <f t="shared" si="97"/>
        <v>Huyện Bát Xát</v>
      </c>
      <c r="F1207" s="3" t="s">
        <v>1971</v>
      </c>
      <c r="G1207" s="4" t="str">
        <f>HYPERLINK("https://diaocthongthai.com/xa-sang-ma-sao-bat-xat/","Xã Sàng Ma Sáo")</f>
        <v>Xã Sàng Ma Sáo</v>
      </c>
    </row>
    <row r="1208" spans="1:7" x14ac:dyDescent="0.25">
      <c r="A1208" s="2">
        <v>1207</v>
      </c>
      <c r="B1208" s="3" t="s">
        <v>8</v>
      </c>
      <c r="C1208" s="4" t="str">
        <f t="shared" si="95"/>
        <v>Lào Cai</v>
      </c>
      <c r="D1208" s="3" t="s">
        <v>133</v>
      </c>
      <c r="E1208" s="4" t="str">
        <f t="shared" si="97"/>
        <v>Huyện Bát Xát</v>
      </c>
      <c r="F1208" s="3" t="s">
        <v>1972</v>
      </c>
      <c r="G1208" s="4" t="str">
        <f>HYPERLINK("https://diaocthongthai.com/xa-ban-qua-bat-xat/","Xã Bản Qua")</f>
        <v>Xã Bản Qua</v>
      </c>
    </row>
    <row r="1209" spans="1:7" x14ac:dyDescent="0.25">
      <c r="A1209" s="2">
        <v>1208</v>
      </c>
      <c r="B1209" s="3" t="s">
        <v>8</v>
      </c>
      <c r="C1209" s="4" t="str">
        <f t="shared" si="95"/>
        <v>Lào Cai</v>
      </c>
      <c r="D1209" s="3" t="s">
        <v>133</v>
      </c>
      <c r="E1209" s="4" t="str">
        <f t="shared" si="97"/>
        <v>Huyện Bát Xát</v>
      </c>
      <c r="F1209" s="3" t="s">
        <v>1973</v>
      </c>
      <c r="G1209" s="4" t="str">
        <f>HYPERLINK("https://diaocthongthai.com/xa-muong-vi-bat-xat/","Xã Mường Vi")</f>
        <v>Xã Mường Vi</v>
      </c>
    </row>
    <row r="1210" spans="1:7" x14ac:dyDescent="0.25">
      <c r="A1210" s="2">
        <v>1209</v>
      </c>
      <c r="B1210" s="3" t="s">
        <v>8</v>
      </c>
      <c r="C1210" s="4" t="str">
        <f t="shared" si="95"/>
        <v>Lào Cai</v>
      </c>
      <c r="D1210" s="3" t="s">
        <v>133</v>
      </c>
      <c r="E1210" s="4" t="str">
        <f t="shared" si="97"/>
        <v>Huyện Bát Xát</v>
      </c>
      <c r="F1210" s="3" t="s">
        <v>1974</v>
      </c>
      <c r="G1210" s="4" t="str">
        <f>HYPERLINK("https://diaocthongthai.com/xa-den-thang-bat-xat/","Xã Dền Thàng")</f>
        <v>Xã Dền Thàng</v>
      </c>
    </row>
    <row r="1211" spans="1:7" x14ac:dyDescent="0.25">
      <c r="A1211" s="2">
        <v>1210</v>
      </c>
      <c r="B1211" s="3" t="s">
        <v>8</v>
      </c>
      <c r="C1211" s="4" t="str">
        <f t="shared" si="95"/>
        <v>Lào Cai</v>
      </c>
      <c r="D1211" s="3" t="s">
        <v>133</v>
      </c>
      <c r="E1211" s="4" t="str">
        <f t="shared" si="97"/>
        <v>Huyện Bát Xát</v>
      </c>
      <c r="F1211" s="3" t="s">
        <v>1975</v>
      </c>
      <c r="G1211" s="4" t="str">
        <f>HYPERLINK("https://diaocthongthai.com/xa-ban-xeo-bat-xat/","Xã Bản Xèo")</f>
        <v>Xã Bản Xèo</v>
      </c>
    </row>
    <row r="1212" spans="1:7" x14ac:dyDescent="0.25">
      <c r="A1212" s="2">
        <v>1211</v>
      </c>
      <c r="B1212" s="3" t="s">
        <v>8</v>
      </c>
      <c r="C1212" s="4" t="str">
        <f t="shared" si="95"/>
        <v>Lào Cai</v>
      </c>
      <c r="D1212" s="3" t="s">
        <v>133</v>
      </c>
      <c r="E1212" s="4" t="str">
        <f t="shared" si="97"/>
        <v>Huyện Bát Xát</v>
      </c>
      <c r="F1212" s="3" t="s">
        <v>1976</v>
      </c>
      <c r="G1212" s="4" t="str">
        <f>HYPERLINK("https://diaocthongthai.com/xa-muong-hum-bat-xat/","Xã Mường Hum")</f>
        <v>Xã Mường Hum</v>
      </c>
    </row>
    <row r="1213" spans="1:7" x14ac:dyDescent="0.25">
      <c r="A1213" s="2">
        <v>1212</v>
      </c>
      <c r="B1213" s="3" t="s">
        <v>8</v>
      </c>
      <c r="C1213" s="4" t="str">
        <f t="shared" ref="C1213:C1244" si="98">HYPERLINK("https://diaocthongthai.com/ban-do-lao-cai/","Lào Cai")</f>
        <v>Lào Cai</v>
      </c>
      <c r="D1213" s="3" t="s">
        <v>133</v>
      </c>
      <c r="E1213" s="4" t="str">
        <f t="shared" si="97"/>
        <v>Huyện Bát Xát</v>
      </c>
      <c r="F1213" s="3" t="s">
        <v>1977</v>
      </c>
      <c r="G1213" s="4" t="str">
        <f>HYPERLINK("https://diaocthongthai.com/xa-trung-leng-ho-bat-xat/","Xã Trung Lèng Hồ")</f>
        <v>Xã Trung Lèng Hồ</v>
      </c>
    </row>
    <row r="1214" spans="1:7" x14ac:dyDescent="0.25">
      <c r="A1214" s="2">
        <v>1213</v>
      </c>
      <c r="B1214" s="3" t="s">
        <v>8</v>
      </c>
      <c r="C1214" s="4" t="str">
        <f t="shared" si="98"/>
        <v>Lào Cai</v>
      </c>
      <c r="D1214" s="3" t="s">
        <v>133</v>
      </c>
      <c r="E1214" s="4" t="str">
        <f t="shared" si="97"/>
        <v>Huyện Bát Xát</v>
      </c>
      <c r="F1214" s="3" t="s">
        <v>1978</v>
      </c>
      <c r="G1214" s="4" t="str">
        <f>HYPERLINK("https://diaocthongthai.com/xa-quang-kim-bat-xat/","Xã Quang Kim")</f>
        <v>Xã Quang Kim</v>
      </c>
    </row>
    <row r="1215" spans="1:7" x14ac:dyDescent="0.25">
      <c r="A1215" s="2">
        <v>1214</v>
      </c>
      <c r="B1215" s="3" t="s">
        <v>8</v>
      </c>
      <c r="C1215" s="4" t="str">
        <f t="shared" si="98"/>
        <v>Lào Cai</v>
      </c>
      <c r="D1215" s="3" t="s">
        <v>133</v>
      </c>
      <c r="E1215" s="4" t="str">
        <f t="shared" si="97"/>
        <v>Huyện Bát Xát</v>
      </c>
      <c r="F1215" s="3" t="s">
        <v>1979</v>
      </c>
      <c r="G1215" s="4" t="str">
        <f>HYPERLINK("https://diaocthongthai.com/xa-pa-cheo-bat-xat/","Xã Pa Cheo")</f>
        <v>Xã Pa Cheo</v>
      </c>
    </row>
    <row r="1216" spans="1:7" x14ac:dyDescent="0.25">
      <c r="A1216" s="2">
        <v>1215</v>
      </c>
      <c r="B1216" s="3" t="s">
        <v>8</v>
      </c>
      <c r="C1216" s="4" t="str">
        <f t="shared" si="98"/>
        <v>Lào Cai</v>
      </c>
      <c r="D1216" s="3" t="s">
        <v>133</v>
      </c>
      <c r="E1216" s="4" t="str">
        <f t="shared" si="97"/>
        <v>Huyện Bát Xát</v>
      </c>
      <c r="F1216" s="3" t="s">
        <v>1980</v>
      </c>
      <c r="G1216" s="4" t="str">
        <f>HYPERLINK("https://diaocthongthai.com/xa-nam-pung-bat-xat/","Xã Nậm Pung")</f>
        <v>Xã Nậm Pung</v>
      </c>
    </row>
    <row r="1217" spans="1:7" x14ac:dyDescent="0.25">
      <c r="A1217" s="2">
        <v>1216</v>
      </c>
      <c r="B1217" s="3" t="s">
        <v>8</v>
      </c>
      <c r="C1217" s="4" t="str">
        <f t="shared" si="98"/>
        <v>Lào Cai</v>
      </c>
      <c r="D1217" s="3" t="s">
        <v>133</v>
      </c>
      <c r="E1217" s="4" t="str">
        <f t="shared" si="97"/>
        <v>Huyện Bát Xát</v>
      </c>
      <c r="F1217" s="3" t="s">
        <v>1981</v>
      </c>
      <c r="G1217" s="4" t="str">
        <f>HYPERLINK("https://diaocthongthai.com/xa-phin-ngan-bat-xat/","Xã Phìn Ngan")</f>
        <v>Xã Phìn Ngan</v>
      </c>
    </row>
    <row r="1218" spans="1:7" x14ac:dyDescent="0.25">
      <c r="A1218" s="2">
        <v>1217</v>
      </c>
      <c r="B1218" s="3" t="s">
        <v>8</v>
      </c>
      <c r="C1218" s="4" t="str">
        <f t="shared" si="98"/>
        <v>Lào Cai</v>
      </c>
      <c r="D1218" s="3" t="s">
        <v>133</v>
      </c>
      <c r="E1218" s="4" t="str">
        <f t="shared" si="97"/>
        <v>Huyện Bát Xát</v>
      </c>
      <c r="F1218" s="3" t="s">
        <v>1982</v>
      </c>
      <c r="G1218" s="4" t="str">
        <f>HYPERLINK("https://diaocthongthai.com/xa-tong-sanh-bat-xat/","Xã Tòng Sành")</f>
        <v>Xã Tòng Sành</v>
      </c>
    </row>
    <row r="1219" spans="1:7" x14ac:dyDescent="0.25">
      <c r="A1219" s="2">
        <v>1218</v>
      </c>
      <c r="B1219" s="3" t="s">
        <v>8</v>
      </c>
      <c r="C1219" s="4" t="str">
        <f t="shared" si="98"/>
        <v>Lào Cai</v>
      </c>
      <c r="D1219" s="3" t="s">
        <v>134</v>
      </c>
      <c r="E1219" s="4" t="str">
        <f t="shared" ref="E1219:E1234" si="99">HYPERLINK("https://diaocthongthai.com/ban-do-huyen-muong-khuong-lao-cai/","Huyện Mường Khương")</f>
        <v>Huyện Mường Khương</v>
      </c>
      <c r="F1219" s="3" t="s">
        <v>1983</v>
      </c>
      <c r="G1219" s="4" t="str">
        <f>HYPERLINK("https://diaocthongthai.com/xa-pha-long-muong-khuong/","Xã Pha Long")</f>
        <v>Xã Pha Long</v>
      </c>
    </row>
    <row r="1220" spans="1:7" x14ac:dyDescent="0.25">
      <c r="A1220" s="2">
        <v>1219</v>
      </c>
      <c r="B1220" s="3" t="s">
        <v>8</v>
      </c>
      <c r="C1220" s="4" t="str">
        <f t="shared" si="98"/>
        <v>Lào Cai</v>
      </c>
      <c r="D1220" s="3" t="s">
        <v>134</v>
      </c>
      <c r="E1220" s="4" t="str">
        <f t="shared" si="99"/>
        <v>Huyện Mường Khương</v>
      </c>
      <c r="F1220" s="3" t="s">
        <v>1984</v>
      </c>
      <c r="G1220" s="4" t="str">
        <f>HYPERLINK("https://diaocthongthai.com/xa-ta-ngai-cho-muong-khuong/","Xã Tả Ngải Chồ")</f>
        <v>Xã Tả Ngải Chồ</v>
      </c>
    </row>
    <row r="1221" spans="1:7" x14ac:dyDescent="0.25">
      <c r="A1221" s="2">
        <v>1220</v>
      </c>
      <c r="B1221" s="3" t="s">
        <v>8</v>
      </c>
      <c r="C1221" s="4" t="str">
        <f t="shared" si="98"/>
        <v>Lào Cai</v>
      </c>
      <c r="D1221" s="3" t="s">
        <v>134</v>
      </c>
      <c r="E1221" s="4" t="str">
        <f t="shared" si="99"/>
        <v>Huyện Mường Khương</v>
      </c>
      <c r="F1221" s="3" t="s">
        <v>1985</v>
      </c>
      <c r="G1221" s="4" t="str">
        <f>HYPERLINK("https://diaocthongthai.com/xa-tung-chung-pho-muong-khuong/","Xã Tung Chung Phố")</f>
        <v>Xã Tung Chung Phố</v>
      </c>
    </row>
    <row r="1222" spans="1:7" x14ac:dyDescent="0.25">
      <c r="A1222" s="2">
        <v>1221</v>
      </c>
      <c r="B1222" s="3" t="s">
        <v>8</v>
      </c>
      <c r="C1222" s="4" t="str">
        <f t="shared" si="98"/>
        <v>Lào Cai</v>
      </c>
      <c r="D1222" s="3" t="s">
        <v>134</v>
      </c>
      <c r="E1222" s="4" t="str">
        <f t="shared" si="99"/>
        <v>Huyện Mường Khương</v>
      </c>
      <c r="F1222" s="3" t="s">
        <v>1986</v>
      </c>
      <c r="G1222" s="4" t="str">
        <f>HYPERLINK("https://diaocthongthai.com/thi-tran-muong-khuong-muong-khuong/","Thị trấn Mường Khương")</f>
        <v>Thị trấn Mường Khương</v>
      </c>
    </row>
    <row r="1223" spans="1:7" x14ac:dyDescent="0.25">
      <c r="A1223" s="2">
        <v>1222</v>
      </c>
      <c r="B1223" s="3" t="s">
        <v>8</v>
      </c>
      <c r="C1223" s="4" t="str">
        <f t="shared" si="98"/>
        <v>Lào Cai</v>
      </c>
      <c r="D1223" s="3" t="s">
        <v>134</v>
      </c>
      <c r="E1223" s="4" t="str">
        <f t="shared" si="99"/>
        <v>Huyện Mường Khương</v>
      </c>
      <c r="F1223" s="3" t="s">
        <v>1987</v>
      </c>
      <c r="G1223" s="4" t="str">
        <f>HYPERLINK("https://diaocthongthai.com/xa-din-chin-muong-khuong/","Xã Dìn Chin")</f>
        <v>Xã Dìn Chin</v>
      </c>
    </row>
    <row r="1224" spans="1:7" x14ac:dyDescent="0.25">
      <c r="A1224" s="2">
        <v>1223</v>
      </c>
      <c r="B1224" s="3" t="s">
        <v>8</v>
      </c>
      <c r="C1224" s="4" t="str">
        <f t="shared" si="98"/>
        <v>Lào Cai</v>
      </c>
      <c r="D1224" s="3" t="s">
        <v>134</v>
      </c>
      <c r="E1224" s="4" t="str">
        <f t="shared" si="99"/>
        <v>Huyện Mường Khương</v>
      </c>
      <c r="F1224" s="3" t="s">
        <v>1988</v>
      </c>
      <c r="G1224" s="4" t="str">
        <f>HYPERLINK("https://diaocthongthai.com/xa-ta-gia-khau-muong-khuong/","Xã Tả Gia Khâu")</f>
        <v>Xã Tả Gia Khâu</v>
      </c>
    </row>
    <row r="1225" spans="1:7" x14ac:dyDescent="0.25">
      <c r="A1225" s="2">
        <v>1224</v>
      </c>
      <c r="B1225" s="3" t="s">
        <v>8</v>
      </c>
      <c r="C1225" s="4" t="str">
        <f t="shared" si="98"/>
        <v>Lào Cai</v>
      </c>
      <c r="D1225" s="3" t="s">
        <v>134</v>
      </c>
      <c r="E1225" s="4" t="str">
        <f t="shared" si="99"/>
        <v>Huyện Mường Khương</v>
      </c>
      <c r="F1225" s="3" t="s">
        <v>1989</v>
      </c>
      <c r="G1225" s="4" t="str">
        <f>HYPERLINK("https://diaocthongthai.com/xa-nam-chay-muong-khuong/","Xã Nậm Chảy")</f>
        <v>Xã Nậm Chảy</v>
      </c>
    </row>
    <row r="1226" spans="1:7" x14ac:dyDescent="0.25">
      <c r="A1226" s="2">
        <v>1225</v>
      </c>
      <c r="B1226" s="3" t="s">
        <v>8</v>
      </c>
      <c r="C1226" s="4" t="str">
        <f t="shared" si="98"/>
        <v>Lào Cai</v>
      </c>
      <c r="D1226" s="3" t="s">
        <v>134</v>
      </c>
      <c r="E1226" s="4" t="str">
        <f t="shared" si="99"/>
        <v>Huyện Mường Khương</v>
      </c>
      <c r="F1226" s="3" t="s">
        <v>1990</v>
      </c>
      <c r="G1226" s="4" t="str">
        <f>HYPERLINK("https://diaocthongthai.com/xa-nam-lu-muong-khuong/","Xã Nấm Lư")</f>
        <v>Xã Nấm Lư</v>
      </c>
    </row>
    <row r="1227" spans="1:7" x14ac:dyDescent="0.25">
      <c r="A1227" s="2">
        <v>1226</v>
      </c>
      <c r="B1227" s="3" t="s">
        <v>8</v>
      </c>
      <c r="C1227" s="4" t="str">
        <f t="shared" si="98"/>
        <v>Lào Cai</v>
      </c>
      <c r="D1227" s="3" t="s">
        <v>134</v>
      </c>
      <c r="E1227" s="4" t="str">
        <f t="shared" si="99"/>
        <v>Huyện Mường Khương</v>
      </c>
      <c r="F1227" s="3" t="s">
        <v>1991</v>
      </c>
      <c r="G1227" s="4" t="str">
        <f>HYPERLINK("https://diaocthongthai.com/xa-lung-khau-nhin-muong-khuong/","Xã Lùng Khấu Nhin")</f>
        <v>Xã Lùng Khấu Nhin</v>
      </c>
    </row>
    <row r="1228" spans="1:7" x14ac:dyDescent="0.25">
      <c r="A1228" s="2">
        <v>1227</v>
      </c>
      <c r="B1228" s="3" t="s">
        <v>8</v>
      </c>
      <c r="C1228" s="4" t="str">
        <f t="shared" si="98"/>
        <v>Lào Cai</v>
      </c>
      <c r="D1228" s="3" t="s">
        <v>134</v>
      </c>
      <c r="E1228" s="4" t="str">
        <f t="shared" si="99"/>
        <v>Huyện Mường Khương</v>
      </c>
      <c r="F1228" s="3" t="s">
        <v>1992</v>
      </c>
      <c r="G1228" s="4" t="str">
        <f>HYPERLINK("https://diaocthongthai.com/xa-thanh-binh-muong-khuong/","Xã Thanh Bình")</f>
        <v>Xã Thanh Bình</v>
      </c>
    </row>
    <row r="1229" spans="1:7" x14ac:dyDescent="0.25">
      <c r="A1229" s="2">
        <v>1228</v>
      </c>
      <c r="B1229" s="3" t="s">
        <v>8</v>
      </c>
      <c r="C1229" s="4" t="str">
        <f t="shared" si="98"/>
        <v>Lào Cai</v>
      </c>
      <c r="D1229" s="3" t="s">
        <v>134</v>
      </c>
      <c r="E1229" s="4" t="str">
        <f t="shared" si="99"/>
        <v>Huyện Mường Khương</v>
      </c>
      <c r="F1229" s="3" t="s">
        <v>1993</v>
      </c>
      <c r="G1229" s="4" t="str">
        <f>HYPERLINK("https://diaocthongthai.com/xa-cao-son-muong-khuong/","Xã Cao Sơn")</f>
        <v>Xã Cao Sơn</v>
      </c>
    </row>
    <row r="1230" spans="1:7" x14ac:dyDescent="0.25">
      <c r="A1230" s="2">
        <v>1229</v>
      </c>
      <c r="B1230" s="3" t="s">
        <v>8</v>
      </c>
      <c r="C1230" s="4" t="str">
        <f t="shared" si="98"/>
        <v>Lào Cai</v>
      </c>
      <c r="D1230" s="3" t="s">
        <v>134</v>
      </c>
      <c r="E1230" s="4" t="str">
        <f t="shared" si="99"/>
        <v>Huyện Mường Khương</v>
      </c>
      <c r="F1230" s="3" t="s">
        <v>1994</v>
      </c>
      <c r="G1230" s="4" t="str">
        <f>HYPERLINK("https://diaocthongthai.com/xa-lung-vai-muong-khuong/","Xã Lùng Vai")</f>
        <v>Xã Lùng Vai</v>
      </c>
    </row>
    <row r="1231" spans="1:7" x14ac:dyDescent="0.25">
      <c r="A1231" s="2">
        <v>1230</v>
      </c>
      <c r="B1231" s="3" t="s">
        <v>8</v>
      </c>
      <c r="C1231" s="4" t="str">
        <f t="shared" si="98"/>
        <v>Lào Cai</v>
      </c>
      <c r="D1231" s="3" t="s">
        <v>134</v>
      </c>
      <c r="E1231" s="4" t="str">
        <f t="shared" si="99"/>
        <v>Huyện Mường Khương</v>
      </c>
      <c r="F1231" s="3" t="s">
        <v>1995</v>
      </c>
      <c r="G1231" s="4" t="str">
        <f>HYPERLINK("https://diaocthongthai.com/xa-ban-lau-muong-khuong/","Xã Bản Lầu")</f>
        <v>Xã Bản Lầu</v>
      </c>
    </row>
    <row r="1232" spans="1:7" x14ac:dyDescent="0.25">
      <c r="A1232" s="2">
        <v>1231</v>
      </c>
      <c r="B1232" s="3" t="s">
        <v>8</v>
      </c>
      <c r="C1232" s="4" t="str">
        <f t="shared" si="98"/>
        <v>Lào Cai</v>
      </c>
      <c r="D1232" s="3" t="s">
        <v>134</v>
      </c>
      <c r="E1232" s="4" t="str">
        <f t="shared" si="99"/>
        <v>Huyện Mường Khương</v>
      </c>
      <c r="F1232" s="3" t="s">
        <v>1996</v>
      </c>
      <c r="G1232" s="4" t="str">
        <f>HYPERLINK("https://diaocthongthai.com/xa-la-pan-tan-muong-khuong/","Xã La Pan Tẩn")</f>
        <v>Xã La Pan Tẩn</v>
      </c>
    </row>
    <row r="1233" spans="1:7" x14ac:dyDescent="0.25">
      <c r="A1233" s="2">
        <v>1232</v>
      </c>
      <c r="B1233" s="3" t="s">
        <v>8</v>
      </c>
      <c r="C1233" s="4" t="str">
        <f t="shared" si="98"/>
        <v>Lào Cai</v>
      </c>
      <c r="D1233" s="3" t="s">
        <v>134</v>
      </c>
      <c r="E1233" s="4" t="str">
        <f t="shared" si="99"/>
        <v>Huyện Mường Khương</v>
      </c>
      <c r="F1233" s="3" t="s">
        <v>1997</v>
      </c>
      <c r="G1233" s="4" t="str">
        <f>HYPERLINK("https://diaocthongthai.com/xa-ta-thang-muong-khuong/","Xã Tả Thàng")</f>
        <v>Xã Tả Thàng</v>
      </c>
    </row>
    <row r="1234" spans="1:7" x14ac:dyDescent="0.25">
      <c r="A1234" s="2">
        <v>1233</v>
      </c>
      <c r="B1234" s="3" t="s">
        <v>8</v>
      </c>
      <c r="C1234" s="4" t="str">
        <f t="shared" si="98"/>
        <v>Lào Cai</v>
      </c>
      <c r="D1234" s="3" t="s">
        <v>134</v>
      </c>
      <c r="E1234" s="4" t="str">
        <f t="shared" si="99"/>
        <v>Huyện Mường Khương</v>
      </c>
      <c r="F1234" s="3" t="s">
        <v>1998</v>
      </c>
      <c r="G1234" s="4" t="str">
        <f>HYPERLINK("https://diaocthongthai.com/xa-ban-sen-muong-khuong/","Xã Bản Sen")</f>
        <v>Xã Bản Sen</v>
      </c>
    </row>
    <row r="1235" spans="1:7" x14ac:dyDescent="0.25">
      <c r="A1235" s="2">
        <v>1234</v>
      </c>
      <c r="B1235" s="3" t="s">
        <v>8</v>
      </c>
      <c r="C1235" s="4" t="str">
        <f t="shared" si="98"/>
        <v>Lào Cai</v>
      </c>
      <c r="D1235" s="3" t="s">
        <v>135</v>
      </c>
      <c r="E1235" s="4" t="str">
        <f t="shared" ref="E1235:E1244" si="100">HYPERLINK("https://diaocthongthai.com/ban-do-huyen-si-ma-cai-lao-cai/","Huyện Si Ma Cai")</f>
        <v>Huyện Si Ma Cai</v>
      </c>
      <c r="F1235" s="3" t="s">
        <v>1999</v>
      </c>
      <c r="G1235" s="4" t="str">
        <f>HYPERLINK("https://diaocthongthai.com/xa-nan-san-si-ma-cai/","Xã Nàn Sán")</f>
        <v>Xã Nàn Sán</v>
      </c>
    </row>
    <row r="1236" spans="1:7" x14ac:dyDescent="0.25">
      <c r="A1236" s="2">
        <v>1235</v>
      </c>
      <c r="B1236" s="3" t="s">
        <v>8</v>
      </c>
      <c r="C1236" s="4" t="str">
        <f t="shared" si="98"/>
        <v>Lào Cai</v>
      </c>
      <c r="D1236" s="3" t="s">
        <v>135</v>
      </c>
      <c r="E1236" s="4" t="str">
        <f t="shared" si="100"/>
        <v>Huyện Si Ma Cai</v>
      </c>
      <c r="F1236" s="3" t="s">
        <v>2000</v>
      </c>
      <c r="G1236" s="4" t="str">
        <f>HYPERLINK("https://diaocthongthai.com/xa-thao-chu-phin-si-ma-cai/","Xã Thào Chư Phìn")</f>
        <v>Xã Thào Chư Phìn</v>
      </c>
    </row>
    <row r="1237" spans="1:7" x14ac:dyDescent="0.25">
      <c r="A1237" s="2">
        <v>1236</v>
      </c>
      <c r="B1237" s="3" t="s">
        <v>8</v>
      </c>
      <c r="C1237" s="4" t="str">
        <f t="shared" si="98"/>
        <v>Lào Cai</v>
      </c>
      <c r="D1237" s="3" t="s">
        <v>135</v>
      </c>
      <c r="E1237" s="4" t="str">
        <f t="shared" si="100"/>
        <v>Huyện Si Ma Cai</v>
      </c>
      <c r="F1237" s="3" t="s">
        <v>2001</v>
      </c>
      <c r="G1237" s="4" t="str">
        <f>HYPERLINK("https://diaocthongthai.com/xa-ban-me-si-ma-cai/","Xã Bản Mế")</f>
        <v>Xã Bản Mế</v>
      </c>
    </row>
    <row r="1238" spans="1:7" x14ac:dyDescent="0.25">
      <c r="A1238" s="2">
        <v>1237</v>
      </c>
      <c r="B1238" s="3" t="s">
        <v>8</v>
      </c>
      <c r="C1238" s="4" t="str">
        <f t="shared" si="98"/>
        <v>Lào Cai</v>
      </c>
      <c r="D1238" s="3" t="s">
        <v>135</v>
      </c>
      <c r="E1238" s="4" t="str">
        <f t="shared" si="100"/>
        <v>Huyện Si Ma Cai</v>
      </c>
      <c r="F1238" s="3" t="s">
        <v>2002</v>
      </c>
      <c r="G1238" s="4" t="str">
        <f>HYPERLINK("https://diaocthongthai.com/thi-tran-si-ma-cai-si-ma-cai/","Thị trấn Si Ma Cai")</f>
        <v>Thị trấn Si Ma Cai</v>
      </c>
    </row>
    <row r="1239" spans="1:7" x14ac:dyDescent="0.25">
      <c r="A1239" s="2">
        <v>1238</v>
      </c>
      <c r="B1239" s="3" t="s">
        <v>8</v>
      </c>
      <c r="C1239" s="4" t="str">
        <f t="shared" si="98"/>
        <v>Lào Cai</v>
      </c>
      <c r="D1239" s="3" t="s">
        <v>135</v>
      </c>
      <c r="E1239" s="4" t="str">
        <f t="shared" si="100"/>
        <v>Huyện Si Ma Cai</v>
      </c>
      <c r="F1239" s="3" t="s">
        <v>2003</v>
      </c>
      <c r="G1239" s="4" t="str">
        <f>HYPERLINK("https://diaocthongthai.com/xa-san-chai-si-ma-cai/","Xã Sán Chải")</f>
        <v>Xã Sán Chải</v>
      </c>
    </row>
    <row r="1240" spans="1:7" x14ac:dyDescent="0.25">
      <c r="A1240" s="2">
        <v>1239</v>
      </c>
      <c r="B1240" s="3" t="s">
        <v>8</v>
      </c>
      <c r="C1240" s="4" t="str">
        <f t="shared" si="98"/>
        <v>Lào Cai</v>
      </c>
      <c r="D1240" s="3" t="s">
        <v>135</v>
      </c>
      <c r="E1240" s="4" t="str">
        <f t="shared" si="100"/>
        <v>Huyện Si Ma Cai</v>
      </c>
      <c r="F1240" s="3" t="s">
        <v>2004</v>
      </c>
      <c r="G1240" s="4" t="str">
        <f>HYPERLINK("https://diaocthongthai.com/xa-lung-than-si-ma-cai/","Xã Lùng Thẩn")</f>
        <v>Xã Lùng Thẩn</v>
      </c>
    </row>
    <row r="1241" spans="1:7" x14ac:dyDescent="0.25">
      <c r="A1241" s="2">
        <v>1240</v>
      </c>
      <c r="B1241" s="3" t="s">
        <v>8</v>
      </c>
      <c r="C1241" s="4" t="str">
        <f t="shared" si="98"/>
        <v>Lào Cai</v>
      </c>
      <c r="D1241" s="3" t="s">
        <v>135</v>
      </c>
      <c r="E1241" s="4" t="str">
        <f t="shared" si="100"/>
        <v>Huyện Si Ma Cai</v>
      </c>
      <c r="F1241" s="3" t="s">
        <v>2005</v>
      </c>
      <c r="G1241" s="4" t="str">
        <f>HYPERLINK("https://diaocthongthai.com/xa-can-cau-si-ma-cai/","Xã Cán Cấu")</f>
        <v>Xã Cán Cấu</v>
      </c>
    </row>
    <row r="1242" spans="1:7" x14ac:dyDescent="0.25">
      <c r="A1242" s="2">
        <v>1241</v>
      </c>
      <c r="B1242" s="3" t="s">
        <v>8</v>
      </c>
      <c r="C1242" s="4" t="str">
        <f t="shared" si="98"/>
        <v>Lào Cai</v>
      </c>
      <c r="D1242" s="3" t="s">
        <v>135</v>
      </c>
      <c r="E1242" s="4" t="str">
        <f t="shared" si="100"/>
        <v>Huyện Si Ma Cai</v>
      </c>
      <c r="F1242" s="3" t="s">
        <v>2006</v>
      </c>
      <c r="G1242" s="4" t="str">
        <f>HYPERLINK("https://diaocthongthai.com/xa-sin-cheng-si-ma-cai/","Xã Sín Chéng")</f>
        <v>Xã Sín Chéng</v>
      </c>
    </row>
    <row r="1243" spans="1:7" x14ac:dyDescent="0.25">
      <c r="A1243" s="2">
        <v>1242</v>
      </c>
      <c r="B1243" s="3" t="s">
        <v>8</v>
      </c>
      <c r="C1243" s="4" t="str">
        <f t="shared" si="98"/>
        <v>Lào Cai</v>
      </c>
      <c r="D1243" s="3" t="s">
        <v>135</v>
      </c>
      <c r="E1243" s="4" t="str">
        <f t="shared" si="100"/>
        <v>Huyện Si Ma Cai</v>
      </c>
      <c r="F1243" s="3" t="s">
        <v>2007</v>
      </c>
      <c r="G1243" s="4" t="str">
        <f>HYPERLINK("https://diaocthongthai.com/xa-quan-ho-than-si-ma-cai/","Xã Quan Hồ Thẩn")</f>
        <v>Xã Quan Hồ Thẩn</v>
      </c>
    </row>
    <row r="1244" spans="1:7" x14ac:dyDescent="0.25">
      <c r="A1244" s="2">
        <v>1243</v>
      </c>
      <c r="B1244" s="3" t="s">
        <v>8</v>
      </c>
      <c r="C1244" s="4" t="str">
        <f t="shared" si="98"/>
        <v>Lào Cai</v>
      </c>
      <c r="D1244" s="3" t="s">
        <v>135</v>
      </c>
      <c r="E1244" s="4" t="str">
        <f t="shared" si="100"/>
        <v>Huyện Si Ma Cai</v>
      </c>
      <c r="F1244" s="3" t="s">
        <v>2008</v>
      </c>
      <c r="G1244" s="4" t="str">
        <f>HYPERLINK("https://diaocthongthai.com/xa-nan-sin-si-ma-cai/","Xã Nàn Xín")</f>
        <v>Xã Nàn Xín</v>
      </c>
    </row>
    <row r="1245" spans="1:7" x14ac:dyDescent="0.25">
      <c r="A1245" s="2">
        <v>1244</v>
      </c>
      <c r="B1245" s="3" t="s">
        <v>8</v>
      </c>
      <c r="C1245" s="4" t="str">
        <f t="shared" ref="C1245:C1276" si="101">HYPERLINK("https://diaocthongthai.com/ban-do-lao-cai/","Lào Cai")</f>
        <v>Lào Cai</v>
      </c>
      <c r="D1245" s="3" t="s">
        <v>136</v>
      </c>
      <c r="E1245" s="4" t="str">
        <f t="shared" ref="E1245:E1263" si="102">HYPERLINK("https://diaocthongthai.com/ban-do-huyen-bac-ha-lao-cai/","Huyện Bắc Hà")</f>
        <v>Huyện Bắc Hà</v>
      </c>
      <c r="F1245" s="3" t="s">
        <v>2009</v>
      </c>
      <c r="G1245" s="4" t="str">
        <f>HYPERLINK("https://diaocthongthai.com/thi-tran-bac-ha-bac-ha/","Thị trấn Bắc Hà")</f>
        <v>Thị trấn Bắc Hà</v>
      </c>
    </row>
    <row r="1246" spans="1:7" x14ac:dyDescent="0.25">
      <c r="A1246" s="2">
        <v>1245</v>
      </c>
      <c r="B1246" s="3" t="s">
        <v>8</v>
      </c>
      <c r="C1246" s="4" t="str">
        <f t="shared" si="101"/>
        <v>Lào Cai</v>
      </c>
      <c r="D1246" s="3" t="s">
        <v>136</v>
      </c>
      <c r="E1246" s="4" t="str">
        <f t="shared" si="102"/>
        <v>Huyện Bắc Hà</v>
      </c>
      <c r="F1246" s="3" t="s">
        <v>2010</v>
      </c>
      <c r="G1246" s="4" t="str">
        <f>HYPERLINK("https://diaocthongthai.com/xa-lung-cai-bac-ha/","Xã Lùng Cải")</f>
        <v>Xã Lùng Cải</v>
      </c>
    </row>
    <row r="1247" spans="1:7" x14ac:dyDescent="0.25">
      <c r="A1247" s="2">
        <v>1246</v>
      </c>
      <c r="B1247" s="3" t="s">
        <v>8</v>
      </c>
      <c r="C1247" s="4" t="str">
        <f t="shared" si="101"/>
        <v>Lào Cai</v>
      </c>
      <c r="D1247" s="3" t="s">
        <v>136</v>
      </c>
      <c r="E1247" s="4" t="str">
        <f t="shared" si="102"/>
        <v>Huyện Bắc Hà</v>
      </c>
      <c r="F1247" s="3" t="s">
        <v>2011</v>
      </c>
      <c r="G1247" s="4" t="str">
        <f>HYPERLINK("https://diaocthongthai.com/xa-lung-phinh-bac-ha/","Xã Lùng Phình")</f>
        <v>Xã Lùng Phình</v>
      </c>
    </row>
    <row r="1248" spans="1:7" x14ac:dyDescent="0.25">
      <c r="A1248" s="2">
        <v>1247</v>
      </c>
      <c r="B1248" s="3" t="s">
        <v>8</v>
      </c>
      <c r="C1248" s="4" t="str">
        <f t="shared" si="101"/>
        <v>Lào Cai</v>
      </c>
      <c r="D1248" s="3" t="s">
        <v>136</v>
      </c>
      <c r="E1248" s="4" t="str">
        <f t="shared" si="102"/>
        <v>Huyện Bắc Hà</v>
      </c>
      <c r="F1248" s="3" t="s">
        <v>2012</v>
      </c>
      <c r="G1248" s="4" t="str">
        <f>HYPERLINK("https://diaocthongthai.com/xa-ta-van-chu-bac-ha/","Xã Tả Van Chư")</f>
        <v>Xã Tả Van Chư</v>
      </c>
    </row>
    <row r="1249" spans="1:7" x14ac:dyDescent="0.25">
      <c r="A1249" s="2">
        <v>1248</v>
      </c>
      <c r="B1249" s="3" t="s">
        <v>8</v>
      </c>
      <c r="C1249" s="4" t="str">
        <f t="shared" si="101"/>
        <v>Lào Cai</v>
      </c>
      <c r="D1249" s="3" t="s">
        <v>136</v>
      </c>
      <c r="E1249" s="4" t="str">
        <f t="shared" si="102"/>
        <v>Huyện Bắc Hà</v>
      </c>
      <c r="F1249" s="3" t="s">
        <v>2013</v>
      </c>
      <c r="G1249" s="4" t="str">
        <f>HYPERLINK("https://diaocthongthai.com/xa-ta-cu-ty-bac-ha/","Xã Tả Củ Tỷ")</f>
        <v>Xã Tả Củ Tỷ</v>
      </c>
    </row>
    <row r="1250" spans="1:7" x14ac:dyDescent="0.25">
      <c r="A1250" s="2">
        <v>1249</v>
      </c>
      <c r="B1250" s="3" t="s">
        <v>8</v>
      </c>
      <c r="C1250" s="4" t="str">
        <f t="shared" si="101"/>
        <v>Lào Cai</v>
      </c>
      <c r="D1250" s="3" t="s">
        <v>136</v>
      </c>
      <c r="E1250" s="4" t="str">
        <f t="shared" si="102"/>
        <v>Huyện Bắc Hà</v>
      </c>
      <c r="F1250" s="3" t="s">
        <v>2014</v>
      </c>
      <c r="G1250" s="4" t="str">
        <f>HYPERLINK("https://diaocthongthai.com/xa-thai-giang-pho-bac-ha/","Xã Thải Giàng Phố")</f>
        <v>Xã Thải Giàng Phố</v>
      </c>
    </row>
    <row r="1251" spans="1:7" x14ac:dyDescent="0.25">
      <c r="A1251" s="2">
        <v>1250</v>
      </c>
      <c r="B1251" s="3" t="s">
        <v>8</v>
      </c>
      <c r="C1251" s="4" t="str">
        <f t="shared" si="101"/>
        <v>Lào Cai</v>
      </c>
      <c r="D1251" s="3" t="s">
        <v>136</v>
      </c>
      <c r="E1251" s="4" t="str">
        <f t="shared" si="102"/>
        <v>Huyện Bắc Hà</v>
      </c>
      <c r="F1251" s="3" t="s">
        <v>2015</v>
      </c>
      <c r="G1251" s="4" t="str">
        <f>HYPERLINK("https://diaocthongthai.com/xa-hoang-thu-pho-bac-ha/","Xã Hoàng Thu Phố")</f>
        <v>Xã Hoàng Thu Phố</v>
      </c>
    </row>
    <row r="1252" spans="1:7" x14ac:dyDescent="0.25">
      <c r="A1252" s="2">
        <v>1251</v>
      </c>
      <c r="B1252" s="3" t="s">
        <v>8</v>
      </c>
      <c r="C1252" s="4" t="str">
        <f t="shared" si="101"/>
        <v>Lào Cai</v>
      </c>
      <c r="D1252" s="3" t="s">
        <v>136</v>
      </c>
      <c r="E1252" s="4" t="str">
        <f t="shared" si="102"/>
        <v>Huyện Bắc Hà</v>
      </c>
      <c r="F1252" s="3" t="s">
        <v>2016</v>
      </c>
      <c r="G1252" s="4" t="str">
        <f>HYPERLINK("https://diaocthongthai.com/xa-ban-pho-bac-ha/","Xã Bản Phố")</f>
        <v>Xã Bản Phố</v>
      </c>
    </row>
    <row r="1253" spans="1:7" x14ac:dyDescent="0.25">
      <c r="A1253" s="2">
        <v>1252</v>
      </c>
      <c r="B1253" s="3" t="s">
        <v>8</v>
      </c>
      <c r="C1253" s="4" t="str">
        <f t="shared" si="101"/>
        <v>Lào Cai</v>
      </c>
      <c r="D1253" s="3" t="s">
        <v>136</v>
      </c>
      <c r="E1253" s="4" t="str">
        <f t="shared" si="102"/>
        <v>Huyện Bắc Hà</v>
      </c>
      <c r="F1253" s="3" t="s">
        <v>2017</v>
      </c>
      <c r="G1253" s="4" t="str">
        <f>HYPERLINK("https://diaocthongthai.com/xa-ban-lien-bac-ha/","Xã Bản Liền")</f>
        <v>Xã Bản Liền</v>
      </c>
    </row>
    <row r="1254" spans="1:7" x14ac:dyDescent="0.25">
      <c r="A1254" s="2">
        <v>1253</v>
      </c>
      <c r="B1254" s="3" t="s">
        <v>8</v>
      </c>
      <c r="C1254" s="4" t="str">
        <f t="shared" si="101"/>
        <v>Lào Cai</v>
      </c>
      <c r="D1254" s="3" t="s">
        <v>136</v>
      </c>
      <c r="E1254" s="4" t="str">
        <f t="shared" si="102"/>
        <v>Huyện Bắc Hà</v>
      </c>
      <c r="F1254" s="3" t="s">
        <v>2018</v>
      </c>
      <c r="G1254" s="4" t="str">
        <f>HYPERLINK("https://diaocthongthai.com/xa-ta-chai-bac-ha/","Xã Tà Chải")</f>
        <v>Xã Tà Chải</v>
      </c>
    </row>
    <row r="1255" spans="1:7" x14ac:dyDescent="0.25">
      <c r="A1255" s="2">
        <v>1254</v>
      </c>
      <c r="B1255" s="3" t="s">
        <v>8</v>
      </c>
      <c r="C1255" s="4" t="str">
        <f t="shared" si="101"/>
        <v>Lào Cai</v>
      </c>
      <c r="D1255" s="3" t="s">
        <v>136</v>
      </c>
      <c r="E1255" s="4" t="str">
        <f t="shared" si="102"/>
        <v>Huyện Bắc Hà</v>
      </c>
      <c r="F1255" s="3" t="s">
        <v>2019</v>
      </c>
      <c r="G1255" s="4" t="str">
        <f>HYPERLINK("https://diaocthongthai.com/xa-na-hoi-bac-ha/","Xã Na Hối")</f>
        <v>Xã Na Hối</v>
      </c>
    </row>
    <row r="1256" spans="1:7" x14ac:dyDescent="0.25">
      <c r="A1256" s="2">
        <v>1255</v>
      </c>
      <c r="B1256" s="3" t="s">
        <v>8</v>
      </c>
      <c r="C1256" s="4" t="str">
        <f t="shared" si="101"/>
        <v>Lào Cai</v>
      </c>
      <c r="D1256" s="3" t="s">
        <v>136</v>
      </c>
      <c r="E1256" s="4" t="str">
        <f t="shared" si="102"/>
        <v>Huyện Bắc Hà</v>
      </c>
      <c r="F1256" s="3" t="s">
        <v>2020</v>
      </c>
      <c r="G1256" s="4" t="str">
        <f>HYPERLINK("https://diaocthongthai.com/xa-coc-ly-bac-ha/","Xã Cốc Ly")</f>
        <v>Xã Cốc Ly</v>
      </c>
    </row>
    <row r="1257" spans="1:7" x14ac:dyDescent="0.25">
      <c r="A1257" s="2">
        <v>1256</v>
      </c>
      <c r="B1257" s="3" t="s">
        <v>8</v>
      </c>
      <c r="C1257" s="4" t="str">
        <f t="shared" si="101"/>
        <v>Lào Cai</v>
      </c>
      <c r="D1257" s="3" t="s">
        <v>136</v>
      </c>
      <c r="E1257" s="4" t="str">
        <f t="shared" si="102"/>
        <v>Huyện Bắc Hà</v>
      </c>
      <c r="F1257" s="3" t="s">
        <v>2021</v>
      </c>
      <c r="G1257" s="4" t="str">
        <f>HYPERLINK("https://diaocthongthai.com/xa-nam-mon-bac-ha/","Xã Nậm Mòn")</f>
        <v>Xã Nậm Mòn</v>
      </c>
    </row>
    <row r="1258" spans="1:7" x14ac:dyDescent="0.25">
      <c r="A1258" s="2">
        <v>1257</v>
      </c>
      <c r="B1258" s="3" t="s">
        <v>8</v>
      </c>
      <c r="C1258" s="4" t="str">
        <f t="shared" si="101"/>
        <v>Lào Cai</v>
      </c>
      <c r="D1258" s="3" t="s">
        <v>136</v>
      </c>
      <c r="E1258" s="4" t="str">
        <f t="shared" si="102"/>
        <v>Huyện Bắc Hà</v>
      </c>
      <c r="F1258" s="3" t="s">
        <v>2022</v>
      </c>
      <c r="G1258" s="4" t="str">
        <f>HYPERLINK("https://diaocthongthai.com/xa-nam-det-bac-ha/","Xã Nậm Đét")</f>
        <v>Xã Nậm Đét</v>
      </c>
    </row>
    <row r="1259" spans="1:7" x14ac:dyDescent="0.25">
      <c r="A1259" s="2">
        <v>1258</v>
      </c>
      <c r="B1259" s="3" t="s">
        <v>8</v>
      </c>
      <c r="C1259" s="4" t="str">
        <f t="shared" si="101"/>
        <v>Lào Cai</v>
      </c>
      <c r="D1259" s="3" t="s">
        <v>136</v>
      </c>
      <c r="E1259" s="4" t="str">
        <f t="shared" si="102"/>
        <v>Huyện Bắc Hà</v>
      </c>
      <c r="F1259" s="3" t="s">
        <v>2023</v>
      </c>
      <c r="G1259" s="4" t="str">
        <f>HYPERLINK("https://diaocthongthai.com/xa-nam-khanh-bac-ha/","Xã Nậm Khánh")</f>
        <v>Xã Nậm Khánh</v>
      </c>
    </row>
    <row r="1260" spans="1:7" x14ac:dyDescent="0.25">
      <c r="A1260" s="2">
        <v>1259</v>
      </c>
      <c r="B1260" s="3" t="s">
        <v>8</v>
      </c>
      <c r="C1260" s="4" t="str">
        <f t="shared" si="101"/>
        <v>Lào Cai</v>
      </c>
      <c r="D1260" s="3" t="s">
        <v>136</v>
      </c>
      <c r="E1260" s="4" t="str">
        <f t="shared" si="102"/>
        <v>Huyện Bắc Hà</v>
      </c>
      <c r="F1260" s="3" t="s">
        <v>2024</v>
      </c>
      <c r="G1260" s="4" t="str">
        <f>HYPERLINK("https://diaocthongthai.com/xa-bao-nhai-bac-ha/","Xã Bảo Nhai")</f>
        <v>Xã Bảo Nhai</v>
      </c>
    </row>
    <row r="1261" spans="1:7" x14ac:dyDescent="0.25">
      <c r="A1261" s="2">
        <v>1260</v>
      </c>
      <c r="B1261" s="3" t="s">
        <v>8</v>
      </c>
      <c r="C1261" s="4" t="str">
        <f t="shared" si="101"/>
        <v>Lào Cai</v>
      </c>
      <c r="D1261" s="3" t="s">
        <v>136</v>
      </c>
      <c r="E1261" s="4" t="str">
        <f t="shared" si="102"/>
        <v>Huyện Bắc Hà</v>
      </c>
      <c r="F1261" s="3" t="s">
        <v>2025</v>
      </c>
      <c r="G1261" s="4" t="str">
        <f>HYPERLINK("https://diaocthongthai.com/xa-nam-luc-bac-ha/","Xã Nậm Lúc")</f>
        <v>Xã Nậm Lúc</v>
      </c>
    </row>
    <row r="1262" spans="1:7" x14ac:dyDescent="0.25">
      <c r="A1262" s="2">
        <v>1261</v>
      </c>
      <c r="B1262" s="3" t="s">
        <v>8</v>
      </c>
      <c r="C1262" s="4" t="str">
        <f t="shared" si="101"/>
        <v>Lào Cai</v>
      </c>
      <c r="D1262" s="3" t="s">
        <v>136</v>
      </c>
      <c r="E1262" s="4" t="str">
        <f t="shared" si="102"/>
        <v>Huyện Bắc Hà</v>
      </c>
      <c r="F1262" s="3" t="s">
        <v>2026</v>
      </c>
      <c r="G1262" s="4" t="str">
        <f>HYPERLINK("https://diaocthongthai.com/xa-coc-lau-bac-ha/","Xã Cốc Lầu")</f>
        <v>Xã Cốc Lầu</v>
      </c>
    </row>
    <row r="1263" spans="1:7" x14ac:dyDescent="0.25">
      <c r="A1263" s="2">
        <v>1262</v>
      </c>
      <c r="B1263" s="3" t="s">
        <v>8</v>
      </c>
      <c r="C1263" s="4" t="str">
        <f t="shared" si="101"/>
        <v>Lào Cai</v>
      </c>
      <c r="D1263" s="3" t="s">
        <v>136</v>
      </c>
      <c r="E1263" s="4" t="str">
        <f t="shared" si="102"/>
        <v>Huyện Bắc Hà</v>
      </c>
      <c r="F1263" s="3" t="s">
        <v>2027</v>
      </c>
      <c r="G1263" s="4" t="str">
        <f>HYPERLINK("https://diaocthongthai.com/xa-ban-cai-bac-ha/","Xã Bản Cái")</f>
        <v>Xã Bản Cái</v>
      </c>
    </row>
    <row r="1264" spans="1:7" x14ac:dyDescent="0.25">
      <c r="A1264" s="2">
        <v>1263</v>
      </c>
      <c r="B1264" s="3" t="s">
        <v>8</v>
      </c>
      <c r="C1264" s="4" t="str">
        <f t="shared" si="101"/>
        <v>Lào Cai</v>
      </c>
      <c r="D1264" s="3" t="s">
        <v>137</v>
      </c>
      <c r="E1264" s="4" t="str">
        <f t="shared" ref="E1264:E1277" si="103">HYPERLINK("https://diaocthongthai.com/ban-do-huyen-bao-thang-lao-cai/","Huyện Bảo Thắng")</f>
        <v>Huyện Bảo Thắng</v>
      </c>
      <c r="F1264" s="3" t="s">
        <v>2028</v>
      </c>
      <c r="G1264" s="4" t="str">
        <f>HYPERLINK("https://diaocthongthai.com/thi-tran-nong-truong-phong-hai-bao-thang/","Thị trấn N.T Phong Hải")</f>
        <v>Thị trấn N.T Phong Hải</v>
      </c>
    </row>
    <row r="1265" spans="1:7" x14ac:dyDescent="0.25">
      <c r="A1265" s="2">
        <v>1264</v>
      </c>
      <c r="B1265" s="3" t="s">
        <v>8</v>
      </c>
      <c r="C1265" s="4" t="str">
        <f t="shared" si="101"/>
        <v>Lào Cai</v>
      </c>
      <c r="D1265" s="3" t="s">
        <v>137</v>
      </c>
      <c r="E1265" s="4" t="str">
        <f t="shared" si="103"/>
        <v>Huyện Bảo Thắng</v>
      </c>
      <c r="F1265" s="3" t="s">
        <v>2029</v>
      </c>
      <c r="G1265" s="4" t="str">
        <f>HYPERLINK("https://diaocthongthai.com/thi-tran-pho-lu-bao-thang/","Thị trấn Phố Lu")</f>
        <v>Thị trấn Phố Lu</v>
      </c>
    </row>
    <row r="1266" spans="1:7" x14ac:dyDescent="0.25">
      <c r="A1266" s="2">
        <v>1265</v>
      </c>
      <c r="B1266" s="3" t="s">
        <v>8</v>
      </c>
      <c r="C1266" s="4" t="str">
        <f t="shared" si="101"/>
        <v>Lào Cai</v>
      </c>
      <c r="D1266" s="3" t="s">
        <v>137</v>
      </c>
      <c r="E1266" s="4" t="str">
        <f t="shared" si="103"/>
        <v>Huyện Bảo Thắng</v>
      </c>
      <c r="F1266" s="3" t="s">
        <v>2030</v>
      </c>
      <c r="G1266" s="4" t="str">
        <f>HYPERLINK("https://diaocthongthai.com/thi-tran-tang-loong-bao-thang/","Thị trấn Tằng Loỏng")</f>
        <v>Thị trấn Tằng Loỏng</v>
      </c>
    </row>
    <row r="1267" spans="1:7" x14ac:dyDescent="0.25">
      <c r="A1267" s="2">
        <v>1266</v>
      </c>
      <c r="B1267" s="3" t="s">
        <v>8</v>
      </c>
      <c r="C1267" s="4" t="str">
        <f t="shared" si="101"/>
        <v>Lào Cai</v>
      </c>
      <c r="D1267" s="3" t="s">
        <v>137</v>
      </c>
      <c r="E1267" s="4" t="str">
        <f t="shared" si="103"/>
        <v>Huyện Bảo Thắng</v>
      </c>
      <c r="F1267" s="3" t="s">
        <v>2031</v>
      </c>
      <c r="G1267" s="4" t="str">
        <f>HYPERLINK("https://diaocthongthai.com/xa-ban-phiet-bao-thang/","Xã Bản Phiệt")</f>
        <v>Xã Bản Phiệt</v>
      </c>
    </row>
    <row r="1268" spans="1:7" x14ac:dyDescent="0.25">
      <c r="A1268" s="2">
        <v>1267</v>
      </c>
      <c r="B1268" s="3" t="s">
        <v>8</v>
      </c>
      <c r="C1268" s="4" t="str">
        <f t="shared" si="101"/>
        <v>Lào Cai</v>
      </c>
      <c r="D1268" s="3" t="s">
        <v>137</v>
      </c>
      <c r="E1268" s="4" t="str">
        <f t="shared" si="103"/>
        <v>Huyện Bảo Thắng</v>
      </c>
      <c r="F1268" s="3" t="s">
        <v>2032</v>
      </c>
      <c r="G1268" s="4" t="str">
        <f>HYPERLINK("https://diaocthongthai.com/xa-ban-cam-bao-thang/","Xã Bản Cầm")</f>
        <v>Xã Bản Cầm</v>
      </c>
    </row>
    <row r="1269" spans="1:7" x14ac:dyDescent="0.25">
      <c r="A1269" s="2">
        <v>1268</v>
      </c>
      <c r="B1269" s="3" t="s">
        <v>8</v>
      </c>
      <c r="C1269" s="4" t="str">
        <f t="shared" si="101"/>
        <v>Lào Cai</v>
      </c>
      <c r="D1269" s="3" t="s">
        <v>137</v>
      </c>
      <c r="E1269" s="4" t="str">
        <f t="shared" si="103"/>
        <v>Huyện Bảo Thắng</v>
      </c>
      <c r="F1269" s="3" t="s">
        <v>2033</v>
      </c>
      <c r="G1269" s="4" t="str">
        <f>HYPERLINK("https://diaocthongthai.com/xa-thai-nien-bao-thang/","Xã Thái Niên")</f>
        <v>Xã Thái Niên</v>
      </c>
    </row>
    <row r="1270" spans="1:7" x14ac:dyDescent="0.25">
      <c r="A1270" s="2">
        <v>1269</v>
      </c>
      <c r="B1270" s="3" t="s">
        <v>8</v>
      </c>
      <c r="C1270" s="4" t="str">
        <f t="shared" si="101"/>
        <v>Lào Cai</v>
      </c>
      <c r="D1270" s="3" t="s">
        <v>137</v>
      </c>
      <c r="E1270" s="4" t="str">
        <f t="shared" si="103"/>
        <v>Huyện Bảo Thắng</v>
      </c>
      <c r="F1270" s="3" t="s">
        <v>2034</v>
      </c>
      <c r="G1270" s="4" t="str">
        <f>HYPERLINK("https://diaocthongthai.com/xa-phong-nien-bao-thang/","Xã Phong Niên")</f>
        <v>Xã Phong Niên</v>
      </c>
    </row>
    <row r="1271" spans="1:7" x14ac:dyDescent="0.25">
      <c r="A1271" s="2">
        <v>1270</v>
      </c>
      <c r="B1271" s="3" t="s">
        <v>8</v>
      </c>
      <c r="C1271" s="4" t="str">
        <f t="shared" si="101"/>
        <v>Lào Cai</v>
      </c>
      <c r="D1271" s="3" t="s">
        <v>137</v>
      </c>
      <c r="E1271" s="4" t="str">
        <f t="shared" si="103"/>
        <v>Huyện Bảo Thắng</v>
      </c>
      <c r="F1271" s="3" t="s">
        <v>2035</v>
      </c>
      <c r="G1271" s="4" t="str">
        <f>HYPERLINK("https://diaocthongthai.com/xa-gia-phu-bao-thang/","Xã Gia Phú")</f>
        <v>Xã Gia Phú</v>
      </c>
    </row>
    <row r="1272" spans="1:7" x14ac:dyDescent="0.25">
      <c r="A1272" s="2">
        <v>1271</v>
      </c>
      <c r="B1272" s="3" t="s">
        <v>8</v>
      </c>
      <c r="C1272" s="4" t="str">
        <f t="shared" si="101"/>
        <v>Lào Cai</v>
      </c>
      <c r="D1272" s="3" t="s">
        <v>137</v>
      </c>
      <c r="E1272" s="4" t="str">
        <f t="shared" si="103"/>
        <v>Huyện Bảo Thắng</v>
      </c>
      <c r="F1272" s="3" t="s">
        <v>2036</v>
      </c>
      <c r="G1272" s="4" t="str">
        <f>HYPERLINK("https://diaocthongthai.com/xa-xuan-quang-bao-thang/","Xã Xuân Quang")</f>
        <v>Xã Xuân Quang</v>
      </c>
    </row>
    <row r="1273" spans="1:7" x14ac:dyDescent="0.25">
      <c r="A1273" s="2">
        <v>1272</v>
      </c>
      <c r="B1273" s="3" t="s">
        <v>8</v>
      </c>
      <c r="C1273" s="4" t="str">
        <f t="shared" si="101"/>
        <v>Lào Cai</v>
      </c>
      <c r="D1273" s="3" t="s">
        <v>137</v>
      </c>
      <c r="E1273" s="4" t="str">
        <f t="shared" si="103"/>
        <v>Huyện Bảo Thắng</v>
      </c>
      <c r="F1273" s="3" t="s">
        <v>2037</v>
      </c>
      <c r="G1273" s="4" t="str">
        <f>HYPERLINK("https://diaocthongthai.com/xa-son-hai-bao-thang/","Xã Sơn Hải")</f>
        <v>Xã Sơn Hải</v>
      </c>
    </row>
    <row r="1274" spans="1:7" x14ac:dyDescent="0.25">
      <c r="A1274" s="2">
        <v>1273</v>
      </c>
      <c r="B1274" s="3" t="s">
        <v>8</v>
      </c>
      <c r="C1274" s="4" t="str">
        <f t="shared" si="101"/>
        <v>Lào Cai</v>
      </c>
      <c r="D1274" s="3" t="s">
        <v>137</v>
      </c>
      <c r="E1274" s="4" t="str">
        <f t="shared" si="103"/>
        <v>Huyện Bảo Thắng</v>
      </c>
      <c r="F1274" s="3" t="s">
        <v>2038</v>
      </c>
      <c r="G1274" s="4" t="str">
        <f>HYPERLINK("https://diaocthongthai.com/xa-xuan-giao-bao-thang/","Xã Xuân Giao")</f>
        <v>Xã Xuân Giao</v>
      </c>
    </row>
    <row r="1275" spans="1:7" x14ac:dyDescent="0.25">
      <c r="A1275" s="2">
        <v>1274</v>
      </c>
      <c r="B1275" s="3" t="s">
        <v>8</v>
      </c>
      <c r="C1275" s="4" t="str">
        <f t="shared" si="101"/>
        <v>Lào Cai</v>
      </c>
      <c r="D1275" s="3" t="s">
        <v>137</v>
      </c>
      <c r="E1275" s="4" t="str">
        <f t="shared" si="103"/>
        <v>Huyện Bảo Thắng</v>
      </c>
      <c r="F1275" s="3" t="s">
        <v>2039</v>
      </c>
      <c r="G1275" s="4" t="str">
        <f>HYPERLINK("https://diaocthongthai.com/xa-tri-quang-bao-thang/","Xã Trì Quang")</f>
        <v>Xã Trì Quang</v>
      </c>
    </row>
    <row r="1276" spans="1:7" x14ac:dyDescent="0.25">
      <c r="A1276" s="2">
        <v>1275</v>
      </c>
      <c r="B1276" s="3" t="s">
        <v>8</v>
      </c>
      <c r="C1276" s="4" t="str">
        <f t="shared" si="101"/>
        <v>Lào Cai</v>
      </c>
      <c r="D1276" s="3" t="s">
        <v>137</v>
      </c>
      <c r="E1276" s="4" t="str">
        <f t="shared" si="103"/>
        <v>Huyện Bảo Thắng</v>
      </c>
      <c r="F1276" s="3" t="s">
        <v>2040</v>
      </c>
      <c r="G1276" s="4" t="str">
        <f>HYPERLINK("https://diaocthongthai.com/xa-son-ha-bao-thang/","Xã Sơn Hà")</f>
        <v>Xã Sơn Hà</v>
      </c>
    </row>
    <row r="1277" spans="1:7" x14ac:dyDescent="0.25">
      <c r="A1277" s="2">
        <v>1276</v>
      </c>
      <c r="B1277" s="3" t="s">
        <v>8</v>
      </c>
      <c r="C1277" s="4" t="str">
        <f t="shared" ref="C1277:C1308" si="104">HYPERLINK("https://diaocthongthai.com/ban-do-lao-cai/","Lào Cai")</f>
        <v>Lào Cai</v>
      </c>
      <c r="D1277" s="3" t="s">
        <v>137</v>
      </c>
      <c r="E1277" s="4" t="str">
        <f t="shared" si="103"/>
        <v>Huyện Bảo Thắng</v>
      </c>
      <c r="F1277" s="3" t="s">
        <v>2041</v>
      </c>
      <c r="G1277" s="4" t="str">
        <f>HYPERLINK("https://diaocthongthai.com/xa-phu-nhuan-bao-thang/","Xã Phú Nhuận")</f>
        <v>Xã Phú Nhuận</v>
      </c>
    </row>
    <row r="1278" spans="1:7" x14ac:dyDescent="0.25">
      <c r="A1278" s="2">
        <v>1277</v>
      </c>
      <c r="B1278" s="3" t="s">
        <v>8</v>
      </c>
      <c r="C1278" s="4" t="str">
        <f t="shared" si="104"/>
        <v>Lào Cai</v>
      </c>
      <c r="D1278" s="3" t="s">
        <v>138</v>
      </c>
      <c r="E1278" s="4" t="str">
        <f t="shared" ref="E1278:E1294" si="105">HYPERLINK("https://diaocthongthai.com/ban-do-huyen-bao-yen-lao-cai/","Huyện Bảo Yên")</f>
        <v>Huyện Bảo Yên</v>
      </c>
      <c r="F1278" s="3" t="s">
        <v>2042</v>
      </c>
      <c r="G1278" s="4" t="str">
        <f>HYPERLINK("https://diaocthongthai.com/thi-tran-pho-rang-bao-yen/","Thị trấn Phố Ràng")</f>
        <v>Thị trấn Phố Ràng</v>
      </c>
    </row>
    <row r="1279" spans="1:7" x14ac:dyDescent="0.25">
      <c r="A1279" s="2">
        <v>1278</v>
      </c>
      <c r="B1279" s="3" t="s">
        <v>8</v>
      </c>
      <c r="C1279" s="4" t="str">
        <f t="shared" si="104"/>
        <v>Lào Cai</v>
      </c>
      <c r="D1279" s="3" t="s">
        <v>138</v>
      </c>
      <c r="E1279" s="4" t="str">
        <f t="shared" si="105"/>
        <v>Huyện Bảo Yên</v>
      </c>
      <c r="F1279" s="3" t="s">
        <v>2043</v>
      </c>
      <c r="G1279" s="4" t="str">
        <f>HYPERLINK("https://diaocthongthai.com/xa-tan-tien-bao-yen/","Xã Tân Tiến")</f>
        <v>Xã Tân Tiến</v>
      </c>
    </row>
    <row r="1280" spans="1:7" x14ac:dyDescent="0.25">
      <c r="A1280" s="2">
        <v>1279</v>
      </c>
      <c r="B1280" s="3" t="s">
        <v>8</v>
      </c>
      <c r="C1280" s="4" t="str">
        <f t="shared" si="104"/>
        <v>Lào Cai</v>
      </c>
      <c r="D1280" s="3" t="s">
        <v>138</v>
      </c>
      <c r="E1280" s="4" t="str">
        <f t="shared" si="105"/>
        <v>Huyện Bảo Yên</v>
      </c>
      <c r="F1280" s="3" t="s">
        <v>2044</v>
      </c>
      <c r="G1280" s="4" t="str">
        <f>HYPERLINK("https://diaocthongthai.com/xa-nghia-do-bao-yen/","Xã Nghĩa Đô")</f>
        <v>Xã Nghĩa Đô</v>
      </c>
    </row>
    <row r="1281" spans="1:7" x14ac:dyDescent="0.25">
      <c r="A1281" s="2">
        <v>1280</v>
      </c>
      <c r="B1281" s="3" t="s">
        <v>8</v>
      </c>
      <c r="C1281" s="4" t="str">
        <f t="shared" si="104"/>
        <v>Lào Cai</v>
      </c>
      <c r="D1281" s="3" t="s">
        <v>138</v>
      </c>
      <c r="E1281" s="4" t="str">
        <f t="shared" si="105"/>
        <v>Huyện Bảo Yên</v>
      </c>
      <c r="F1281" s="3" t="s">
        <v>2045</v>
      </c>
      <c r="G1281" s="4" t="str">
        <f>HYPERLINK("https://diaocthongthai.com/xa-vinh-yen-bao-yen/","Xã Vĩnh Yên")</f>
        <v>Xã Vĩnh Yên</v>
      </c>
    </row>
    <row r="1282" spans="1:7" x14ac:dyDescent="0.25">
      <c r="A1282" s="2">
        <v>1281</v>
      </c>
      <c r="B1282" s="3" t="s">
        <v>8</v>
      </c>
      <c r="C1282" s="4" t="str">
        <f t="shared" si="104"/>
        <v>Lào Cai</v>
      </c>
      <c r="D1282" s="3" t="s">
        <v>138</v>
      </c>
      <c r="E1282" s="4" t="str">
        <f t="shared" si="105"/>
        <v>Huyện Bảo Yên</v>
      </c>
      <c r="F1282" s="3" t="s">
        <v>2046</v>
      </c>
      <c r="G1282" s="4" t="str">
        <f>HYPERLINK("https://diaocthongthai.com/xa-dien-quan-bao-yen/","Xã Điện Quan")</f>
        <v>Xã Điện Quan</v>
      </c>
    </row>
    <row r="1283" spans="1:7" x14ac:dyDescent="0.25">
      <c r="A1283" s="2">
        <v>1282</v>
      </c>
      <c r="B1283" s="3" t="s">
        <v>8</v>
      </c>
      <c r="C1283" s="4" t="str">
        <f t="shared" si="104"/>
        <v>Lào Cai</v>
      </c>
      <c r="D1283" s="3" t="s">
        <v>138</v>
      </c>
      <c r="E1283" s="4" t="str">
        <f t="shared" si="105"/>
        <v>Huyện Bảo Yên</v>
      </c>
      <c r="F1283" s="3" t="s">
        <v>2047</v>
      </c>
      <c r="G1283" s="4" t="str">
        <f>HYPERLINK("https://diaocthongthai.com/xa-xuan-hoa-bao-yen/","Xã Xuân Hoà")</f>
        <v>Xã Xuân Hoà</v>
      </c>
    </row>
    <row r="1284" spans="1:7" x14ac:dyDescent="0.25">
      <c r="A1284" s="2">
        <v>1283</v>
      </c>
      <c r="B1284" s="3" t="s">
        <v>8</v>
      </c>
      <c r="C1284" s="4" t="str">
        <f t="shared" si="104"/>
        <v>Lào Cai</v>
      </c>
      <c r="D1284" s="3" t="s">
        <v>138</v>
      </c>
      <c r="E1284" s="4" t="str">
        <f t="shared" si="105"/>
        <v>Huyện Bảo Yên</v>
      </c>
      <c r="F1284" s="3" t="s">
        <v>2048</v>
      </c>
      <c r="G1284" s="4" t="str">
        <f>HYPERLINK("https://diaocthongthai.com/xa-tan-duong-bao-yen/","Xã Tân Dương")</f>
        <v>Xã Tân Dương</v>
      </c>
    </row>
    <row r="1285" spans="1:7" x14ac:dyDescent="0.25">
      <c r="A1285" s="2">
        <v>1284</v>
      </c>
      <c r="B1285" s="3" t="s">
        <v>8</v>
      </c>
      <c r="C1285" s="4" t="str">
        <f t="shared" si="104"/>
        <v>Lào Cai</v>
      </c>
      <c r="D1285" s="3" t="s">
        <v>138</v>
      </c>
      <c r="E1285" s="4" t="str">
        <f t="shared" si="105"/>
        <v>Huyện Bảo Yên</v>
      </c>
      <c r="F1285" s="3" t="s">
        <v>2049</v>
      </c>
      <c r="G1285" s="4" t="str">
        <f>HYPERLINK("https://diaocthongthai.com/xa-thuong-ha-bao-yen/","Xã Thượng Hà")</f>
        <v>Xã Thượng Hà</v>
      </c>
    </row>
    <row r="1286" spans="1:7" x14ac:dyDescent="0.25">
      <c r="A1286" s="2">
        <v>1285</v>
      </c>
      <c r="B1286" s="3" t="s">
        <v>8</v>
      </c>
      <c r="C1286" s="4" t="str">
        <f t="shared" si="104"/>
        <v>Lào Cai</v>
      </c>
      <c r="D1286" s="3" t="s">
        <v>138</v>
      </c>
      <c r="E1286" s="4" t="str">
        <f t="shared" si="105"/>
        <v>Huyện Bảo Yên</v>
      </c>
      <c r="F1286" s="3" t="s">
        <v>2050</v>
      </c>
      <c r="G1286" s="4" t="str">
        <f>HYPERLINK("https://diaocthongthai.com/xa-kim-son-bao-yen/","Xã Kim Sơn")</f>
        <v>Xã Kim Sơn</v>
      </c>
    </row>
    <row r="1287" spans="1:7" x14ac:dyDescent="0.25">
      <c r="A1287" s="2">
        <v>1286</v>
      </c>
      <c r="B1287" s="3" t="s">
        <v>8</v>
      </c>
      <c r="C1287" s="4" t="str">
        <f t="shared" si="104"/>
        <v>Lào Cai</v>
      </c>
      <c r="D1287" s="3" t="s">
        <v>138</v>
      </c>
      <c r="E1287" s="4" t="str">
        <f t="shared" si="105"/>
        <v>Huyện Bảo Yên</v>
      </c>
      <c r="F1287" s="3" t="s">
        <v>2051</v>
      </c>
      <c r="G1287" s="4" t="str">
        <f>HYPERLINK("https://diaocthongthai.com/xa-cam-con-bao-yen/","Xã Cam Cọn")</f>
        <v>Xã Cam Cọn</v>
      </c>
    </row>
    <row r="1288" spans="1:7" x14ac:dyDescent="0.25">
      <c r="A1288" s="2">
        <v>1287</v>
      </c>
      <c r="B1288" s="3" t="s">
        <v>8</v>
      </c>
      <c r="C1288" s="4" t="str">
        <f t="shared" si="104"/>
        <v>Lào Cai</v>
      </c>
      <c r="D1288" s="3" t="s">
        <v>138</v>
      </c>
      <c r="E1288" s="4" t="str">
        <f t="shared" si="105"/>
        <v>Huyện Bảo Yên</v>
      </c>
      <c r="F1288" s="3" t="s">
        <v>2052</v>
      </c>
      <c r="G1288" s="4" t="str">
        <f>HYPERLINK("https://diaocthongthai.com/xa-minh-tan-bao-yen/","Xã Minh Tân")</f>
        <v>Xã Minh Tân</v>
      </c>
    </row>
    <row r="1289" spans="1:7" x14ac:dyDescent="0.25">
      <c r="A1289" s="2">
        <v>1288</v>
      </c>
      <c r="B1289" s="3" t="s">
        <v>8</v>
      </c>
      <c r="C1289" s="4" t="str">
        <f t="shared" si="104"/>
        <v>Lào Cai</v>
      </c>
      <c r="D1289" s="3" t="s">
        <v>138</v>
      </c>
      <c r="E1289" s="4" t="str">
        <f t="shared" si="105"/>
        <v>Huyện Bảo Yên</v>
      </c>
      <c r="F1289" s="3" t="s">
        <v>2053</v>
      </c>
      <c r="G1289" s="4" t="str">
        <f>HYPERLINK("https://diaocthongthai.com/xa-xuan-thuong-bao-yen/","Xã Xuân Thượng")</f>
        <v>Xã Xuân Thượng</v>
      </c>
    </row>
    <row r="1290" spans="1:7" x14ac:dyDescent="0.25">
      <c r="A1290" s="2">
        <v>1289</v>
      </c>
      <c r="B1290" s="3" t="s">
        <v>8</v>
      </c>
      <c r="C1290" s="4" t="str">
        <f t="shared" si="104"/>
        <v>Lào Cai</v>
      </c>
      <c r="D1290" s="3" t="s">
        <v>138</v>
      </c>
      <c r="E1290" s="4" t="str">
        <f t="shared" si="105"/>
        <v>Huyện Bảo Yên</v>
      </c>
      <c r="F1290" s="3" t="s">
        <v>2054</v>
      </c>
      <c r="G1290" s="4" t="str">
        <f>HYPERLINK("https://diaocthongthai.com/xa-viet-tien-bao-yen/","Xã Việt Tiến")</f>
        <v>Xã Việt Tiến</v>
      </c>
    </row>
    <row r="1291" spans="1:7" x14ac:dyDescent="0.25">
      <c r="A1291" s="2">
        <v>1290</v>
      </c>
      <c r="B1291" s="3" t="s">
        <v>8</v>
      </c>
      <c r="C1291" s="4" t="str">
        <f t="shared" si="104"/>
        <v>Lào Cai</v>
      </c>
      <c r="D1291" s="3" t="s">
        <v>138</v>
      </c>
      <c r="E1291" s="4" t="str">
        <f t="shared" si="105"/>
        <v>Huyện Bảo Yên</v>
      </c>
      <c r="F1291" s="3" t="s">
        <v>2055</v>
      </c>
      <c r="G1291" s="4" t="str">
        <f>HYPERLINK("https://diaocthongthai.com/xa-yen-son-bao-yen/","Xã Yên Sơn")</f>
        <v>Xã Yên Sơn</v>
      </c>
    </row>
    <row r="1292" spans="1:7" x14ac:dyDescent="0.25">
      <c r="A1292" s="2">
        <v>1291</v>
      </c>
      <c r="B1292" s="3" t="s">
        <v>8</v>
      </c>
      <c r="C1292" s="4" t="str">
        <f t="shared" si="104"/>
        <v>Lào Cai</v>
      </c>
      <c r="D1292" s="3" t="s">
        <v>138</v>
      </c>
      <c r="E1292" s="4" t="str">
        <f t="shared" si="105"/>
        <v>Huyện Bảo Yên</v>
      </c>
      <c r="F1292" s="3" t="s">
        <v>2056</v>
      </c>
      <c r="G1292" s="4" t="str">
        <f>HYPERLINK("https://diaocthongthai.com/xa-bao-ha-bao-yen/","Xã Bảo Hà")</f>
        <v>Xã Bảo Hà</v>
      </c>
    </row>
    <row r="1293" spans="1:7" x14ac:dyDescent="0.25">
      <c r="A1293" s="2">
        <v>1292</v>
      </c>
      <c r="B1293" s="3" t="s">
        <v>8</v>
      </c>
      <c r="C1293" s="4" t="str">
        <f t="shared" si="104"/>
        <v>Lào Cai</v>
      </c>
      <c r="D1293" s="3" t="s">
        <v>138</v>
      </c>
      <c r="E1293" s="4" t="str">
        <f t="shared" si="105"/>
        <v>Huyện Bảo Yên</v>
      </c>
      <c r="F1293" s="3" t="s">
        <v>2057</v>
      </c>
      <c r="G1293" s="4" t="str">
        <f>HYPERLINK("https://diaocthongthai.com/xa-luong-son-bao-yen/","Xã Lương Sơn")</f>
        <v>Xã Lương Sơn</v>
      </c>
    </row>
    <row r="1294" spans="1:7" x14ac:dyDescent="0.25">
      <c r="A1294" s="2">
        <v>1293</v>
      </c>
      <c r="B1294" s="3" t="s">
        <v>8</v>
      </c>
      <c r="C1294" s="4" t="str">
        <f t="shared" si="104"/>
        <v>Lào Cai</v>
      </c>
      <c r="D1294" s="3" t="s">
        <v>138</v>
      </c>
      <c r="E1294" s="4" t="str">
        <f t="shared" si="105"/>
        <v>Huyện Bảo Yên</v>
      </c>
      <c r="F1294" s="3" t="s">
        <v>2058</v>
      </c>
      <c r="G1294" s="4" t="str">
        <f>HYPERLINK("https://diaocthongthai.com/xa-phuc-khanh-bao-yen/","Xã Phúc Khánh")</f>
        <v>Xã Phúc Khánh</v>
      </c>
    </row>
    <row r="1295" spans="1:7" x14ac:dyDescent="0.25">
      <c r="A1295" s="2">
        <v>1294</v>
      </c>
      <c r="B1295" s="3" t="s">
        <v>8</v>
      </c>
      <c r="C1295" s="4" t="str">
        <f t="shared" si="104"/>
        <v>Lào Cai</v>
      </c>
      <c r="D1295" s="3" t="s">
        <v>139</v>
      </c>
      <c r="E1295" s="4" t="str">
        <f t="shared" ref="E1295:E1310" si="106">HYPERLINK("https://diaocthongthai.com/ban-do-huyen-sa-pa-lao-cai/","Thị xã Sa Pa")</f>
        <v>Thị xã Sa Pa</v>
      </c>
      <c r="F1295" s="3" t="s">
        <v>2059</v>
      </c>
      <c r="G1295" s="4" t="str">
        <f>HYPERLINK("https://diaocthongthai.com/phuong-sa-pa-1-sa-pa/","Phường Sa Pa")</f>
        <v>Phường Sa Pa</v>
      </c>
    </row>
    <row r="1296" spans="1:7" x14ac:dyDescent="0.25">
      <c r="A1296" s="2">
        <v>1295</v>
      </c>
      <c r="B1296" s="3" t="s">
        <v>8</v>
      </c>
      <c r="C1296" s="4" t="str">
        <f t="shared" si="104"/>
        <v>Lào Cai</v>
      </c>
      <c r="D1296" s="3" t="s">
        <v>139</v>
      </c>
      <c r="E1296" s="4" t="str">
        <f t="shared" si="106"/>
        <v>Thị xã Sa Pa</v>
      </c>
      <c r="F1296" s="3" t="s">
        <v>2060</v>
      </c>
      <c r="G1296" s="4" t="str">
        <f>HYPERLINK("https://diaocthongthai.com/phuong-sa-pa-2-sa-pa/","Phường Sa Pả")</f>
        <v>Phường Sa Pả</v>
      </c>
    </row>
    <row r="1297" spans="1:7" x14ac:dyDescent="0.25">
      <c r="A1297" s="2">
        <v>1296</v>
      </c>
      <c r="B1297" s="3" t="s">
        <v>8</v>
      </c>
      <c r="C1297" s="4" t="str">
        <f t="shared" si="104"/>
        <v>Lào Cai</v>
      </c>
      <c r="D1297" s="3" t="s">
        <v>139</v>
      </c>
      <c r="E1297" s="4" t="str">
        <f t="shared" si="106"/>
        <v>Thị xã Sa Pa</v>
      </c>
      <c r="F1297" s="3" t="s">
        <v>2061</v>
      </c>
      <c r="G1297" s="4" t="str">
        <f>HYPERLINK("https://diaocthongthai.com/phuong-o-quy-ho-sa-pa/","Phường Ô Quý Hồ")</f>
        <v>Phường Ô Quý Hồ</v>
      </c>
    </row>
    <row r="1298" spans="1:7" x14ac:dyDescent="0.25">
      <c r="A1298" s="2">
        <v>1297</v>
      </c>
      <c r="B1298" s="3" t="s">
        <v>8</v>
      </c>
      <c r="C1298" s="4" t="str">
        <f t="shared" si="104"/>
        <v>Lào Cai</v>
      </c>
      <c r="D1298" s="3" t="s">
        <v>139</v>
      </c>
      <c r="E1298" s="4" t="str">
        <f t="shared" si="106"/>
        <v>Thị xã Sa Pa</v>
      </c>
      <c r="F1298" s="3" t="s">
        <v>2062</v>
      </c>
      <c r="G1298" s="4" t="str">
        <f>HYPERLINK("https://diaocthongthai.com/xa-ngu-chi-son-sa-pa/","Xã Ngũ Chỉ Sơn")</f>
        <v>Xã Ngũ Chỉ Sơn</v>
      </c>
    </row>
    <row r="1299" spans="1:7" x14ac:dyDescent="0.25">
      <c r="A1299" s="2">
        <v>1298</v>
      </c>
      <c r="B1299" s="3" t="s">
        <v>8</v>
      </c>
      <c r="C1299" s="4" t="str">
        <f t="shared" si="104"/>
        <v>Lào Cai</v>
      </c>
      <c r="D1299" s="3" t="s">
        <v>139</v>
      </c>
      <c r="E1299" s="4" t="str">
        <f t="shared" si="106"/>
        <v>Thị xã Sa Pa</v>
      </c>
      <c r="F1299" s="3" t="s">
        <v>2063</v>
      </c>
      <c r="G1299" s="4" t="str">
        <f>HYPERLINK("https://diaocthongthai.com/phuong-phan-si-pang-sa-pa/","Phường Phan Si Păng")</f>
        <v>Phường Phan Si Păng</v>
      </c>
    </row>
    <row r="1300" spans="1:7" x14ac:dyDescent="0.25">
      <c r="A1300" s="2">
        <v>1299</v>
      </c>
      <c r="B1300" s="3" t="s">
        <v>8</v>
      </c>
      <c r="C1300" s="4" t="str">
        <f t="shared" si="104"/>
        <v>Lào Cai</v>
      </c>
      <c r="D1300" s="3" t="s">
        <v>139</v>
      </c>
      <c r="E1300" s="4" t="str">
        <f t="shared" si="106"/>
        <v>Thị xã Sa Pa</v>
      </c>
      <c r="F1300" s="3" t="s">
        <v>2064</v>
      </c>
      <c r="G1300" s="4" t="str">
        <f>HYPERLINK("https://diaocthongthai.com/xa-trung-chai-sa-pa/","Xã Trung Chải")</f>
        <v>Xã Trung Chải</v>
      </c>
    </row>
    <row r="1301" spans="1:7" x14ac:dyDescent="0.25">
      <c r="A1301" s="2">
        <v>1300</v>
      </c>
      <c r="B1301" s="3" t="s">
        <v>8</v>
      </c>
      <c r="C1301" s="4" t="str">
        <f t="shared" si="104"/>
        <v>Lào Cai</v>
      </c>
      <c r="D1301" s="3" t="s">
        <v>139</v>
      </c>
      <c r="E1301" s="4" t="str">
        <f t="shared" si="106"/>
        <v>Thị xã Sa Pa</v>
      </c>
      <c r="F1301" s="3" t="s">
        <v>2065</v>
      </c>
      <c r="G1301" s="4" t="str">
        <f>HYPERLINK("https://diaocthongthai.com/xa-ta-phin-sa-pa/","Xã Tả Phìn")</f>
        <v>Xã Tả Phìn</v>
      </c>
    </row>
    <row r="1302" spans="1:7" x14ac:dyDescent="0.25">
      <c r="A1302" s="2">
        <v>1301</v>
      </c>
      <c r="B1302" s="3" t="s">
        <v>8</v>
      </c>
      <c r="C1302" s="4" t="str">
        <f t="shared" si="104"/>
        <v>Lào Cai</v>
      </c>
      <c r="D1302" s="3" t="s">
        <v>139</v>
      </c>
      <c r="E1302" s="4" t="str">
        <f t="shared" si="106"/>
        <v>Thị xã Sa Pa</v>
      </c>
      <c r="F1302" s="3" t="s">
        <v>2066</v>
      </c>
      <c r="G1302" s="4" t="str">
        <f>HYPERLINK("https://diaocthongthai.com/phuong-ham-rong-sa-pa/","Phường Hàm Rồng")</f>
        <v>Phường Hàm Rồng</v>
      </c>
    </row>
    <row r="1303" spans="1:7" x14ac:dyDescent="0.25">
      <c r="A1303" s="2">
        <v>1302</v>
      </c>
      <c r="B1303" s="3" t="s">
        <v>8</v>
      </c>
      <c r="C1303" s="4" t="str">
        <f t="shared" si="104"/>
        <v>Lào Cai</v>
      </c>
      <c r="D1303" s="3" t="s">
        <v>139</v>
      </c>
      <c r="E1303" s="4" t="str">
        <f t="shared" si="106"/>
        <v>Thị xã Sa Pa</v>
      </c>
      <c r="F1303" s="3" t="s">
        <v>2067</v>
      </c>
      <c r="G1303" s="4" t="str">
        <f>HYPERLINK("https://diaocthongthai.com/xa-hoang-lien-sa-pa/","Xã Hoàng Liên")</f>
        <v>Xã Hoàng Liên</v>
      </c>
    </row>
    <row r="1304" spans="1:7" x14ac:dyDescent="0.25">
      <c r="A1304" s="2">
        <v>1303</v>
      </c>
      <c r="B1304" s="3" t="s">
        <v>8</v>
      </c>
      <c r="C1304" s="4" t="str">
        <f t="shared" si="104"/>
        <v>Lào Cai</v>
      </c>
      <c r="D1304" s="3" t="s">
        <v>139</v>
      </c>
      <c r="E1304" s="4" t="str">
        <f t="shared" si="106"/>
        <v>Thị xã Sa Pa</v>
      </c>
      <c r="F1304" s="3" t="s">
        <v>2068</v>
      </c>
      <c r="G1304" s="4" t="str">
        <f>HYPERLINK("https://diaocthongthai.com/xa-thanh-binh-sa-pa/","Xã Thanh Bình")</f>
        <v>Xã Thanh Bình</v>
      </c>
    </row>
    <row r="1305" spans="1:7" x14ac:dyDescent="0.25">
      <c r="A1305" s="2">
        <v>1304</v>
      </c>
      <c r="B1305" s="3" t="s">
        <v>8</v>
      </c>
      <c r="C1305" s="4" t="str">
        <f t="shared" si="104"/>
        <v>Lào Cai</v>
      </c>
      <c r="D1305" s="3" t="s">
        <v>139</v>
      </c>
      <c r="E1305" s="4" t="str">
        <f t="shared" si="106"/>
        <v>Thị xã Sa Pa</v>
      </c>
      <c r="F1305" s="3" t="s">
        <v>2069</v>
      </c>
      <c r="G1305" s="4" t="str">
        <f>HYPERLINK("https://diaocthongthai.com/phuong-cau-may-sa-pa/","Phường Cầu Mây")</f>
        <v>Phường Cầu Mây</v>
      </c>
    </row>
    <row r="1306" spans="1:7" x14ac:dyDescent="0.25">
      <c r="A1306" s="2">
        <v>1305</v>
      </c>
      <c r="B1306" s="3" t="s">
        <v>8</v>
      </c>
      <c r="C1306" s="4" t="str">
        <f t="shared" si="104"/>
        <v>Lào Cai</v>
      </c>
      <c r="D1306" s="3" t="s">
        <v>139</v>
      </c>
      <c r="E1306" s="4" t="str">
        <f t="shared" si="106"/>
        <v>Thị xã Sa Pa</v>
      </c>
      <c r="F1306" s="3" t="s">
        <v>2070</v>
      </c>
      <c r="G1306" s="4" t="str">
        <f>HYPERLINK("https://diaocthongthai.com/xa-muong-hoa-sa-pa/","Xã Mường Hoa")</f>
        <v>Xã Mường Hoa</v>
      </c>
    </row>
    <row r="1307" spans="1:7" x14ac:dyDescent="0.25">
      <c r="A1307" s="2">
        <v>1306</v>
      </c>
      <c r="B1307" s="3" t="s">
        <v>8</v>
      </c>
      <c r="C1307" s="4" t="str">
        <f t="shared" si="104"/>
        <v>Lào Cai</v>
      </c>
      <c r="D1307" s="3" t="s">
        <v>139</v>
      </c>
      <c r="E1307" s="4" t="str">
        <f t="shared" si="106"/>
        <v>Thị xã Sa Pa</v>
      </c>
      <c r="F1307" s="3" t="s">
        <v>2071</v>
      </c>
      <c r="G1307" s="4" t="str">
        <f>HYPERLINK("https://diaocthongthai.com/xa-ta-van-sa-pa/","Xã Tả Van")</f>
        <v>Xã Tả Van</v>
      </c>
    </row>
    <row r="1308" spans="1:7" x14ac:dyDescent="0.25">
      <c r="A1308" s="2">
        <v>1307</v>
      </c>
      <c r="B1308" s="3" t="s">
        <v>8</v>
      </c>
      <c r="C1308" s="4" t="str">
        <f t="shared" si="104"/>
        <v>Lào Cai</v>
      </c>
      <c r="D1308" s="3" t="s">
        <v>139</v>
      </c>
      <c r="E1308" s="4" t="str">
        <f t="shared" si="106"/>
        <v>Thị xã Sa Pa</v>
      </c>
      <c r="F1308" s="3" t="s">
        <v>2072</v>
      </c>
      <c r="G1308" s="4" t="str">
        <f>HYPERLINK("https://diaocthongthai.com/xa-muong-bo-sa-pa/","Xã Mường Bo")</f>
        <v>Xã Mường Bo</v>
      </c>
    </row>
    <row r="1309" spans="1:7" x14ac:dyDescent="0.25">
      <c r="A1309" s="2">
        <v>1308</v>
      </c>
      <c r="B1309" s="3" t="s">
        <v>8</v>
      </c>
      <c r="C1309" s="4" t="str">
        <f t="shared" ref="C1309:C1332" si="107">HYPERLINK("https://diaocthongthai.com/ban-do-lao-cai/","Lào Cai")</f>
        <v>Lào Cai</v>
      </c>
      <c r="D1309" s="3" t="s">
        <v>139</v>
      </c>
      <c r="E1309" s="4" t="str">
        <f t="shared" si="106"/>
        <v>Thị xã Sa Pa</v>
      </c>
      <c r="F1309" s="3" t="s">
        <v>2073</v>
      </c>
      <c r="G1309" s="4" t="str">
        <f>HYPERLINK("https://diaocthongthai.com/xa-ban-ho-sa-pa/","Xã Bản Hồ")</f>
        <v>Xã Bản Hồ</v>
      </c>
    </row>
    <row r="1310" spans="1:7" x14ac:dyDescent="0.25">
      <c r="A1310" s="2">
        <v>1309</v>
      </c>
      <c r="B1310" s="3" t="s">
        <v>8</v>
      </c>
      <c r="C1310" s="4" t="str">
        <f t="shared" si="107"/>
        <v>Lào Cai</v>
      </c>
      <c r="D1310" s="3" t="s">
        <v>139</v>
      </c>
      <c r="E1310" s="4" t="str">
        <f t="shared" si="106"/>
        <v>Thị xã Sa Pa</v>
      </c>
      <c r="F1310" s="3" t="s">
        <v>2074</v>
      </c>
      <c r="G1310" s="4" t="str">
        <f>HYPERLINK("https://diaocthongthai.com/xa-lien-minh-sa-pa/","Xã Liên Minh")</f>
        <v>Xã Liên Minh</v>
      </c>
    </row>
    <row r="1311" spans="1:7" x14ac:dyDescent="0.25">
      <c r="A1311" s="2">
        <v>1310</v>
      </c>
      <c r="B1311" s="3" t="s">
        <v>8</v>
      </c>
      <c r="C1311" s="4" t="str">
        <f t="shared" si="107"/>
        <v>Lào Cai</v>
      </c>
      <c r="D1311" s="3" t="s">
        <v>140</v>
      </c>
      <c r="E1311" s="4" t="str">
        <f t="shared" ref="E1311:E1332" si="108">HYPERLINK("https://diaocthongthai.com/ban-do-huyen-van-ban-lao-cai/","Huyện Văn Bàn")</f>
        <v>Huyện Văn Bàn</v>
      </c>
      <c r="F1311" s="3" t="s">
        <v>2075</v>
      </c>
      <c r="G1311" s="4" t="str">
        <f>HYPERLINK("https://diaocthongthai.com/thi-tran-khanh-yen-van-ban/","Thị trấn Khánh Yên")</f>
        <v>Thị trấn Khánh Yên</v>
      </c>
    </row>
    <row r="1312" spans="1:7" x14ac:dyDescent="0.25">
      <c r="A1312" s="2">
        <v>1311</v>
      </c>
      <c r="B1312" s="3" t="s">
        <v>8</v>
      </c>
      <c r="C1312" s="4" t="str">
        <f t="shared" si="107"/>
        <v>Lào Cai</v>
      </c>
      <c r="D1312" s="3" t="s">
        <v>140</v>
      </c>
      <c r="E1312" s="4" t="str">
        <f t="shared" si="108"/>
        <v>Huyện Văn Bàn</v>
      </c>
      <c r="F1312" s="3" t="s">
        <v>2076</v>
      </c>
      <c r="G1312" s="4" t="str">
        <f>HYPERLINK("https://diaocthongthai.com/xa-vo-lao-van-ban/","Xã Võ Lao")</f>
        <v>Xã Võ Lao</v>
      </c>
    </row>
    <row r="1313" spans="1:7" x14ac:dyDescent="0.25">
      <c r="A1313" s="2">
        <v>1312</v>
      </c>
      <c r="B1313" s="3" t="s">
        <v>8</v>
      </c>
      <c r="C1313" s="4" t="str">
        <f t="shared" si="107"/>
        <v>Lào Cai</v>
      </c>
      <c r="D1313" s="3" t="s">
        <v>140</v>
      </c>
      <c r="E1313" s="4" t="str">
        <f t="shared" si="108"/>
        <v>Huyện Văn Bàn</v>
      </c>
      <c r="F1313" s="3" t="s">
        <v>2077</v>
      </c>
      <c r="G1313" s="4" t="str">
        <f>HYPERLINK("https://diaocthongthai.com/xa-son-thuy-van-ban/","Xã Sơn Thuỷ")</f>
        <v>Xã Sơn Thuỷ</v>
      </c>
    </row>
    <row r="1314" spans="1:7" x14ac:dyDescent="0.25">
      <c r="A1314" s="2">
        <v>1313</v>
      </c>
      <c r="B1314" s="3" t="s">
        <v>8</v>
      </c>
      <c r="C1314" s="4" t="str">
        <f t="shared" si="107"/>
        <v>Lào Cai</v>
      </c>
      <c r="D1314" s="3" t="s">
        <v>140</v>
      </c>
      <c r="E1314" s="4" t="str">
        <f t="shared" si="108"/>
        <v>Huyện Văn Bàn</v>
      </c>
      <c r="F1314" s="3" t="s">
        <v>2078</v>
      </c>
      <c r="G1314" s="4" t="str">
        <f>HYPERLINK("https://diaocthongthai.com/xa-nam-ma-van-ban/","Xã Nậm Mả")</f>
        <v>Xã Nậm Mả</v>
      </c>
    </row>
    <row r="1315" spans="1:7" x14ac:dyDescent="0.25">
      <c r="A1315" s="2">
        <v>1314</v>
      </c>
      <c r="B1315" s="3" t="s">
        <v>8</v>
      </c>
      <c r="C1315" s="4" t="str">
        <f t="shared" si="107"/>
        <v>Lào Cai</v>
      </c>
      <c r="D1315" s="3" t="s">
        <v>140</v>
      </c>
      <c r="E1315" s="4" t="str">
        <f t="shared" si="108"/>
        <v>Huyện Văn Bàn</v>
      </c>
      <c r="F1315" s="3" t="s">
        <v>2079</v>
      </c>
      <c r="G1315" s="4" t="str">
        <f>HYPERLINK("https://diaocthongthai.com/xa-tan-thuong-van-ban/","Xã Tân Thượng")</f>
        <v>Xã Tân Thượng</v>
      </c>
    </row>
    <row r="1316" spans="1:7" x14ac:dyDescent="0.25">
      <c r="A1316" s="2">
        <v>1315</v>
      </c>
      <c r="B1316" s="3" t="s">
        <v>8</v>
      </c>
      <c r="C1316" s="4" t="str">
        <f t="shared" si="107"/>
        <v>Lào Cai</v>
      </c>
      <c r="D1316" s="3" t="s">
        <v>140</v>
      </c>
      <c r="E1316" s="4" t="str">
        <f t="shared" si="108"/>
        <v>Huyện Văn Bàn</v>
      </c>
      <c r="F1316" s="3" t="s">
        <v>2080</v>
      </c>
      <c r="G1316" s="4" t="str">
        <f>HYPERLINK("https://diaocthongthai.com/xa-nam-dang-van-ban/","Xã Nậm Rạng")</f>
        <v>Xã Nậm Rạng</v>
      </c>
    </row>
    <row r="1317" spans="1:7" x14ac:dyDescent="0.25">
      <c r="A1317" s="2">
        <v>1316</v>
      </c>
      <c r="B1317" s="3" t="s">
        <v>8</v>
      </c>
      <c r="C1317" s="4" t="str">
        <f t="shared" si="107"/>
        <v>Lào Cai</v>
      </c>
      <c r="D1317" s="3" t="s">
        <v>140</v>
      </c>
      <c r="E1317" s="4" t="str">
        <f t="shared" si="108"/>
        <v>Huyện Văn Bàn</v>
      </c>
      <c r="F1317" s="3" t="s">
        <v>2081</v>
      </c>
      <c r="G1317" s="4" t="str">
        <f>HYPERLINK("https://diaocthongthai.com/xa-nam-chay-van-ban/","Xã Nậm Chầy")</f>
        <v>Xã Nậm Chầy</v>
      </c>
    </row>
    <row r="1318" spans="1:7" x14ac:dyDescent="0.25">
      <c r="A1318" s="2">
        <v>1317</v>
      </c>
      <c r="B1318" s="3" t="s">
        <v>8</v>
      </c>
      <c r="C1318" s="4" t="str">
        <f t="shared" si="107"/>
        <v>Lào Cai</v>
      </c>
      <c r="D1318" s="3" t="s">
        <v>140</v>
      </c>
      <c r="E1318" s="4" t="str">
        <f t="shared" si="108"/>
        <v>Huyện Văn Bàn</v>
      </c>
      <c r="F1318" s="3" t="s">
        <v>2082</v>
      </c>
      <c r="G1318" s="4" t="str">
        <f>HYPERLINK("https://diaocthongthai.com/xa-tan-an-van-ban/","Xã Tân An")</f>
        <v>Xã Tân An</v>
      </c>
    </row>
    <row r="1319" spans="1:7" x14ac:dyDescent="0.25">
      <c r="A1319" s="2">
        <v>1318</v>
      </c>
      <c r="B1319" s="3" t="s">
        <v>8</v>
      </c>
      <c r="C1319" s="4" t="str">
        <f t="shared" si="107"/>
        <v>Lào Cai</v>
      </c>
      <c r="D1319" s="3" t="s">
        <v>140</v>
      </c>
      <c r="E1319" s="4" t="str">
        <f t="shared" si="108"/>
        <v>Huyện Văn Bàn</v>
      </c>
      <c r="F1319" s="3" t="s">
        <v>2083</v>
      </c>
      <c r="G1319" s="4" t="str">
        <f>HYPERLINK("https://diaocthongthai.com/xa-khanh-yen-thuong-van-ban/","Xã Khánh Yên Thượng")</f>
        <v>Xã Khánh Yên Thượng</v>
      </c>
    </row>
    <row r="1320" spans="1:7" x14ac:dyDescent="0.25">
      <c r="A1320" s="2">
        <v>1319</v>
      </c>
      <c r="B1320" s="3" t="s">
        <v>8</v>
      </c>
      <c r="C1320" s="4" t="str">
        <f t="shared" si="107"/>
        <v>Lào Cai</v>
      </c>
      <c r="D1320" s="3" t="s">
        <v>140</v>
      </c>
      <c r="E1320" s="4" t="str">
        <f t="shared" si="108"/>
        <v>Huyện Văn Bàn</v>
      </c>
      <c r="F1320" s="3" t="s">
        <v>2084</v>
      </c>
      <c r="G1320" s="4" t="str">
        <f>HYPERLINK("https://diaocthongthai.com/xa-nam-xe-van-ban/","Xã Nậm Xé")</f>
        <v>Xã Nậm Xé</v>
      </c>
    </row>
    <row r="1321" spans="1:7" x14ac:dyDescent="0.25">
      <c r="A1321" s="2">
        <v>1320</v>
      </c>
      <c r="B1321" s="3" t="s">
        <v>8</v>
      </c>
      <c r="C1321" s="4" t="str">
        <f t="shared" si="107"/>
        <v>Lào Cai</v>
      </c>
      <c r="D1321" s="3" t="s">
        <v>140</v>
      </c>
      <c r="E1321" s="4" t="str">
        <f t="shared" si="108"/>
        <v>Huyện Văn Bàn</v>
      </c>
      <c r="F1321" s="3" t="s">
        <v>2085</v>
      </c>
      <c r="G1321" s="4" t="str">
        <f>HYPERLINK("https://diaocthongthai.com/xa-dan-thang-van-ban/","Xã Dần Thàng")</f>
        <v>Xã Dần Thàng</v>
      </c>
    </row>
    <row r="1322" spans="1:7" x14ac:dyDescent="0.25">
      <c r="A1322" s="2">
        <v>1321</v>
      </c>
      <c r="B1322" s="3" t="s">
        <v>8</v>
      </c>
      <c r="C1322" s="4" t="str">
        <f t="shared" si="107"/>
        <v>Lào Cai</v>
      </c>
      <c r="D1322" s="3" t="s">
        <v>140</v>
      </c>
      <c r="E1322" s="4" t="str">
        <f t="shared" si="108"/>
        <v>Huyện Văn Bàn</v>
      </c>
      <c r="F1322" s="3" t="s">
        <v>2086</v>
      </c>
      <c r="G1322" s="4" t="str">
        <f>HYPERLINK("https://diaocthongthai.com/xa-chieng-ken-van-ban/","Xã Chiềng Ken")</f>
        <v>Xã Chiềng Ken</v>
      </c>
    </row>
    <row r="1323" spans="1:7" x14ac:dyDescent="0.25">
      <c r="A1323" s="2">
        <v>1322</v>
      </c>
      <c r="B1323" s="3" t="s">
        <v>8</v>
      </c>
      <c r="C1323" s="4" t="str">
        <f t="shared" si="107"/>
        <v>Lào Cai</v>
      </c>
      <c r="D1323" s="3" t="s">
        <v>140</v>
      </c>
      <c r="E1323" s="4" t="str">
        <f t="shared" si="108"/>
        <v>Huyện Văn Bàn</v>
      </c>
      <c r="F1323" s="3" t="s">
        <v>2087</v>
      </c>
      <c r="G1323" s="4" t="str">
        <f>HYPERLINK("https://diaocthongthai.com/xa-lang-giang-van-ban/","Xã Làng Giàng")</f>
        <v>Xã Làng Giàng</v>
      </c>
    </row>
    <row r="1324" spans="1:7" x14ac:dyDescent="0.25">
      <c r="A1324" s="2">
        <v>1323</v>
      </c>
      <c r="B1324" s="3" t="s">
        <v>8</v>
      </c>
      <c r="C1324" s="4" t="str">
        <f t="shared" si="107"/>
        <v>Lào Cai</v>
      </c>
      <c r="D1324" s="3" t="s">
        <v>140</v>
      </c>
      <c r="E1324" s="4" t="str">
        <f t="shared" si="108"/>
        <v>Huyện Văn Bàn</v>
      </c>
      <c r="F1324" s="3" t="s">
        <v>2088</v>
      </c>
      <c r="G1324" s="4" t="str">
        <f>HYPERLINK("https://diaocthongthai.com/xa-hoa-mac-van-ban/","Xã Hoà Mạc")</f>
        <v>Xã Hoà Mạc</v>
      </c>
    </row>
    <row r="1325" spans="1:7" x14ac:dyDescent="0.25">
      <c r="A1325" s="2">
        <v>1324</v>
      </c>
      <c r="B1325" s="3" t="s">
        <v>8</v>
      </c>
      <c r="C1325" s="4" t="str">
        <f t="shared" si="107"/>
        <v>Lào Cai</v>
      </c>
      <c r="D1325" s="3" t="s">
        <v>140</v>
      </c>
      <c r="E1325" s="4" t="str">
        <f t="shared" si="108"/>
        <v>Huyện Văn Bàn</v>
      </c>
      <c r="F1325" s="3" t="s">
        <v>2089</v>
      </c>
      <c r="G1325" s="4" t="str">
        <f>HYPERLINK("https://diaocthongthai.com/xa-khanh-yen-trung-van-ban/","Xã Khánh Yên Trung")</f>
        <v>Xã Khánh Yên Trung</v>
      </c>
    </row>
    <row r="1326" spans="1:7" x14ac:dyDescent="0.25">
      <c r="A1326" s="2">
        <v>1325</v>
      </c>
      <c r="B1326" s="3" t="s">
        <v>8</v>
      </c>
      <c r="C1326" s="4" t="str">
        <f t="shared" si="107"/>
        <v>Lào Cai</v>
      </c>
      <c r="D1326" s="3" t="s">
        <v>140</v>
      </c>
      <c r="E1326" s="4" t="str">
        <f t="shared" si="108"/>
        <v>Huyện Văn Bàn</v>
      </c>
      <c r="F1326" s="3" t="s">
        <v>2090</v>
      </c>
      <c r="G1326" s="4" t="str">
        <f>HYPERLINK("https://diaocthongthai.com/xa-khanh-yen-ha-van-ban/","Xã Khánh Yên Hạ")</f>
        <v>Xã Khánh Yên Hạ</v>
      </c>
    </row>
    <row r="1327" spans="1:7" x14ac:dyDescent="0.25">
      <c r="A1327" s="2">
        <v>1326</v>
      </c>
      <c r="B1327" s="3" t="s">
        <v>8</v>
      </c>
      <c r="C1327" s="4" t="str">
        <f t="shared" si="107"/>
        <v>Lào Cai</v>
      </c>
      <c r="D1327" s="3" t="s">
        <v>140</v>
      </c>
      <c r="E1327" s="4" t="str">
        <f t="shared" si="108"/>
        <v>Huyện Văn Bàn</v>
      </c>
      <c r="F1327" s="3" t="s">
        <v>2091</v>
      </c>
      <c r="G1327" s="4" t="str">
        <f>HYPERLINK("https://diaocthongthai.com/xa-duong-quy-van-ban/","Xã Dương Quỳ")</f>
        <v>Xã Dương Quỳ</v>
      </c>
    </row>
    <row r="1328" spans="1:7" x14ac:dyDescent="0.25">
      <c r="A1328" s="2">
        <v>1327</v>
      </c>
      <c r="B1328" s="3" t="s">
        <v>8</v>
      </c>
      <c r="C1328" s="4" t="str">
        <f t="shared" si="107"/>
        <v>Lào Cai</v>
      </c>
      <c r="D1328" s="3" t="s">
        <v>140</v>
      </c>
      <c r="E1328" s="4" t="str">
        <f t="shared" si="108"/>
        <v>Huyện Văn Bàn</v>
      </c>
      <c r="F1328" s="3" t="s">
        <v>2092</v>
      </c>
      <c r="G1328" s="4" t="str">
        <f>HYPERLINK("https://diaocthongthai.com/xa-nam-tha-van-ban/","Xã Nậm Tha")</f>
        <v>Xã Nậm Tha</v>
      </c>
    </row>
    <row r="1329" spans="1:7" x14ac:dyDescent="0.25">
      <c r="A1329" s="2">
        <v>1328</v>
      </c>
      <c r="B1329" s="3" t="s">
        <v>8</v>
      </c>
      <c r="C1329" s="4" t="str">
        <f t="shared" si="107"/>
        <v>Lào Cai</v>
      </c>
      <c r="D1329" s="3" t="s">
        <v>140</v>
      </c>
      <c r="E1329" s="4" t="str">
        <f t="shared" si="108"/>
        <v>Huyện Văn Bàn</v>
      </c>
      <c r="F1329" s="3" t="s">
        <v>2093</v>
      </c>
      <c r="G1329" s="4" t="str">
        <f>HYPERLINK("https://diaocthongthai.com/xa-minh-luong-van-ban/","Xã Minh Lương")</f>
        <v>Xã Minh Lương</v>
      </c>
    </row>
    <row r="1330" spans="1:7" x14ac:dyDescent="0.25">
      <c r="A1330" s="2">
        <v>1329</v>
      </c>
      <c r="B1330" s="3" t="s">
        <v>8</v>
      </c>
      <c r="C1330" s="4" t="str">
        <f t="shared" si="107"/>
        <v>Lào Cai</v>
      </c>
      <c r="D1330" s="3" t="s">
        <v>140</v>
      </c>
      <c r="E1330" s="4" t="str">
        <f t="shared" si="108"/>
        <v>Huyện Văn Bàn</v>
      </c>
      <c r="F1330" s="3" t="s">
        <v>2094</v>
      </c>
      <c r="G1330" s="4" t="str">
        <f>HYPERLINK("https://diaocthongthai.com/xa-tham-duong-van-ban/","Xã Thẩm Dương")</f>
        <v>Xã Thẩm Dương</v>
      </c>
    </row>
    <row r="1331" spans="1:7" x14ac:dyDescent="0.25">
      <c r="A1331" s="2">
        <v>1330</v>
      </c>
      <c r="B1331" s="3" t="s">
        <v>8</v>
      </c>
      <c r="C1331" s="4" t="str">
        <f t="shared" si="107"/>
        <v>Lào Cai</v>
      </c>
      <c r="D1331" s="3" t="s">
        <v>140</v>
      </c>
      <c r="E1331" s="4" t="str">
        <f t="shared" si="108"/>
        <v>Huyện Văn Bàn</v>
      </c>
      <c r="F1331" s="3" t="s">
        <v>2095</v>
      </c>
      <c r="G1331" s="4" t="str">
        <f>HYPERLINK("https://diaocthongthai.com/xa-liem-phu-van-ban/","Xã Liêm Phú")</f>
        <v>Xã Liêm Phú</v>
      </c>
    </row>
    <row r="1332" spans="1:7" x14ac:dyDescent="0.25">
      <c r="A1332" s="2">
        <v>1331</v>
      </c>
      <c r="B1332" s="3" t="s">
        <v>8</v>
      </c>
      <c r="C1332" s="4" t="str">
        <f t="shared" si="107"/>
        <v>Lào Cai</v>
      </c>
      <c r="D1332" s="3" t="s">
        <v>140</v>
      </c>
      <c r="E1332" s="4" t="str">
        <f t="shared" si="108"/>
        <v>Huyện Văn Bàn</v>
      </c>
      <c r="F1332" s="3" t="s">
        <v>2096</v>
      </c>
      <c r="G1332" s="4" t="str">
        <f>HYPERLINK("https://diaocthongthai.com/xa-nam-xay-van-ban/","Xã Nậm Xây")</f>
        <v>Xã Nậm Xây</v>
      </c>
    </row>
    <row r="1333" spans="1:7" x14ac:dyDescent="0.25">
      <c r="A1333" s="2">
        <v>1332</v>
      </c>
      <c r="B1333" s="3" t="s">
        <v>9</v>
      </c>
      <c r="C1333" s="4" t="str">
        <f t="shared" ref="C1333:C1364" si="109">HYPERLINK("https://diaocthongthai.com/ban-do-dien-bien/","Điện Biên")</f>
        <v>Điện Biên</v>
      </c>
      <c r="D1333" s="3" t="s">
        <v>141</v>
      </c>
      <c r="E1333" s="4" t="str">
        <f t="shared" ref="E1333:E1344" si="110">HYPERLINK("https://diaocthongthai.com/ban-do-tp-dien-bien-phu-dien-bien/","Thành phố Điện Biên Phủ")</f>
        <v>Thành phố Điện Biên Phủ</v>
      </c>
      <c r="F1333" s="3" t="s">
        <v>2097</v>
      </c>
      <c r="G1333" s="4" t="str">
        <f>HYPERLINK("https://diaocthongthai.com/phuong-noong-bua-tp-dien-bien-phu/","Phường Noong Bua")</f>
        <v>Phường Noong Bua</v>
      </c>
    </row>
    <row r="1334" spans="1:7" x14ac:dyDescent="0.25">
      <c r="A1334" s="2">
        <v>1333</v>
      </c>
      <c r="B1334" s="3" t="s">
        <v>9</v>
      </c>
      <c r="C1334" s="4" t="str">
        <f t="shared" si="109"/>
        <v>Điện Biên</v>
      </c>
      <c r="D1334" s="3" t="s">
        <v>141</v>
      </c>
      <c r="E1334" s="4" t="str">
        <f t="shared" si="110"/>
        <v>Thành phố Điện Biên Phủ</v>
      </c>
      <c r="F1334" s="3" t="s">
        <v>2098</v>
      </c>
      <c r="G1334" s="4" t="str">
        <f>HYPERLINK("https://diaocthongthai.com/phuong-him-lam-tp-dien-bien-phu/","Phường Him Lam")</f>
        <v>Phường Him Lam</v>
      </c>
    </row>
    <row r="1335" spans="1:7" x14ac:dyDescent="0.25">
      <c r="A1335" s="2">
        <v>1334</v>
      </c>
      <c r="B1335" s="3" t="s">
        <v>9</v>
      </c>
      <c r="C1335" s="4" t="str">
        <f t="shared" si="109"/>
        <v>Điện Biên</v>
      </c>
      <c r="D1335" s="3" t="s">
        <v>141</v>
      </c>
      <c r="E1335" s="4" t="str">
        <f t="shared" si="110"/>
        <v>Thành phố Điện Biên Phủ</v>
      </c>
      <c r="F1335" s="3" t="s">
        <v>2099</v>
      </c>
      <c r="G1335" s="4" t="str">
        <f>HYPERLINK("https://diaocthongthai.com/phuong-thanh-binh-tp-dien-bien-phu/","Phường Thanh Bình")</f>
        <v>Phường Thanh Bình</v>
      </c>
    </row>
    <row r="1336" spans="1:7" x14ac:dyDescent="0.25">
      <c r="A1336" s="2">
        <v>1335</v>
      </c>
      <c r="B1336" s="3" t="s">
        <v>9</v>
      </c>
      <c r="C1336" s="4" t="str">
        <f t="shared" si="109"/>
        <v>Điện Biên</v>
      </c>
      <c r="D1336" s="3" t="s">
        <v>141</v>
      </c>
      <c r="E1336" s="4" t="str">
        <f t="shared" si="110"/>
        <v>Thành phố Điện Biên Phủ</v>
      </c>
      <c r="F1336" s="3" t="s">
        <v>2100</v>
      </c>
      <c r="G1336" s="4" t="str">
        <f>HYPERLINK("https://diaocthongthai.com/phuong-tan-thanh-tp-dien-bien-phu/","Phường Tân Thanh")</f>
        <v>Phường Tân Thanh</v>
      </c>
    </row>
    <row r="1337" spans="1:7" x14ac:dyDescent="0.25">
      <c r="A1337" s="2">
        <v>1336</v>
      </c>
      <c r="B1337" s="3" t="s">
        <v>9</v>
      </c>
      <c r="C1337" s="4" t="str">
        <f t="shared" si="109"/>
        <v>Điện Biên</v>
      </c>
      <c r="D1337" s="3" t="s">
        <v>141</v>
      </c>
      <c r="E1337" s="4" t="str">
        <f t="shared" si="110"/>
        <v>Thành phố Điện Biên Phủ</v>
      </c>
      <c r="F1337" s="3" t="s">
        <v>2101</v>
      </c>
      <c r="G1337" s="4" t="str">
        <f>HYPERLINK("https://diaocthongthai.com/phuong-muong-thanh-tp-dien-bien-phu/","Phường Mường Thanh")</f>
        <v>Phường Mường Thanh</v>
      </c>
    </row>
    <row r="1338" spans="1:7" x14ac:dyDescent="0.25">
      <c r="A1338" s="2">
        <v>1337</v>
      </c>
      <c r="B1338" s="3" t="s">
        <v>9</v>
      </c>
      <c r="C1338" s="4" t="str">
        <f t="shared" si="109"/>
        <v>Điện Biên</v>
      </c>
      <c r="D1338" s="3" t="s">
        <v>141</v>
      </c>
      <c r="E1338" s="4" t="str">
        <f t="shared" si="110"/>
        <v>Thành phố Điện Biên Phủ</v>
      </c>
      <c r="F1338" s="3" t="s">
        <v>2102</v>
      </c>
      <c r="G1338" s="4" t="str">
        <f>HYPERLINK("https://diaocthongthai.com/phuong-nam-thanh-tp-dien-bien-phu/","Phường Nam Thanh")</f>
        <v>Phường Nam Thanh</v>
      </c>
    </row>
    <row r="1339" spans="1:7" x14ac:dyDescent="0.25">
      <c r="A1339" s="2">
        <v>1338</v>
      </c>
      <c r="B1339" s="3" t="s">
        <v>9</v>
      </c>
      <c r="C1339" s="4" t="str">
        <f t="shared" si="109"/>
        <v>Điện Biên</v>
      </c>
      <c r="D1339" s="3" t="s">
        <v>141</v>
      </c>
      <c r="E1339" s="4" t="str">
        <f t="shared" si="110"/>
        <v>Thành phố Điện Biên Phủ</v>
      </c>
      <c r="F1339" s="3" t="s">
        <v>2103</v>
      </c>
      <c r="G1339" s="4" t="str">
        <f>HYPERLINK("https://diaocthongthai.com/phuong-thanh-truong-tp-dien-bien-phu/","Phường Thanh Trường")</f>
        <v>Phường Thanh Trường</v>
      </c>
    </row>
    <row r="1340" spans="1:7" x14ac:dyDescent="0.25">
      <c r="A1340" s="2">
        <v>1339</v>
      </c>
      <c r="B1340" s="3" t="s">
        <v>9</v>
      </c>
      <c r="C1340" s="4" t="str">
        <f t="shared" si="109"/>
        <v>Điện Biên</v>
      </c>
      <c r="D1340" s="3" t="s">
        <v>141</v>
      </c>
      <c r="E1340" s="4" t="str">
        <f t="shared" si="110"/>
        <v>Thành phố Điện Biên Phủ</v>
      </c>
      <c r="F1340" s="3" t="s">
        <v>2104</v>
      </c>
      <c r="G1340" s="4" t="str">
        <f>HYPERLINK("https://diaocthongthai.com/xa-thanh-minh-tp-dien-bien-phu/","Xã Thanh Minh")</f>
        <v>Xã Thanh Minh</v>
      </c>
    </row>
    <row r="1341" spans="1:7" x14ac:dyDescent="0.25">
      <c r="A1341" s="2">
        <v>1340</v>
      </c>
      <c r="B1341" s="3" t="s">
        <v>9</v>
      </c>
      <c r="C1341" s="4" t="str">
        <f t="shared" si="109"/>
        <v>Điện Biên</v>
      </c>
      <c r="D1341" s="3" t="s">
        <v>141</v>
      </c>
      <c r="E1341" s="4" t="str">
        <f t="shared" si="110"/>
        <v>Thành phố Điện Biên Phủ</v>
      </c>
      <c r="F1341" s="3" t="s">
        <v>2105</v>
      </c>
      <c r="G1341" s="4" t="str">
        <f>HYPERLINK("https://diaocthongthai.com/xa-na-tau-tp-dien-bien-phu/","Xã Nà Tấu")</f>
        <v>Xã Nà Tấu</v>
      </c>
    </row>
    <row r="1342" spans="1:7" x14ac:dyDescent="0.25">
      <c r="A1342" s="2">
        <v>1341</v>
      </c>
      <c r="B1342" s="3" t="s">
        <v>9</v>
      </c>
      <c r="C1342" s="4" t="str">
        <f t="shared" si="109"/>
        <v>Điện Biên</v>
      </c>
      <c r="D1342" s="3" t="s">
        <v>141</v>
      </c>
      <c r="E1342" s="4" t="str">
        <f t="shared" si="110"/>
        <v>Thành phố Điện Biên Phủ</v>
      </c>
      <c r="F1342" s="3" t="s">
        <v>2106</v>
      </c>
      <c r="G1342" s="4" t="str">
        <f>HYPERLINK("https://diaocthongthai.com/xa-na-nhan-tp-dien-bien-phu/","Xã Nà Nhạn")</f>
        <v>Xã Nà Nhạn</v>
      </c>
    </row>
    <row r="1343" spans="1:7" x14ac:dyDescent="0.25">
      <c r="A1343" s="2">
        <v>1342</v>
      </c>
      <c r="B1343" s="3" t="s">
        <v>9</v>
      </c>
      <c r="C1343" s="4" t="str">
        <f t="shared" si="109"/>
        <v>Điện Biên</v>
      </c>
      <c r="D1343" s="3" t="s">
        <v>141</v>
      </c>
      <c r="E1343" s="4" t="str">
        <f t="shared" si="110"/>
        <v>Thành phố Điện Biên Phủ</v>
      </c>
      <c r="F1343" s="3" t="s">
        <v>2107</v>
      </c>
      <c r="G1343" s="4" t="str">
        <f>HYPERLINK("https://diaocthongthai.com/xa-muong-phang-tp-dien-bien-phu/","Xã Mường Phăng")</f>
        <v>Xã Mường Phăng</v>
      </c>
    </row>
    <row r="1344" spans="1:7" x14ac:dyDescent="0.25">
      <c r="A1344" s="2">
        <v>1343</v>
      </c>
      <c r="B1344" s="3" t="s">
        <v>9</v>
      </c>
      <c r="C1344" s="4" t="str">
        <f t="shared" si="109"/>
        <v>Điện Biên</v>
      </c>
      <c r="D1344" s="3" t="s">
        <v>141</v>
      </c>
      <c r="E1344" s="4" t="str">
        <f t="shared" si="110"/>
        <v>Thành phố Điện Biên Phủ</v>
      </c>
      <c r="F1344" s="3" t="s">
        <v>2108</v>
      </c>
      <c r="G1344" s="4" t="str">
        <f>HYPERLINK("https://diaocthongthai.com/xa-pa-khoang-tp-dien-bien-phu/","Xã Pá Khoang")</f>
        <v>Xã Pá Khoang</v>
      </c>
    </row>
    <row r="1345" spans="1:7" x14ac:dyDescent="0.25">
      <c r="A1345" s="2">
        <v>1344</v>
      </c>
      <c r="B1345" s="3" t="s">
        <v>9</v>
      </c>
      <c r="C1345" s="4" t="str">
        <f t="shared" si="109"/>
        <v>Điện Biên</v>
      </c>
      <c r="D1345" s="3" t="s">
        <v>142</v>
      </c>
      <c r="E1345" s="4" t="str">
        <f>HYPERLINK("https://diaocthongthai.com/ban-do-thi-xa-muong-lay-dien-bien/","Thị Xã Mường Lay")</f>
        <v>Thị Xã Mường Lay</v>
      </c>
      <c r="F1345" s="3" t="s">
        <v>2109</v>
      </c>
      <c r="G1345" s="4" t="str">
        <f>HYPERLINK("https://diaocthongthai.com/phuong-song-da-muong-lay/","Phường Sông Đà")</f>
        <v>Phường Sông Đà</v>
      </c>
    </row>
    <row r="1346" spans="1:7" x14ac:dyDescent="0.25">
      <c r="A1346" s="2">
        <v>1345</v>
      </c>
      <c r="B1346" s="3" t="s">
        <v>9</v>
      </c>
      <c r="C1346" s="4" t="str">
        <f t="shared" si="109"/>
        <v>Điện Biên</v>
      </c>
      <c r="D1346" s="3" t="s">
        <v>142</v>
      </c>
      <c r="E1346" s="4" t="str">
        <f>HYPERLINK("https://diaocthongthai.com/ban-do-thi-xa-muong-lay-dien-bien/","Thị Xã Mường Lay")</f>
        <v>Thị Xã Mường Lay</v>
      </c>
      <c r="F1346" s="3" t="s">
        <v>2110</v>
      </c>
      <c r="G1346" s="4" t="str">
        <f>HYPERLINK("https://diaocthongthai.com/phuong-na-lay-muong-lay/","Phường Na Lay")</f>
        <v>Phường Na Lay</v>
      </c>
    </row>
    <row r="1347" spans="1:7" x14ac:dyDescent="0.25">
      <c r="A1347" s="2">
        <v>1346</v>
      </c>
      <c r="B1347" s="3" t="s">
        <v>9</v>
      </c>
      <c r="C1347" s="4" t="str">
        <f t="shared" si="109"/>
        <v>Điện Biên</v>
      </c>
      <c r="D1347" s="3" t="s">
        <v>142</v>
      </c>
      <c r="E1347" s="4" t="str">
        <f>HYPERLINK("https://diaocthongthai.com/ban-do-thi-xa-muong-lay-dien-bien/","Thị Xã Mường Lay")</f>
        <v>Thị Xã Mường Lay</v>
      </c>
      <c r="F1347" s="3" t="s">
        <v>2111</v>
      </c>
      <c r="G1347" s="4" t="str">
        <f>HYPERLINK("https://diaocthongthai.com/xa-lay-nua-muong-lay/","Xã Lay Nưa")</f>
        <v>Xã Lay Nưa</v>
      </c>
    </row>
    <row r="1348" spans="1:7" x14ac:dyDescent="0.25">
      <c r="A1348" s="2">
        <v>1347</v>
      </c>
      <c r="B1348" s="3" t="s">
        <v>9</v>
      </c>
      <c r="C1348" s="4" t="str">
        <f t="shared" si="109"/>
        <v>Điện Biên</v>
      </c>
      <c r="D1348" s="3" t="s">
        <v>143</v>
      </c>
      <c r="E1348" s="4" t="str">
        <f t="shared" ref="E1348:E1358" si="111">HYPERLINK("https://diaocthongthai.com/ban-do-huyen-muong-nhe-dien-bien/","Huyện Mường Nhé")</f>
        <v>Huyện Mường Nhé</v>
      </c>
      <c r="F1348" s="3" t="s">
        <v>2112</v>
      </c>
      <c r="G1348" s="4" t="str">
        <f>HYPERLINK("https://diaocthongthai.com/xa-sin-thau-muong-nhe/","Xã Sín Thầu")</f>
        <v>Xã Sín Thầu</v>
      </c>
    </row>
    <row r="1349" spans="1:7" x14ac:dyDescent="0.25">
      <c r="A1349" s="2">
        <v>1348</v>
      </c>
      <c r="B1349" s="3" t="s">
        <v>9</v>
      </c>
      <c r="C1349" s="4" t="str">
        <f t="shared" si="109"/>
        <v>Điện Biên</v>
      </c>
      <c r="D1349" s="3" t="s">
        <v>143</v>
      </c>
      <c r="E1349" s="4" t="str">
        <f t="shared" si="111"/>
        <v>Huyện Mường Nhé</v>
      </c>
      <c r="F1349" s="3" t="s">
        <v>2113</v>
      </c>
      <c r="G1349" s="4" t="str">
        <f>HYPERLINK("https://diaocthongthai.com/xa-sen-thuong-muong-nhe/","Xã Sen Thượng")</f>
        <v>Xã Sen Thượng</v>
      </c>
    </row>
    <row r="1350" spans="1:7" x14ac:dyDescent="0.25">
      <c r="A1350" s="2">
        <v>1349</v>
      </c>
      <c r="B1350" s="3" t="s">
        <v>9</v>
      </c>
      <c r="C1350" s="4" t="str">
        <f t="shared" si="109"/>
        <v>Điện Biên</v>
      </c>
      <c r="D1350" s="3" t="s">
        <v>143</v>
      </c>
      <c r="E1350" s="4" t="str">
        <f t="shared" si="111"/>
        <v>Huyện Mường Nhé</v>
      </c>
      <c r="F1350" s="3" t="s">
        <v>2114</v>
      </c>
      <c r="G1350" s="4" t="str">
        <f>HYPERLINK("https://diaocthongthai.com/xa-chung-chai-muong-nhe/","Xã Chung Chải")</f>
        <v>Xã Chung Chải</v>
      </c>
    </row>
    <row r="1351" spans="1:7" x14ac:dyDescent="0.25">
      <c r="A1351" s="2">
        <v>1350</v>
      </c>
      <c r="B1351" s="3" t="s">
        <v>9</v>
      </c>
      <c r="C1351" s="4" t="str">
        <f t="shared" si="109"/>
        <v>Điện Biên</v>
      </c>
      <c r="D1351" s="3" t="s">
        <v>143</v>
      </c>
      <c r="E1351" s="4" t="str">
        <f t="shared" si="111"/>
        <v>Huyện Mường Nhé</v>
      </c>
      <c r="F1351" s="3" t="s">
        <v>2115</v>
      </c>
      <c r="G1351" s="4" t="str">
        <f>HYPERLINK("https://diaocthongthai.com/xa-leng-su-sin-muong-nhe/","Xã Leng Su Sìn")</f>
        <v>Xã Leng Su Sìn</v>
      </c>
    </row>
    <row r="1352" spans="1:7" x14ac:dyDescent="0.25">
      <c r="A1352" s="2">
        <v>1351</v>
      </c>
      <c r="B1352" s="3" t="s">
        <v>9</v>
      </c>
      <c r="C1352" s="4" t="str">
        <f t="shared" si="109"/>
        <v>Điện Biên</v>
      </c>
      <c r="D1352" s="3" t="s">
        <v>143</v>
      </c>
      <c r="E1352" s="4" t="str">
        <f t="shared" si="111"/>
        <v>Huyện Mường Nhé</v>
      </c>
      <c r="F1352" s="3" t="s">
        <v>2116</v>
      </c>
      <c r="G1352" s="4" t="str">
        <f>HYPERLINK("https://diaocthongthai.com/xa-pa-my-muong-nhe/","Xã Pá Mỳ")</f>
        <v>Xã Pá Mỳ</v>
      </c>
    </row>
    <row r="1353" spans="1:7" x14ac:dyDescent="0.25">
      <c r="A1353" s="2">
        <v>1352</v>
      </c>
      <c r="B1353" s="3" t="s">
        <v>9</v>
      </c>
      <c r="C1353" s="4" t="str">
        <f t="shared" si="109"/>
        <v>Điện Biên</v>
      </c>
      <c r="D1353" s="3" t="s">
        <v>143</v>
      </c>
      <c r="E1353" s="4" t="str">
        <f t="shared" si="111"/>
        <v>Huyện Mường Nhé</v>
      </c>
      <c r="F1353" s="3" t="s">
        <v>2117</v>
      </c>
      <c r="G1353" s="4" t="str">
        <f>HYPERLINK("https://diaocthongthai.com/xa-muong-nhe-muong-nhe/","Xã Mường Nhé")</f>
        <v>Xã Mường Nhé</v>
      </c>
    </row>
    <row r="1354" spans="1:7" x14ac:dyDescent="0.25">
      <c r="A1354" s="2">
        <v>1353</v>
      </c>
      <c r="B1354" s="3" t="s">
        <v>9</v>
      </c>
      <c r="C1354" s="4" t="str">
        <f t="shared" si="109"/>
        <v>Điện Biên</v>
      </c>
      <c r="D1354" s="3" t="s">
        <v>143</v>
      </c>
      <c r="E1354" s="4" t="str">
        <f t="shared" si="111"/>
        <v>Huyện Mường Nhé</v>
      </c>
      <c r="F1354" s="3" t="s">
        <v>2118</v>
      </c>
      <c r="G1354" s="4" t="str">
        <f>HYPERLINK("https://diaocthongthai.com/xa-nam-vi-muong-nhe/","Xã Nậm Vì")</f>
        <v>Xã Nậm Vì</v>
      </c>
    </row>
    <row r="1355" spans="1:7" x14ac:dyDescent="0.25">
      <c r="A1355" s="2">
        <v>1354</v>
      </c>
      <c r="B1355" s="3" t="s">
        <v>9</v>
      </c>
      <c r="C1355" s="4" t="str">
        <f t="shared" si="109"/>
        <v>Điện Biên</v>
      </c>
      <c r="D1355" s="3" t="s">
        <v>143</v>
      </c>
      <c r="E1355" s="4" t="str">
        <f t="shared" si="111"/>
        <v>Huyện Mường Nhé</v>
      </c>
      <c r="F1355" s="3" t="s">
        <v>2119</v>
      </c>
      <c r="G1355" s="4" t="str">
        <f>HYPERLINK("https://diaocthongthai.com/xa-nam-ke-muong-nhe/","Xã Nậm Kè")</f>
        <v>Xã Nậm Kè</v>
      </c>
    </row>
    <row r="1356" spans="1:7" x14ac:dyDescent="0.25">
      <c r="A1356" s="2">
        <v>1355</v>
      </c>
      <c r="B1356" s="3" t="s">
        <v>9</v>
      </c>
      <c r="C1356" s="4" t="str">
        <f t="shared" si="109"/>
        <v>Điện Biên</v>
      </c>
      <c r="D1356" s="3" t="s">
        <v>143</v>
      </c>
      <c r="E1356" s="4" t="str">
        <f t="shared" si="111"/>
        <v>Huyện Mường Nhé</v>
      </c>
      <c r="F1356" s="3" t="s">
        <v>2120</v>
      </c>
      <c r="G1356" s="4" t="str">
        <f>HYPERLINK("https://diaocthongthai.com/xa-muong-toong-muong-nhe/","Xã Mường Toong")</f>
        <v>Xã Mường Toong</v>
      </c>
    </row>
    <row r="1357" spans="1:7" x14ac:dyDescent="0.25">
      <c r="A1357" s="2">
        <v>1356</v>
      </c>
      <c r="B1357" s="3" t="s">
        <v>9</v>
      </c>
      <c r="C1357" s="4" t="str">
        <f t="shared" si="109"/>
        <v>Điện Biên</v>
      </c>
      <c r="D1357" s="3" t="s">
        <v>143</v>
      </c>
      <c r="E1357" s="4" t="str">
        <f t="shared" si="111"/>
        <v>Huyện Mường Nhé</v>
      </c>
      <c r="F1357" s="3" t="s">
        <v>2121</v>
      </c>
      <c r="G1357" s="4" t="str">
        <f>HYPERLINK("https://diaocthongthai.com/xa-quang-lam-muong-nhe/","Xã Quảng Lâm")</f>
        <v>Xã Quảng Lâm</v>
      </c>
    </row>
    <row r="1358" spans="1:7" x14ac:dyDescent="0.25">
      <c r="A1358" s="2">
        <v>1357</v>
      </c>
      <c r="B1358" s="3" t="s">
        <v>9</v>
      </c>
      <c r="C1358" s="4" t="str">
        <f t="shared" si="109"/>
        <v>Điện Biên</v>
      </c>
      <c r="D1358" s="3" t="s">
        <v>143</v>
      </c>
      <c r="E1358" s="4" t="str">
        <f t="shared" si="111"/>
        <v>Huyện Mường Nhé</v>
      </c>
      <c r="F1358" s="3" t="s">
        <v>2122</v>
      </c>
      <c r="G1358" s="4" t="str">
        <f>HYPERLINK("https://diaocthongthai.com/xa-huoi-lech-muong-nhe/","Xã Huổi Lếnh")</f>
        <v>Xã Huổi Lếnh</v>
      </c>
    </row>
    <row r="1359" spans="1:7" x14ac:dyDescent="0.25">
      <c r="A1359" s="2">
        <v>1358</v>
      </c>
      <c r="B1359" s="3" t="s">
        <v>9</v>
      </c>
      <c r="C1359" s="4" t="str">
        <f t="shared" si="109"/>
        <v>Điện Biên</v>
      </c>
      <c r="D1359" s="3" t="s">
        <v>144</v>
      </c>
      <c r="E1359" s="4" t="str">
        <f t="shared" ref="E1359:E1370" si="112">HYPERLINK("https://diaocthongthai.com/ban-do-huyen-muong-cha-dien-bien/","Huyện Mường Chà")</f>
        <v>Huyện Mường Chà</v>
      </c>
      <c r="F1359" s="3" t="s">
        <v>2123</v>
      </c>
      <c r="G1359" s="4" t="str">
        <f>HYPERLINK("https://diaocthongthai.com/thi-tran-muong-cha-muong-cha/","Thị Trấn Mường Chà")</f>
        <v>Thị Trấn Mường Chà</v>
      </c>
    </row>
    <row r="1360" spans="1:7" x14ac:dyDescent="0.25">
      <c r="A1360" s="2">
        <v>1359</v>
      </c>
      <c r="B1360" s="3" t="s">
        <v>9</v>
      </c>
      <c r="C1360" s="4" t="str">
        <f t="shared" si="109"/>
        <v>Điện Biên</v>
      </c>
      <c r="D1360" s="3" t="s">
        <v>144</v>
      </c>
      <c r="E1360" s="4" t="str">
        <f t="shared" si="112"/>
        <v>Huyện Mường Chà</v>
      </c>
      <c r="F1360" s="3" t="s">
        <v>2124</v>
      </c>
      <c r="G1360" s="4" t="str">
        <f>HYPERLINK("https://diaocthongthai.com/xa-sa-tong-muong-cha/","Xã Xá Tổng")</f>
        <v>Xã Xá Tổng</v>
      </c>
    </row>
    <row r="1361" spans="1:7" x14ac:dyDescent="0.25">
      <c r="A1361" s="2">
        <v>1360</v>
      </c>
      <c r="B1361" s="3" t="s">
        <v>9</v>
      </c>
      <c r="C1361" s="4" t="str">
        <f t="shared" si="109"/>
        <v>Điện Biên</v>
      </c>
      <c r="D1361" s="3" t="s">
        <v>144</v>
      </c>
      <c r="E1361" s="4" t="str">
        <f t="shared" si="112"/>
        <v>Huyện Mường Chà</v>
      </c>
      <c r="F1361" s="3" t="s">
        <v>2125</v>
      </c>
      <c r="G1361" s="4" t="str">
        <f>HYPERLINK("https://diaocthongthai.com/xa-muong-tung-muong-cha/","Xã Mường Tùng")</f>
        <v>Xã Mường Tùng</v>
      </c>
    </row>
    <row r="1362" spans="1:7" x14ac:dyDescent="0.25">
      <c r="A1362" s="2">
        <v>1361</v>
      </c>
      <c r="B1362" s="3" t="s">
        <v>9</v>
      </c>
      <c r="C1362" s="4" t="str">
        <f t="shared" si="109"/>
        <v>Điện Biên</v>
      </c>
      <c r="D1362" s="3" t="s">
        <v>144</v>
      </c>
      <c r="E1362" s="4" t="str">
        <f t="shared" si="112"/>
        <v>Huyện Mường Chà</v>
      </c>
      <c r="F1362" s="3" t="s">
        <v>2126</v>
      </c>
      <c r="G1362" s="4" t="str">
        <f>HYPERLINK("https://diaocthongthai.com/xa-hua-ngai-muong-cha/","Xã Hừa Ngài")</f>
        <v>Xã Hừa Ngài</v>
      </c>
    </row>
    <row r="1363" spans="1:7" x14ac:dyDescent="0.25">
      <c r="A1363" s="2">
        <v>1362</v>
      </c>
      <c r="B1363" s="3" t="s">
        <v>9</v>
      </c>
      <c r="C1363" s="4" t="str">
        <f t="shared" si="109"/>
        <v>Điện Biên</v>
      </c>
      <c r="D1363" s="3" t="s">
        <v>144</v>
      </c>
      <c r="E1363" s="4" t="str">
        <f t="shared" si="112"/>
        <v>Huyện Mường Chà</v>
      </c>
      <c r="F1363" s="3" t="s">
        <v>2127</v>
      </c>
      <c r="G1363" s="4" t="str">
        <f>HYPERLINK("https://diaocthongthai.com/xa-huoi-mi-muong-cha/","Xã Huổi Mí")</f>
        <v>Xã Huổi Mí</v>
      </c>
    </row>
    <row r="1364" spans="1:7" x14ac:dyDescent="0.25">
      <c r="A1364" s="2">
        <v>1363</v>
      </c>
      <c r="B1364" s="3" t="s">
        <v>9</v>
      </c>
      <c r="C1364" s="4" t="str">
        <f t="shared" si="109"/>
        <v>Điện Biên</v>
      </c>
      <c r="D1364" s="3" t="s">
        <v>144</v>
      </c>
      <c r="E1364" s="4" t="str">
        <f t="shared" si="112"/>
        <v>Huyện Mường Chà</v>
      </c>
      <c r="F1364" s="3" t="s">
        <v>2128</v>
      </c>
      <c r="G1364" s="4" t="str">
        <f>HYPERLINK("https://diaocthongthai.com/xa-pa-ham-muong-cha/","Xã Pa Ham")</f>
        <v>Xã Pa Ham</v>
      </c>
    </row>
    <row r="1365" spans="1:7" x14ac:dyDescent="0.25">
      <c r="A1365" s="2">
        <v>1364</v>
      </c>
      <c r="B1365" s="3" t="s">
        <v>9</v>
      </c>
      <c r="C1365" s="4" t="str">
        <f t="shared" ref="C1365:C1396" si="113">HYPERLINK("https://diaocthongthai.com/ban-do-dien-bien/","Điện Biên")</f>
        <v>Điện Biên</v>
      </c>
      <c r="D1365" s="3" t="s">
        <v>144</v>
      </c>
      <c r="E1365" s="4" t="str">
        <f t="shared" si="112"/>
        <v>Huyện Mường Chà</v>
      </c>
      <c r="F1365" s="3" t="s">
        <v>2129</v>
      </c>
      <c r="G1365" s="4" t="str">
        <f>HYPERLINK("https://diaocthongthai.com/xa-nam-nen-muong-cha/","Xã Nậm Nèn")</f>
        <v>Xã Nậm Nèn</v>
      </c>
    </row>
    <row r="1366" spans="1:7" x14ac:dyDescent="0.25">
      <c r="A1366" s="2">
        <v>1365</v>
      </c>
      <c r="B1366" s="3" t="s">
        <v>9</v>
      </c>
      <c r="C1366" s="4" t="str">
        <f t="shared" si="113"/>
        <v>Điện Biên</v>
      </c>
      <c r="D1366" s="3" t="s">
        <v>144</v>
      </c>
      <c r="E1366" s="4" t="str">
        <f t="shared" si="112"/>
        <v>Huyện Mường Chà</v>
      </c>
      <c r="F1366" s="3" t="s">
        <v>2130</v>
      </c>
      <c r="G1366" s="4" t="str">
        <f>HYPERLINK("https://diaocthongthai.com/xa-huoi-leng-muong-cha/","Xã Huổi Lèng")</f>
        <v>Xã Huổi Lèng</v>
      </c>
    </row>
    <row r="1367" spans="1:7" x14ac:dyDescent="0.25">
      <c r="A1367" s="2">
        <v>1366</v>
      </c>
      <c r="B1367" s="3" t="s">
        <v>9</v>
      </c>
      <c r="C1367" s="4" t="str">
        <f t="shared" si="113"/>
        <v>Điện Biên</v>
      </c>
      <c r="D1367" s="3" t="s">
        <v>144</v>
      </c>
      <c r="E1367" s="4" t="str">
        <f t="shared" si="112"/>
        <v>Huyện Mường Chà</v>
      </c>
      <c r="F1367" s="3" t="s">
        <v>2131</v>
      </c>
      <c r="G1367" s="4" t="str">
        <f>HYPERLINK("https://diaocthongthai.com/xa-sa-long-muong-cha/","Xã Sa Lông")</f>
        <v>Xã Sa Lông</v>
      </c>
    </row>
    <row r="1368" spans="1:7" x14ac:dyDescent="0.25">
      <c r="A1368" s="2">
        <v>1367</v>
      </c>
      <c r="B1368" s="3" t="s">
        <v>9</v>
      </c>
      <c r="C1368" s="4" t="str">
        <f t="shared" si="113"/>
        <v>Điện Biên</v>
      </c>
      <c r="D1368" s="3" t="s">
        <v>144</v>
      </c>
      <c r="E1368" s="4" t="str">
        <f t="shared" si="112"/>
        <v>Huyện Mường Chà</v>
      </c>
      <c r="F1368" s="3" t="s">
        <v>2132</v>
      </c>
      <c r="G1368" s="4" t="str">
        <f>HYPERLINK("https://diaocthongthai.com/xa-ma-thi-ho-muong-cha/","Xã Ma Thì Hồ")</f>
        <v>Xã Ma Thì Hồ</v>
      </c>
    </row>
    <row r="1369" spans="1:7" x14ac:dyDescent="0.25">
      <c r="A1369" s="2">
        <v>1368</v>
      </c>
      <c r="B1369" s="3" t="s">
        <v>9</v>
      </c>
      <c r="C1369" s="4" t="str">
        <f t="shared" si="113"/>
        <v>Điện Biên</v>
      </c>
      <c r="D1369" s="3" t="s">
        <v>144</v>
      </c>
      <c r="E1369" s="4" t="str">
        <f t="shared" si="112"/>
        <v>Huyện Mường Chà</v>
      </c>
      <c r="F1369" s="3" t="s">
        <v>2133</v>
      </c>
      <c r="G1369" s="4" t="str">
        <f>HYPERLINK("https://diaocthongthai.com/xa-na-sang-muong-cha/","Xã Na Sang")</f>
        <v>Xã Na Sang</v>
      </c>
    </row>
    <row r="1370" spans="1:7" x14ac:dyDescent="0.25">
      <c r="A1370" s="2">
        <v>1369</v>
      </c>
      <c r="B1370" s="3" t="s">
        <v>9</v>
      </c>
      <c r="C1370" s="4" t="str">
        <f t="shared" si="113"/>
        <v>Điện Biên</v>
      </c>
      <c r="D1370" s="3" t="s">
        <v>144</v>
      </c>
      <c r="E1370" s="4" t="str">
        <f t="shared" si="112"/>
        <v>Huyện Mường Chà</v>
      </c>
      <c r="F1370" s="3" t="s">
        <v>2134</v>
      </c>
      <c r="G1370" s="4" t="str">
        <f>HYPERLINK("https://diaocthongthai.com/xa-muong-muon-muong-cha/","Xã Mường Mươn")</f>
        <v>Xã Mường Mươn</v>
      </c>
    </row>
    <row r="1371" spans="1:7" x14ac:dyDescent="0.25">
      <c r="A1371" s="2">
        <v>1370</v>
      </c>
      <c r="B1371" s="3" t="s">
        <v>9</v>
      </c>
      <c r="C1371" s="4" t="str">
        <f t="shared" si="113"/>
        <v>Điện Biên</v>
      </c>
      <c r="D1371" s="3" t="s">
        <v>145</v>
      </c>
      <c r="E1371" s="4" t="str">
        <f t="shared" ref="E1371:E1382" si="114">HYPERLINK("https://diaocthongthai.com/ban-do-huyen-tua-chua-dien-bien/","Huyện Tủa Chùa")</f>
        <v>Huyện Tủa Chùa</v>
      </c>
      <c r="F1371" s="3" t="s">
        <v>2135</v>
      </c>
      <c r="G1371" s="4" t="str">
        <f>HYPERLINK("https://diaocthongthai.com/thi-tran-tua-chua-tua-chua/","Thị trấn Tủa Chùa")</f>
        <v>Thị trấn Tủa Chùa</v>
      </c>
    </row>
    <row r="1372" spans="1:7" x14ac:dyDescent="0.25">
      <c r="A1372" s="2">
        <v>1371</v>
      </c>
      <c r="B1372" s="3" t="s">
        <v>9</v>
      </c>
      <c r="C1372" s="4" t="str">
        <f t="shared" si="113"/>
        <v>Điện Biên</v>
      </c>
      <c r="D1372" s="3" t="s">
        <v>145</v>
      </c>
      <c r="E1372" s="4" t="str">
        <f t="shared" si="114"/>
        <v>Huyện Tủa Chùa</v>
      </c>
      <c r="F1372" s="3" t="s">
        <v>2136</v>
      </c>
      <c r="G1372" s="4" t="str">
        <f>HYPERLINK("https://diaocthongthai.com/xa-huoi-so-tua-chua/","Xã Huổi Só")</f>
        <v>Xã Huổi Só</v>
      </c>
    </row>
    <row r="1373" spans="1:7" x14ac:dyDescent="0.25">
      <c r="A1373" s="2">
        <v>1372</v>
      </c>
      <c r="B1373" s="3" t="s">
        <v>9</v>
      </c>
      <c r="C1373" s="4" t="str">
        <f t="shared" si="113"/>
        <v>Điện Biên</v>
      </c>
      <c r="D1373" s="3" t="s">
        <v>145</v>
      </c>
      <c r="E1373" s="4" t="str">
        <f t="shared" si="114"/>
        <v>Huyện Tủa Chùa</v>
      </c>
      <c r="F1373" s="3" t="s">
        <v>2137</v>
      </c>
      <c r="G1373" s="4" t="str">
        <f>HYPERLINK("https://diaocthongthai.com/xa-sin-chai-tua-chua/","Xã Xín Chải")</f>
        <v>Xã Xín Chải</v>
      </c>
    </row>
    <row r="1374" spans="1:7" x14ac:dyDescent="0.25">
      <c r="A1374" s="2">
        <v>1373</v>
      </c>
      <c r="B1374" s="3" t="s">
        <v>9</v>
      </c>
      <c r="C1374" s="4" t="str">
        <f t="shared" si="113"/>
        <v>Điện Biên</v>
      </c>
      <c r="D1374" s="3" t="s">
        <v>145</v>
      </c>
      <c r="E1374" s="4" t="str">
        <f t="shared" si="114"/>
        <v>Huyện Tủa Chùa</v>
      </c>
      <c r="F1374" s="3" t="s">
        <v>2138</v>
      </c>
      <c r="G1374" s="4" t="str">
        <f>HYPERLINK("https://diaocthongthai.com/xa-ta-sin-thang-tua-chua/","Xã Tả Sìn Thàng")</f>
        <v>Xã Tả Sìn Thàng</v>
      </c>
    </row>
    <row r="1375" spans="1:7" x14ac:dyDescent="0.25">
      <c r="A1375" s="2">
        <v>1374</v>
      </c>
      <c r="B1375" s="3" t="s">
        <v>9</v>
      </c>
      <c r="C1375" s="4" t="str">
        <f t="shared" si="113"/>
        <v>Điện Biên</v>
      </c>
      <c r="D1375" s="3" t="s">
        <v>145</v>
      </c>
      <c r="E1375" s="4" t="str">
        <f t="shared" si="114"/>
        <v>Huyện Tủa Chùa</v>
      </c>
      <c r="F1375" s="3" t="s">
        <v>2139</v>
      </c>
      <c r="G1375" s="4" t="str">
        <f>HYPERLINK("https://diaocthongthai.com/xa-lao-xa-phinh-tua-chua/","Xã Lao Xả Phình")</f>
        <v>Xã Lao Xả Phình</v>
      </c>
    </row>
    <row r="1376" spans="1:7" x14ac:dyDescent="0.25">
      <c r="A1376" s="2">
        <v>1375</v>
      </c>
      <c r="B1376" s="3" t="s">
        <v>9</v>
      </c>
      <c r="C1376" s="4" t="str">
        <f t="shared" si="113"/>
        <v>Điện Biên</v>
      </c>
      <c r="D1376" s="3" t="s">
        <v>145</v>
      </c>
      <c r="E1376" s="4" t="str">
        <f t="shared" si="114"/>
        <v>Huyện Tủa Chùa</v>
      </c>
      <c r="F1376" s="3" t="s">
        <v>2140</v>
      </c>
      <c r="G1376" s="4" t="str">
        <f>HYPERLINK("https://diaocthongthai.com/xa-ta-phin-tua-chua/","Xã Tả Phìn")</f>
        <v>Xã Tả Phìn</v>
      </c>
    </row>
    <row r="1377" spans="1:7" x14ac:dyDescent="0.25">
      <c r="A1377" s="2">
        <v>1376</v>
      </c>
      <c r="B1377" s="3" t="s">
        <v>9</v>
      </c>
      <c r="C1377" s="4" t="str">
        <f t="shared" si="113"/>
        <v>Điện Biên</v>
      </c>
      <c r="D1377" s="3" t="s">
        <v>145</v>
      </c>
      <c r="E1377" s="4" t="str">
        <f t="shared" si="114"/>
        <v>Huyện Tủa Chùa</v>
      </c>
      <c r="F1377" s="3" t="s">
        <v>2141</v>
      </c>
      <c r="G1377" s="4" t="str">
        <f>HYPERLINK("https://diaocthongthai.com/xa-tua-thang-tua-chua/","Xã Tủa Thàng")</f>
        <v>Xã Tủa Thàng</v>
      </c>
    </row>
    <row r="1378" spans="1:7" x14ac:dyDescent="0.25">
      <c r="A1378" s="2">
        <v>1377</v>
      </c>
      <c r="B1378" s="3" t="s">
        <v>9</v>
      </c>
      <c r="C1378" s="4" t="str">
        <f t="shared" si="113"/>
        <v>Điện Biên</v>
      </c>
      <c r="D1378" s="3" t="s">
        <v>145</v>
      </c>
      <c r="E1378" s="4" t="str">
        <f t="shared" si="114"/>
        <v>Huyện Tủa Chùa</v>
      </c>
      <c r="F1378" s="3" t="s">
        <v>2142</v>
      </c>
      <c r="G1378" s="4" t="str">
        <f>HYPERLINK("https://diaocthongthai.com/xa-trung-thu-tua-chua/","Xã Trung Thu")</f>
        <v>Xã Trung Thu</v>
      </c>
    </row>
    <row r="1379" spans="1:7" x14ac:dyDescent="0.25">
      <c r="A1379" s="2">
        <v>1378</v>
      </c>
      <c r="B1379" s="3" t="s">
        <v>9</v>
      </c>
      <c r="C1379" s="4" t="str">
        <f t="shared" si="113"/>
        <v>Điện Biên</v>
      </c>
      <c r="D1379" s="3" t="s">
        <v>145</v>
      </c>
      <c r="E1379" s="4" t="str">
        <f t="shared" si="114"/>
        <v>Huyện Tủa Chùa</v>
      </c>
      <c r="F1379" s="3" t="s">
        <v>2143</v>
      </c>
      <c r="G1379" s="4" t="str">
        <f>HYPERLINK("https://diaocthongthai.com/xa-sinh-phinh-tua-chua/","Xã Sính Phình")</f>
        <v>Xã Sính Phình</v>
      </c>
    </row>
    <row r="1380" spans="1:7" x14ac:dyDescent="0.25">
      <c r="A1380" s="2">
        <v>1379</v>
      </c>
      <c r="B1380" s="3" t="s">
        <v>9</v>
      </c>
      <c r="C1380" s="4" t="str">
        <f t="shared" si="113"/>
        <v>Điện Biên</v>
      </c>
      <c r="D1380" s="3" t="s">
        <v>145</v>
      </c>
      <c r="E1380" s="4" t="str">
        <f t="shared" si="114"/>
        <v>Huyện Tủa Chùa</v>
      </c>
      <c r="F1380" s="3" t="s">
        <v>2144</v>
      </c>
      <c r="G1380" s="4" t="str">
        <f>HYPERLINK("https://diaocthongthai.com/xa-xa-nhe-tua-chua/","Xã Sáng Nhè")</f>
        <v>Xã Sáng Nhè</v>
      </c>
    </row>
    <row r="1381" spans="1:7" x14ac:dyDescent="0.25">
      <c r="A1381" s="2">
        <v>1380</v>
      </c>
      <c r="B1381" s="3" t="s">
        <v>9</v>
      </c>
      <c r="C1381" s="4" t="str">
        <f t="shared" si="113"/>
        <v>Điện Biên</v>
      </c>
      <c r="D1381" s="3" t="s">
        <v>145</v>
      </c>
      <c r="E1381" s="4" t="str">
        <f t="shared" si="114"/>
        <v>Huyện Tủa Chùa</v>
      </c>
      <c r="F1381" s="3" t="s">
        <v>2145</v>
      </c>
      <c r="G1381" s="4" t="str">
        <f>HYPERLINK("https://diaocthongthai.com/xa-muong-dun-tua-chua/","Xã Mường Đun")</f>
        <v>Xã Mường Đun</v>
      </c>
    </row>
    <row r="1382" spans="1:7" x14ac:dyDescent="0.25">
      <c r="A1382" s="2">
        <v>1381</v>
      </c>
      <c r="B1382" s="3" t="s">
        <v>9</v>
      </c>
      <c r="C1382" s="4" t="str">
        <f t="shared" si="113"/>
        <v>Điện Biên</v>
      </c>
      <c r="D1382" s="3" t="s">
        <v>145</v>
      </c>
      <c r="E1382" s="4" t="str">
        <f t="shared" si="114"/>
        <v>Huyện Tủa Chùa</v>
      </c>
      <c r="F1382" s="3" t="s">
        <v>2146</v>
      </c>
      <c r="G1382" s="4" t="str">
        <f>HYPERLINK("https://diaocthongthai.com/xa-muong-bang-tua-chua/","Xã Mường Báng")</f>
        <v>Xã Mường Báng</v>
      </c>
    </row>
    <row r="1383" spans="1:7" x14ac:dyDescent="0.25">
      <c r="A1383" s="2">
        <v>1382</v>
      </c>
      <c r="B1383" s="3" t="s">
        <v>9</v>
      </c>
      <c r="C1383" s="4" t="str">
        <f t="shared" si="113"/>
        <v>Điện Biên</v>
      </c>
      <c r="D1383" s="3" t="s">
        <v>146</v>
      </c>
      <c r="E1383" s="4" t="str">
        <f t="shared" ref="E1383:E1401" si="115">HYPERLINK("https://diaocthongthai.com/ban-do-huyen-tuan-giao-dien-bien/","Huyện Tuần Giáo")</f>
        <v>Huyện Tuần Giáo</v>
      </c>
      <c r="F1383" s="3" t="s">
        <v>2147</v>
      </c>
      <c r="G1383" s="4" t="str">
        <f>HYPERLINK("https://diaocthongthai.com/thi-tran-tuan-giao-tuan-giao/","Thị trấn Tuần Giáo")</f>
        <v>Thị trấn Tuần Giáo</v>
      </c>
    </row>
    <row r="1384" spans="1:7" x14ac:dyDescent="0.25">
      <c r="A1384" s="2">
        <v>1383</v>
      </c>
      <c r="B1384" s="3" t="s">
        <v>9</v>
      </c>
      <c r="C1384" s="4" t="str">
        <f t="shared" si="113"/>
        <v>Điện Biên</v>
      </c>
      <c r="D1384" s="3" t="s">
        <v>146</v>
      </c>
      <c r="E1384" s="4" t="str">
        <f t="shared" si="115"/>
        <v>Huyện Tuần Giáo</v>
      </c>
      <c r="F1384" s="3" t="s">
        <v>2148</v>
      </c>
      <c r="G1384" s="4" t="str">
        <f>HYPERLINK("https://diaocthongthai.com/xa-phinh-sang-tuan-giao/","Xã Phình Sáng")</f>
        <v>Xã Phình Sáng</v>
      </c>
    </row>
    <row r="1385" spans="1:7" x14ac:dyDescent="0.25">
      <c r="A1385" s="2">
        <v>1384</v>
      </c>
      <c r="B1385" s="3" t="s">
        <v>9</v>
      </c>
      <c r="C1385" s="4" t="str">
        <f t="shared" si="113"/>
        <v>Điện Biên</v>
      </c>
      <c r="D1385" s="3" t="s">
        <v>146</v>
      </c>
      <c r="E1385" s="4" t="str">
        <f t="shared" si="115"/>
        <v>Huyện Tuần Giáo</v>
      </c>
      <c r="F1385" s="3" t="s">
        <v>2149</v>
      </c>
      <c r="G1385" s="4" t="str">
        <f>HYPERLINK("https://diaocthongthai.com/xa-rang-dong-tuan-giao/","Xã Rạng Đông")</f>
        <v>Xã Rạng Đông</v>
      </c>
    </row>
    <row r="1386" spans="1:7" x14ac:dyDescent="0.25">
      <c r="A1386" s="2">
        <v>1385</v>
      </c>
      <c r="B1386" s="3" t="s">
        <v>9</v>
      </c>
      <c r="C1386" s="4" t="str">
        <f t="shared" si="113"/>
        <v>Điện Biên</v>
      </c>
      <c r="D1386" s="3" t="s">
        <v>146</v>
      </c>
      <c r="E1386" s="4" t="str">
        <f t="shared" si="115"/>
        <v>Huyện Tuần Giáo</v>
      </c>
      <c r="F1386" s="3" t="s">
        <v>2150</v>
      </c>
      <c r="G1386" s="4" t="str">
        <f>HYPERLINK("https://diaocthongthai.com/xa-mun-chung-tuan-giao/","Xã Mùn Chung")</f>
        <v>Xã Mùn Chung</v>
      </c>
    </row>
    <row r="1387" spans="1:7" x14ac:dyDescent="0.25">
      <c r="A1387" s="2">
        <v>1386</v>
      </c>
      <c r="B1387" s="3" t="s">
        <v>9</v>
      </c>
      <c r="C1387" s="4" t="str">
        <f t="shared" si="113"/>
        <v>Điện Biên</v>
      </c>
      <c r="D1387" s="3" t="s">
        <v>146</v>
      </c>
      <c r="E1387" s="4" t="str">
        <f t="shared" si="115"/>
        <v>Huyện Tuần Giáo</v>
      </c>
      <c r="F1387" s="3" t="s">
        <v>2151</v>
      </c>
      <c r="G1387" s="4" t="str">
        <f>HYPERLINK("https://diaocthongthai.com/xa-na-tong-tuan-giao/","Xã Nà Tòng")</f>
        <v>Xã Nà Tòng</v>
      </c>
    </row>
    <row r="1388" spans="1:7" x14ac:dyDescent="0.25">
      <c r="A1388" s="2">
        <v>1387</v>
      </c>
      <c r="B1388" s="3" t="s">
        <v>9</v>
      </c>
      <c r="C1388" s="4" t="str">
        <f t="shared" si="113"/>
        <v>Điện Biên</v>
      </c>
      <c r="D1388" s="3" t="s">
        <v>146</v>
      </c>
      <c r="E1388" s="4" t="str">
        <f t="shared" si="115"/>
        <v>Huyện Tuần Giáo</v>
      </c>
      <c r="F1388" s="3" t="s">
        <v>2152</v>
      </c>
      <c r="G1388" s="4" t="str">
        <f>HYPERLINK("https://diaocthongthai.com/xa-ta-ma-tuan-giao/","Xã Ta Ma")</f>
        <v>Xã Ta Ma</v>
      </c>
    </row>
    <row r="1389" spans="1:7" x14ac:dyDescent="0.25">
      <c r="A1389" s="2">
        <v>1388</v>
      </c>
      <c r="B1389" s="3" t="s">
        <v>9</v>
      </c>
      <c r="C1389" s="4" t="str">
        <f t="shared" si="113"/>
        <v>Điện Biên</v>
      </c>
      <c r="D1389" s="3" t="s">
        <v>146</v>
      </c>
      <c r="E1389" s="4" t="str">
        <f t="shared" si="115"/>
        <v>Huyện Tuần Giáo</v>
      </c>
      <c r="F1389" s="3" t="s">
        <v>2153</v>
      </c>
      <c r="G1389" s="4" t="str">
        <f>HYPERLINK("https://diaocthongthai.com/xa-muong-mun-tuan-giao/","Xã Mường Mùn")</f>
        <v>Xã Mường Mùn</v>
      </c>
    </row>
    <row r="1390" spans="1:7" x14ac:dyDescent="0.25">
      <c r="A1390" s="2">
        <v>1389</v>
      </c>
      <c r="B1390" s="3" t="s">
        <v>9</v>
      </c>
      <c r="C1390" s="4" t="str">
        <f t="shared" si="113"/>
        <v>Điện Biên</v>
      </c>
      <c r="D1390" s="3" t="s">
        <v>146</v>
      </c>
      <c r="E1390" s="4" t="str">
        <f t="shared" si="115"/>
        <v>Huyện Tuần Giáo</v>
      </c>
      <c r="F1390" s="3" t="s">
        <v>2154</v>
      </c>
      <c r="G1390" s="4" t="str">
        <f>HYPERLINK("https://diaocthongthai.com/xa-pu-xi-tuan-giao/","Xã Pú Xi")</f>
        <v>Xã Pú Xi</v>
      </c>
    </row>
    <row r="1391" spans="1:7" x14ac:dyDescent="0.25">
      <c r="A1391" s="2">
        <v>1390</v>
      </c>
      <c r="B1391" s="3" t="s">
        <v>9</v>
      </c>
      <c r="C1391" s="4" t="str">
        <f t="shared" si="113"/>
        <v>Điện Biên</v>
      </c>
      <c r="D1391" s="3" t="s">
        <v>146</v>
      </c>
      <c r="E1391" s="4" t="str">
        <f t="shared" si="115"/>
        <v>Huyện Tuần Giáo</v>
      </c>
      <c r="F1391" s="3" t="s">
        <v>2155</v>
      </c>
      <c r="G1391" s="4" t="str">
        <f>HYPERLINK("https://diaocthongthai.com/xa-pu-nhung-tuan-giao/","Xã Pú Nhung")</f>
        <v>Xã Pú Nhung</v>
      </c>
    </row>
    <row r="1392" spans="1:7" x14ac:dyDescent="0.25">
      <c r="A1392" s="2">
        <v>1391</v>
      </c>
      <c r="B1392" s="3" t="s">
        <v>9</v>
      </c>
      <c r="C1392" s="4" t="str">
        <f t="shared" si="113"/>
        <v>Điện Biên</v>
      </c>
      <c r="D1392" s="3" t="s">
        <v>146</v>
      </c>
      <c r="E1392" s="4" t="str">
        <f t="shared" si="115"/>
        <v>Huyện Tuần Giáo</v>
      </c>
      <c r="F1392" s="3" t="s">
        <v>2156</v>
      </c>
      <c r="G1392" s="4" t="str">
        <f>HYPERLINK("https://diaocthongthai.com/xa-quai-nua-tuan-giao/","Xã Quài Nưa")</f>
        <v>Xã Quài Nưa</v>
      </c>
    </row>
    <row r="1393" spans="1:7" x14ac:dyDescent="0.25">
      <c r="A1393" s="2">
        <v>1392</v>
      </c>
      <c r="B1393" s="3" t="s">
        <v>9</v>
      </c>
      <c r="C1393" s="4" t="str">
        <f t="shared" si="113"/>
        <v>Điện Biên</v>
      </c>
      <c r="D1393" s="3" t="s">
        <v>146</v>
      </c>
      <c r="E1393" s="4" t="str">
        <f t="shared" si="115"/>
        <v>Huyện Tuần Giáo</v>
      </c>
      <c r="F1393" s="3" t="s">
        <v>2157</v>
      </c>
      <c r="G1393" s="4" t="str">
        <f>HYPERLINK("https://diaocthongthai.com/xa-muong-thin-tuan-giao/","Xã Mường Thín")</f>
        <v>Xã Mường Thín</v>
      </c>
    </row>
    <row r="1394" spans="1:7" x14ac:dyDescent="0.25">
      <c r="A1394" s="2">
        <v>1393</v>
      </c>
      <c r="B1394" s="3" t="s">
        <v>9</v>
      </c>
      <c r="C1394" s="4" t="str">
        <f t="shared" si="113"/>
        <v>Điện Biên</v>
      </c>
      <c r="D1394" s="3" t="s">
        <v>146</v>
      </c>
      <c r="E1394" s="4" t="str">
        <f t="shared" si="115"/>
        <v>Huyện Tuần Giáo</v>
      </c>
      <c r="F1394" s="3" t="s">
        <v>2158</v>
      </c>
      <c r="G1394" s="4" t="str">
        <f>HYPERLINK("https://diaocthongthai.com/xa-toa-tinh-tuan-giao/","Xã Tỏa Tình")</f>
        <v>Xã Tỏa Tình</v>
      </c>
    </row>
    <row r="1395" spans="1:7" x14ac:dyDescent="0.25">
      <c r="A1395" s="2">
        <v>1394</v>
      </c>
      <c r="B1395" s="3" t="s">
        <v>9</v>
      </c>
      <c r="C1395" s="4" t="str">
        <f t="shared" si="113"/>
        <v>Điện Biên</v>
      </c>
      <c r="D1395" s="3" t="s">
        <v>146</v>
      </c>
      <c r="E1395" s="4" t="str">
        <f t="shared" si="115"/>
        <v>Huyện Tuần Giáo</v>
      </c>
      <c r="F1395" s="3" t="s">
        <v>2159</v>
      </c>
      <c r="G1395" s="4" t="str">
        <f>HYPERLINK("https://diaocthongthai.com/xa-na-say-tuan-giao/","Xã Nà Sáy")</f>
        <v>Xã Nà Sáy</v>
      </c>
    </row>
    <row r="1396" spans="1:7" x14ac:dyDescent="0.25">
      <c r="A1396" s="2">
        <v>1395</v>
      </c>
      <c r="B1396" s="3" t="s">
        <v>9</v>
      </c>
      <c r="C1396" s="4" t="str">
        <f t="shared" si="113"/>
        <v>Điện Biên</v>
      </c>
      <c r="D1396" s="3" t="s">
        <v>146</v>
      </c>
      <c r="E1396" s="4" t="str">
        <f t="shared" si="115"/>
        <v>Huyện Tuần Giáo</v>
      </c>
      <c r="F1396" s="3" t="s">
        <v>2160</v>
      </c>
      <c r="G1396" s="4" t="str">
        <f>HYPERLINK("https://diaocthongthai.com/xa-muong-khong-tuan-giao/","Xã Mường Khong")</f>
        <v>Xã Mường Khong</v>
      </c>
    </row>
    <row r="1397" spans="1:7" x14ac:dyDescent="0.25">
      <c r="A1397" s="2">
        <v>1396</v>
      </c>
      <c r="B1397" s="3" t="s">
        <v>9</v>
      </c>
      <c r="C1397" s="4" t="str">
        <f t="shared" ref="C1397:C1428" si="116">HYPERLINK("https://diaocthongthai.com/ban-do-dien-bien/","Điện Biên")</f>
        <v>Điện Biên</v>
      </c>
      <c r="D1397" s="3" t="s">
        <v>146</v>
      </c>
      <c r="E1397" s="4" t="str">
        <f t="shared" si="115"/>
        <v>Huyện Tuần Giáo</v>
      </c>
      <c r="F1397" s="3" t="s">
        <v>2161</v>
      </c>
      <c r="G1397" s="4" t="str">
        <f>HYPERLINK("https://diaocthongthai.com/xa-quai-cang-tuan-giao/","Xã Quài Cang")</f>
        <v>Xã Quài Cang</v>
      </c>
    </row>
    <row r="1398" spans="1:7" x14ac:dyDescent="0.25">
      <c r="A1398" s="2">
        <v>1397</v>
      </c>
      <c r="B1398" s="3" t="s">
        <v>9</v>
      </c>
      <c r="C1398" s="4" t="str">
        <f t="shared" si="116"/>
        <v>Điện Biên</v>
      </c>
      <c r="D1398" s="3" t="s">
        <v>146</v>
      </c>
      <c r="E1398" s="4" t="str">
        <f t="shared" si="115"/>
        <v>Huyện Tuần Giáo</v>
      </c>
      <c r="F1398" s="3" t="s">
        <v>2162</v>
      </c>
      <c r="G1398" s="4" t="str">
        <f>HYPERLINK("https://diaocthongthai.com/xa-quai-to-tuan-giao/","Xã Quài Tở")</f>
        <v>Xã Quài Tở</v>
      </c>
    </row>
    <row r="1399" spans="1:7" x14ac:dyDescent="0.25">
      <c r="A1399" s="2">
        <v>1398</v>
      </c>
      <c r="B1399" s="3" t="s">
        <v>9</v>
      </c>
      <c r="C1399" s="4" t="str">
        <f t="shared" si="116"/>
        <v>Điện Biên</v>
      </c>
      <c r="D1399" s="3" t="s">
        <v>146</v>
      </c>
      <c r="E1399" s="4" t="str">
        <f t="shared" si="115"/>
        <v>Huyện Tuần Giáo</v>
      </c>
      <c r="F1399" s="3" t="s">
        <v>2163</v>
      </c>
      <c r="G1399" s="4" t="str">
        <f>HYPERLINK("https://diaocthongthai.com/xa-chieng-sinh-tuan-giao/","Xã Chiềng Sinh")</f>
        <v>Xã Chiềng Sinh</v>
      </c>
    </row>
    <row r="1400" spans="1:7" x14ac:dyDescent="0.25">
      <c r="A1400" s="2">
        <v>1399</v>
      </c>
      <c r="B1400" s="3" t="s">
        <v>9</v>
      </c>
      <c r="C1400" s="4" t="str">
        <f t="shared" si="116"/>
        <v>Điện Biên</v>
      </c>
      <c r="D1400" s="3" t="s">
        <v>146</v>
      </c>
      <c r="E1400" s="4" t="str">
        <f t="shared" si="115"/>
        <v>Huyện Tuần Giáo</v>
      </c>
      <c r="F1400" s="3" t="s">
        <v>2164</v>
      </c>
      <c r="G1400" s="4" t="str">
        <f>HYPERLINK("https://diaocthongthai.com/xa-chieng-dong-tuan-giao/","Xã Chiềng Đông")</f>
        <v>Xã Chiềng Đông</v>
      </c>
    </row>
    <row r="1401" spans="1:7" x14ac:dyDescent="0.25">
      <c r="A1401" s="2">
        <v>1400</v>
      </c>
      <c r="B1401" s="3" t="s">
        <v>9</v>
      </c>
      <c r="C1401" s="4" t="str">
        <f t="shared" si="116"/>
        <v>Điện Biên</v>
      </c>
      <c r="D1401" s="3" t="s">
        <v>146</v>
      </c>
      <c r="E1401" s="4" t="str">
        <f t="shared" si="115"/>
        <v>Huyện Tuần Giáo</v>
      </c>
      <c r="F1401" s="3" t="s">
        <v>2165</v>
      </c>
      <c r="G1401" s="4" t="str">
        <f>HYPERLINK("https://diaocthongthai.com/xa-tenh-phong-tuan-giao/","Xã Tênh Phông")</f>
        <v>Xã Tênh Phông</v>
      </c>
    </row>
    <row r="1402" spans="1:7" x14ac:dyDescent="0.25">
      <c r="A1402" s="2">
        <v>1401</v>
      </c>
      <c r="B1402" s="3" t="s">
        <v>9</v>
      </c>
      <c r="C1402" s="4" t="str">
        <f t="shared" si="116"/>
        <v>Điện Biên</v>
      </c>
      <c r="D1402" s="3" t="s">
        <v>147</v>
      </c>
      <c r="E1402" s="4" t="str">
        <f t="shared" ref="E1402:E1422" si="117">HYPERLINK("https://diaocthongthai.com/ban-do-huyen-dien-bien-dien-bien/","Huyện Điện Biên")</f>
        <v>Huyện Điện Biên</v>
      </c>
      <c r="F1402" s="3" t="s">
        <v>2166</v>
      </c>
      <c r="G1402" s="4" t="str">
        <f>HYPERLINK("https://diaocthongthai.com/xa-muong-pon-dien-bien/","Xã Mường Pồn")</f>
        <v>Xã Mường Pồn</v>
      </c>
    </row>
    <row r="1403" spans="1:7" x14ac:dyDescent="0.25">
      <c r="A1403" s="2">
        <v>1402</v>
      </c>
      <c r="B1403" s="3" t="s">
        <v>9</v>
      </c>
      <c r="C1403" s="4" t="str">
        <f t="shared" si="116"/>
        <v>Điện Biên</v>
      </c>
      <c r="D1403" s="3" t="s">
        <v>147</v>
      </c>
      <c r="E1403" s="4" t="str">
        <f t="shared" si="117"/>
        <v>Huyện Điện Biên</v>
      </c>
      <c r="F1403" s="3" t="s">
        <v>2167</v>
      </c>
      <c r="G1403" s="4" t="str">
        <f>HYPERLINK("https://diaocthongthai.com/xa-thanh-nua-dien-bien/","Xã Thanh Nưa")</f>
        <v>Xã Thanh Nưa</v>
      </c>
    </row>
    <row r="1404" spans="1:7" x14ac:dyDescent="0.25">
      <c r="A1404" s="2">
        <v>1403</v>
      </c>
      <c r="B1404" s="3" t="s">
        <v>9</v>
      </c>
      <c r="C1404" s="4" t="str">
        <f t="shared" si="116"/>
        <v>Điện Biên</v>
      </c>
      <c r="D1404" s="3" t="s">
        <v>147</v>
      </c>
      <c r="E1404" s="4" t="str">
        <f t="shared" si="117"/>
        <v>Huyện Điện Biên</v>
      </c>
      <c r="F1404" s="3" t="s">
        <v>2168</v>
      </c>
      <c r="G1404" s="4" t="str">
        <f>HYPERLINK("https://diaocthongthai.com/xa-hua-thanh-dien-bien/","Xã Hua Thanh")</f>
        <v>Xã Hua Thanh</v>
      </c>
    </row>
    <row r="1405" spans="1:7" x14ac:dyDescent="0.25">
      <c r="A1405" s="2">
        <v>1404</v>
      </c>
      <c r="B1405" s="3" t="s">
        <v>9</v>
      </c>
      <c r="C1405" s="4" t="str">
        <f t="shared" si="116"/>
        <v>Điện Biên</v>
      </c>
      <c r="D1405" s="3" t="s">
        <v>147</v>
      </c>
      <c r="E1405" s="4" t="str">
        <f t="shared" si="117"/>
        <v>Huyện Điện Biên</v>
      </c>
      <c r="F1405" s="3" t="s">
        <v>2169</v>
      </c>
      <c r="G1405" s="4" t="str">
        <f>HYPERLINK("https://diaocthongthai.com/xa-thanh-luong-dien-bien/","Xã Thanh Luông")</f>
        <v>Xã Thanh Luông</v>
      </c>
    </row>
    <row r="1406" spans="1:7" x14ac:dyDescent="0.25">
      <c r="A1406" s="2">
        <v>1405</v>
      </c>
      <c r="B1406" s="3" t="s">
        <v>9</v>
      </c>
      <c r="C1406" s="4" t="str">
        <f t="shared" si="116"/>
        <v>Điện Biên</v>
      </c>
      <c r="D1406" s="3" t="s">
        <v>147</v>
      </c>
      <c r="E1406" s="4" t="str">
        <f t="shared" si="117"/>
        <v>Huyện Điện Biên</v>
      </c>
      <c r="F1406" s="3" t="s">
        <v>2170</v>
      </c>
      <c r="G1406" s="4" t="str">
        <f>HYPERLINK("https://diaocthongthai.com/xa-thanh-hung-dien-bien/","Xã Thanh Hưng")</f>
        <v>Xã Thanh Hưng</v>
      </c>
    </row>
    <row r="1407" spans="1:7" x14ac:dyDescent="0.25">
      <c r="A1407" s="2">
        <v>1406</v>
      </c>
      <c r="B1407" s="3" t="s">
        <v>9</v>
      </c>
      <c r="C1407" s="4" t="str">
        <f t="shared" si="116"/>
        <v>Điện Biên</v>
      </c>
      <c r="D1407" s="3" t="s">
        <v>147</v>
      </c>
      <c r="E1407" s="4" t="str">
        <f t="shared" si="117"/>
        <v>Huyện Điện Biên</v>
      </c>
      <c r="F1407" s="3" t="s">
        <v>2171</v>
      </c>
      <c r="G1407" s="4" t="str">
        <f>HYPERLINK("https://diaocthongthai.com/xa-thanh-xuong-dien-bien/","Xã Thanh Xương")</f>
        <v>Xã Thanh Xương</v>
      </c>
    </row>
    <row r="1408" spans="1:7" x14ac:dyDescent="0.25">
      <c r="A1408" s="2">
        <v>1407</v>
      </c>
      <c r="B1408" s="3" t="s">
        <v>9</v>
      </c>
      <c r="C1408" s="4" t="str">
        <f t="shared" si="116"/>
        <v>Điện Biên</v>
      </c>
      <c r="D1408" s="3" t="s">
        <v>147</v>
      </c>
      <c r="E1408" s="4" t="str">
        <f t="shared" si="117"/>
        <v>Huyện Điện Biên</v>
      </c>
      <c r="F1408" s="3" t="s">
        <v>2172</v>
      </c>
      <c r="G1408" s="4" t="str">
        <f>HYPERLINK("https://diaocthongthai.com/xa-thanh-chan-dien-bien/","Xã Thanh Chăn")</f>
        <v>Xã Thanh Chăn</v>
      </c>
    </row>
    <row r="1409" spans="1:7" x14ac:dyDescent="0.25">
      <c r="A1409" s="2">
        <v>1408</v>
      </c>
      <c r="B1409" s="3" t="s">
        <v>9</v>
      </c>
      <c r="C1409" s="4" t="str">
        <f t="shared" si="116"/>
        <v>Điện Biên</v>
      </c>
      <c r="D1409" s="3" t="s">
        <v>147</v>
      </c>
      <c r="E1409" s="4" t="str">
        <f t="shared" si="117"/>
        <v>Huyện Điện Biên</v>
      </c>
      <c r="F1409" s="3" t="s">
        <v>2173</v>
      </c>
      <c r="G1409" s="4" t="str">
        <f>HYPERLINK("https://diaocthongthai.com/xa-pa-thom-dien-bien/","Xã Pa Thơm")</f>
        <v>Xã Pa Thơm</v>
      </c>
    </row>
    <row r="1410" spans="1:7" x14ac:dyDescent="0.25">
      <c r="A1410" s="2">
        <v>1409</v>
      </c>
      <c r="B1410" s="3" t="s">
        <v>9</v>
      </c>
      <c r="C1410" s="4" t="str">
        <f t="shared" si="116"/>
        <v>Điện Biên</v>
      </c>
      <c r="D1410" s="3" t="s">
        <v>147</v>
      </c>
      <c r="E1410" s="4" t="str">
        <f t="shared" si="117"/>
        <v>Huyện Điện Biên</v>
      </c>
      <c r="F1410" s="3" t="s">
        <v>2174</v>
      </c>
      <c r="G1410" s="4" t="str">
        <f>HYPERLINK("https://diaocthongthai.com/xa-thanh-an-dien-bien/","Xã Thanh An")</f>
        <v>Xã Thanh An</v>
      </c>
    </row>
    <row r="1411" spans="1:7" x14ac:dyDescent="0.25">
      <c r="A1411" s="2">
        <v>1410</v>
      </c>
      <c r="B1411" s="3" t="s">
        <v>9</v>
      </c>
      <c r="C1411" s="4" t="str">
        <f t="shared" si="116"/>
        <v>Điện Biên</v>
      </c>
      <c r="D1411" s="3" t="s">
        <v>147</v>
      </c>
      <c r="E1411" s="4" t="str">
        <f t="shared" si="117"/>
        <v>Huyện Điện Biên</v>
      </c>
      <c r="F1411" s="3" t="s">
        <v>2175</v>
      </c>
      <c r="G1411" s="4" t="str">
        <f>HYPERLINK("https://diaocthongthai.com/xa-thanh-yen-dien-bien/","Xã Thanh Yên")</f>
        <v>Xã Thanh Yên</v>
      </c>
    </row>
    <row r="1412" spans="1:7" x14ac:dyDescent="0.25">
      <c r="A1412" s="2">
        <v>1411</v>
      </c>
      <c r="B1412" s="3" t="s">
        <v>9</v>
      </c>
      <c r="C1412" s="4" t="str">
        <f t="shared" si="116"/>
        <v>Điện Biên</v>
      </c>
      <c r="D1412" s="3" t="s">
        <v>147</v>
      </c>
      <c r="E1412" s="4" t="str">
        <f t="shared" si="117"/>
        <v>Huyện Điện Biên</v>
      </c>
      <c r="F1412" s="3" t="s">
        <v>2176</v>
      </c>
      <c r="G1412" s="4" t="str">
        <f>HYPERLINK("https://diaocthongthai.com/xa-noong-luong-dien-bien/","Xã Noong Luống")</f>
        <v>Xã Noong Luống</v>
      </c>
    </row>
    <row r="1413" spans="1:7" x14ac:dyDescent="0.25">
      <c r="A1413" s="2">
        <v>1412</v>
      </c>
      <c r="B1413" s="3" t="s">
        <v>9</v>
      </c>
      <c r="C1413" s="4" t="str">
        <f t="shared" si="116"/>
        <v>Điện Biên</v>
      </c>
      <c r="D1413" s="3" t="s">
        <v>147</v>
      </c>
      <c r="E1413" s="4" t="str">
        <f t="shared" si="117"/>
        <v>Huyện Điện Biên</v>
      </c>
      <c r="F1413" s="3" t="s">
        <v>2177</v>
      </c>
      <c r="G1413" s="4" t="str">
        <f>HYPERLINK("https://diaocthongthai.com/xa-noong-het-dien-bien/","Xã Noọng Hẹt")</f>
        <v>Xã Noọng Hẹt</v>
      </c>
    </row>
    <row r="1414" spans="1:7" x14ac:dyDescent="0.25">
      <c r="A1414" s="2">
        <v>1413</v>
      </c>
      <c r="B1414" s="3" t="s">
        <v>9</v>
      </c>
      <c r="C1414" s="4" t="str">
        <f t="shared" si="116"/>
        <v>Điện Biên</v>
      </c>
      <c r="D1414" s="3" t="s">
        <v>147</v>
      </c>
      <c r="E1414" s="4" t="str">
        <f t="shared" si="117"/>
        <v>Huyện Điện Biên</v>
      </c>
      <c r="F1414" s="3" t="s">
        <v>2178</v>
      </c>
      <c r="G1414" s="4" t="str">
        <f>HYPERLINK("https://diaocthongthai.com/xa-sam-mun-dien-bien/","Xã Sam Mứn")</f>
        <v>Xã Sam Mứn</v>
      </c>
    </row>
    <row r="1415" spans="1:7" x14ac:dyDescent="0.25">
      <c r="A1415" s="2">
        <v>1414</v>
      </c>
      <c r="B1415" s="3" t="s">
        <v>9</v>
      </c>
      <c r="C1415" s="4" t="str">
        <f t="shared" si="116"/>
        <v>Điện Biên</v>
      </c>
      <c r="D1415" s="3" t="s">
        <v>147</v>
      </c>
      <c r="E1415" s="4" t="str">
        <f t="shared" si="117"/>
        <v>Huyện Điện Biên</v>
      </c>
      <c r="F1415" s="3" t="s">
        <v>2179</v>
      </c>
      <c r="G1415" s="4" t="str">
        <f>HYPERLINK("https://diaocthongthai.com/xa-pom-lot-dien-bien/","Xã Pom Lót")</f>
        <v>Xã Pom Lót</v>
      </c>
    </row>
    <row r="1416" spans="1:7" x14ac:dyDescent="0.25">
      <c r="A1416" s="2">
        <v>1415</v>
      </c>
      <c r="B1416" s="3" t="s">
        <v>9</v>
      </c>
      <c r="C1416" s="4" t="str">
        <f t="shared" si="116"/>
        <v>Điện Biên</v>
      </c>
      <c r="D1416" s="3" t="s">
        <v>147</v>
      </c>
      <c r="E1416" s="4" t="str">
        <f t="shared" si="117"/>
        <v>Huyện Điện Biên</v>
      </c>
      <c r="F1416" s="3" t="s">
        <v>2180</v>
      </c>
      <c r="G1416" s="4" t="str">
        <f>HYPERLINK("https://diaocthongthai.com/xa-nua-ngam-dien-bien/","Xã Núa Ngam")</f>
        <v>Xã Núa Ngam</v>
      </c>
    </row>
    <row r="1417" spans="1:7" x14ac:dyDescent="0.25">
      <c r="A1417" s="2">
        <v>1416</v>
      </c>
      <c r="B1417" s="3" t="s">
        <v>9</v>
      </c>
      <c r="C1417" s="4" t="str">
        <f t="shared" si="116"/>
        <v>Điện Biên</v>
      </c>
      <c r="D1417" s="3" t="s">
        <v>147</v>
      </c>
      <c r="E1417" s="4" t="str">
        <f t="shared" si="117"/>
        <v>Huyện Điện Biên</v>
      </c>
      <c r="F1417" s="3" t="s">
        <v>2181</v>
      </c>
      <c r="G1417" s="4" t="str">
        <f>HYPERLINK("https://diaocthongthai.com/xa-he-muong-dien-bien/","Xã Hẹ Muông")</f>
        <v>Xã Hẹ Muông</v>
      </c>
    </row>
    <row r="1418" spans="1:7" x14ac:dyDescent="0.25">
      <c r="A1418" s="2">
        <v>1417</v>
      </c>
      <c r="B1418" s="3" t="s">
        <v>9</v>
      </c>
      <c r="C1418" s="4" t="str">
        <f t="shared" si="116"/>
        <v>Điện Biên</v>
      </c>
      <c r="D1418" s="3" t="s">
        <v>147</v>
      </c>
      <c r="E1418" s="4" t="str">
        <f t="shared" si="117"/>
        <v>Huyện Điện Biên</v>
      </c>
      <c r="F1418" s="3" t="s">
        <v>2182</v>
      </c>
      <c r="G1418" s="4" t="str">
        <f>HYPERLINK("https://diaocthongthai.com/xa-na-u-dien-bien/","Xã Na Ư")</f>
        <v>Xã Na Ư</v>
      </c>
    </row>
    <row r="1419" spans="1:7" x14ac:dyDescent="0.25">
      <c r="A1419" s="2">
        <v>1418</v>
      </c>
      <c r="B1419" s="3" t="s">
        <v>9</v>
      </c>
      <c r="C1419" s="4" t="str">
        <f t="shared" si="116"/>
        <v>Điện Biên</v>
      </c>
      <c r="D1419" s="3" t="s">
        <v>147</v>
      </c>
      <c r="E1419" s="4" t="str">
        <f t="shared" si="117"/>
        <v>Huyện Điện Biên</v>
      </c>
      <c r="F1419" s="3" t="s">
        <v>2183</v>
      </c>
      <c r="G1419" s="4" t="str">
        <f>HYPERLINK("https://diaocthongthai.com/xa-muong-nha-dien-bien/","Xã Mường Nhà")</f>
        <v>Xã Mường Nhà</v>
      </c>
    </row>
    <row r="1420" spans="1:7" x14ac:dyDescent="0.25">
      <c r="A1420" s="2">
        <v>1419</v>
      </c>
      <c r="B1420" s="3" t="s">
        <v>9</v>
      </c>
      <c r="C1420" s="4" t="str">
        <f t="shared" si="116"/>
        <v>Điện Biên</v>
      </c>
      <c r="D1420" s="3" t="s">
        <v>147</v>
      </c>
      <c r="E1420" s="4" t="str">
        <f t="shared" si="117"/>
        <v>Huyện Điện Biên</v>
      </c>
      <c r="F1420" s="3" t="s">
        <v>2184</v>
      </c>
      <c r="G1420" s="4" t="str">
        <f>HYPERLINK("https://diaocthongthai.com/xa-na-tong-dien-bien/","Xã Na Tông")</f>
        <v>Xã Na Tông</v>
      </c>
    </row>
    <row r="1421" spans="1:7" x14ac:dyDescent="0.25">
      <c r="A1421" s="2">
        <v>1420</v>
      </c>
      <c r="B1421" s="3" t="s">
        <v>9</v>
      </c>
      <c r="C1421" s="4" t="str">
        <f t="shared" si="116"/>
        <v>Điện Biên</v>
      </c>
      <c r="D1421" s="3" t="s">
        <v>147</v>
      </c>
      <c r="E1421" s="4" t="str">
        <f t="shared" si="117"/>
        <v>Huyện Điện Biên</v>
      </c>
      <c r="F1421" s="3" t="s">
        <v>2185</v>
      </c>
      <c r="G1421" s="4" t="str">
        <f>HYPERLINK("https://diaocthongthai.com/xa-muong-loi-dien-bien/","Xã Mường Lói")</f>
        <v>Xã Mường Lói</v>
      </c>
    </row>
    <row r="1422" spans="1:7" x14ac:dyDescent="0.25">
      <c r="A1422" s="2">
        <v>1421</v>
      </c>
      <c r="B1422" s="3" t="s">
        <v>9</v>
      </c>
      <c r="C1422" s="4" t="str">
        <f t="shared" si="116"/>
        <v>Điện Biên</v>
      </c>
      <c r="D1422" s="3" t="s">
        <v>147</v>
      </c>
      <c r="E1422" s="4" t="str">
        <f t="shared" si="117"/>
        <v>Huyện Điện Biên</v>
      </c>
      <c r="F1422" s="3" t="s">
        <v>2186</v>
      </c>
      <c r="G1422" s="4" t="str">
        <f>HYPERLINK("https://diaocthongthai.com/xa-phu-luong-dien-bien/","Xã Phu Luông")</f>
        <v>Xã Phu Luông</v>
      </c>
    </row>
    <row r="1423" spans="1:7" x14ac:dyDescent="0.25">
      <c r="A1423" s="2">
        <v>1422</v>
      </c>
      <c r="B1423" s="3" t="s">
        <v>9</v>
      </c>
      <c r="C1423" s="4" t="str">
        <f t="shared" si="116"/>
        <v>Điện Biên</v>
      </c>
      <c r="D1423" s="3" t="s">
        <v>148</v>
      </c>
      <c r="E1423" s="4" t="str">
        <f t="shared" ref="E1423:E1436" si="118">HYPERLINK("https://diaocthongthai.com/ban-do-huyen-dien-bien-dong-dien-bien/","Huyện Điện Biên Đông")</f>
        <v>Huyện Điện Biên Đông</v>
      </c>
      <c r="F1423" s="3" t="s">
        <v>2187</v>
      </c>
      <c r="G1423" s="4" t="str">
        <f>HYPERLINK("https://diaocthongthai.com/thi-tran-dien-bien-dong-dien-bien-dong/","Thị trấn Điện Biên Đông")</f>
        <v>Thị trấn Điện Biên Đông</v>
      </c>
    </row>
    <row r="1424" spans="1:7" x14ac:dyDescent="0.25">
      <c r="A1424" s="2">
        <v>1423</v>
      </c>
      <c r="B1424" s="3" t="s">
        <v>9</v>
      </c>
      <c r="C1424" s="4" t="str">
        <f t="shared" si="116"/>
        <v>Điện Biên</v>
      </c>
      <c r="D1424" s="3" t="s">
        <v>148</v>
      </c>
      <c r="E1424" s="4" t="str">
        <f t="shared" si="118"/>
        <v>Huyện Điện Biên Đông</v>
      </c>
      <c r="F1424" s="3" t="s">
        <v>2188</v>
      </c>
      <c r="G1424" s="4" t="str">
        <f>HYPERLINK("https://diaocthongthai.com/xa-na-son-dien-bien-dong/","Xã Na Son")</f>
        <v>Xã Na Son</v>
      </c>
    </row>
    <row r="1425" spans="1:7" x14ac:dyDescent="0.25">
      <c r="A1425" s="2">
        <v>1424</v>
      </c>
      <c r="B1425" s="3" t="s">
        <v>9</v>
      </c>
      <c r="C1425" s="4" t="str">
        <f t="shared" si="116"/>
        <v>Điện Biên</v>
      </c>
      <c r="D1425" s="3" t="s">
        <v>148</v>
      </c>
      <c r="E1425" s="4" t="str">
        <f t="shared" si="118"/>
        <v>Huyện Điện Biên Đông</v>
      </c>
      <c r="F1425" s="3" t="s">
        <v>2189</v>
      </c>
      <c r="G1425" s="4" t="str">
        <f>HYPERLINK("https://diaocthongthai.com/xa-phi-nhu-dien-bien-dong/","Xã Phì Nhừ")</f>
        <v>Xã Phì Nhừ</v>
      </c>
    </row>
    <row r="1426" spans="1:7" x14ac:dyDescent="0.25">
      <c r="A1426" s="2">
        <v>1425</v>
      </c>
      <c r="B1426" s="3" t="s">
        <v>9</v>
      </c>
      <c r="C1426" s="4" t="str">
        <f t="shared" si="116"/>
        <v>Điện Biên</v>
      </c>
      <c r="D1426" s="3" t="s">
        <v>148</v>
      </c>
      <c r="E1426" s="4" t="str">
        <f t="shared" si="118"/>
        <v>Huyện Điện Biên Đông</v>
      </c>
      <c r="F1426" s="3" t="s">
        <v>2190</v>
      </c>
      <c r="G1426" s="4" t="str">
        <f>HYPERLINK("https://diaocthongthai.com/xa-chieng-so-dien-bien-dong/","Xã Chiềng Sơ")</f>
        <v>Xã Chiềng Sơ</v>
      </c>
    </row>
    <row r="1427" spans="1:7" x14ac:dyDescent="0.25">
      <c r="A1427" s="2">
        <v>1426</v>
      </c>
      <c r="B1427" s="3" t="s">
        <v>9</v>
      </c>
      <c r="C1427" s="4" t="str">
        <f t="shared" si="116"/>
        <v>Điện Biên</v>
      </c>
      <c r="D1427" s="3" t="s">
        <v>148</v>
      </c>
      <c r="E1427" s="4" t="str">
        <f t="shared" si="118"/>
        <v>Huyện Điện Biên Đông</v>
      </c>
      <c r="F1427" s="3" t="s">
        <v>2191</v>
      </c>
      <c r="G1427" s="4" t="str">
        <f>HYPERLINK("https://diaocthongthai.com/xa-muong-luan-dien-bien-dong/","Xã Mường Luân")</f>
        <v>Xã Mường Luân</v>
      </c>
    </row>
    <row r="1428" spans="1:7" x14ac:dyDescent="0.25">
      <c r="A1428" s="2">
        <v>1427</v>
      </c>
      <c r="B1428" s="3" t="s">
        <v>9</v>
      </c>
      <c r="C1428" s="4" t="str">
        <f t="shared" si="116"/>
        <v>Điện Biên</v>
      </c>
      <c r="D1428" s="3" t="s">
        <v>148</v>
      </c>
      <c r="E1428" s="4" t="str">
        <f t="shared" si="118"/>
        <v>Huyện Điện Biên Đông</v>
      </c>
      <c r="F1428" s="3" t="s">
        <v>2192</v>
      </c>
      <c r="G1428" s="4" t="str">
        <f>HYPERLINK("https://diaocthongthai.com/xa-pu-nhi-dien-bien-dong/","Xã Pú Nhi")</f>
        <v>Xã Pú Nhi</v>
      </c>
    </row>
    <row r="1429" spans="1:7" x14ac:dyDescent="0.25">
      <c r="A1429" s="2">
        <v>1428</v>
      </c>
      <c r="B1429" s="3" t="s">
        <v>9</v>
      </c>
      <c r="C1429" s="4" t="str">
        <f t="shared" ref="C1429:C1461" si="119">HYPERLINK("https://diaocthongthai.com/ban-do-dien-bien/","Điện Biên")</f>
        <v>Điện Biên</v>
      </c>
      <c r="D1429" s="3" t="s">
        <v>148</v>
      </c>
      <c r="E1429" s="4" t="str">
        <f t="shared" si="118"/>
        <v>Huyện Điện Biên Đông</v>
      </c>
      <c r="F1429" s="3" t="s">
        <v>2193</v>
      </c>
      <c r="G1429" s="4" t="str">
        <f>HYPERLINK("https://diaocthongthai.com/xa-nong-u-dien-bien-dong/","Xã Nong U")</f>
        <v>Xã Nong U</v>
      </c>
    </row>
    <row r="1430" spans="1:7" x14ac:dyDescent="0.25">
      <c r="A1430" s="2">
        <v>1429</v>
      </c>
      <c r="B1430" s="3" t="s">
        <v>9</v>
      </c>
      <c r="C1430" s="4" t="str">
        <f t="shared" si="119"/>
        <v>Điện Biên</v>
      </c>
      <c r="D1430" s="3" t="s">
        <v>148</v>
      </c>
      <c r="E1430" s="4" t="str">
        <f t="shared" si="118"/>
        <v>Huyện Điện Biên Đông</v>
      </c>
      <c r="F1430" s="3" t="s">
        <v>2194</v>
      </c>
      <c r="G1430" s="4" t="str">
        <f>HYPERLINK("https://diaocthongthai.com/xa-xa-dung-dien-bien-dong/","Xã Xa Dung")</f>
        <v>Xã Xa Dung</v>
      </c>
    </row>
    <row r="1431" spans="1:7" x14ac:dyDescent="0.25">
      <c r="A1431" s="2">
        <v>1430</v>
      </c>
      <c r="B1431" s="3" t="s">
        <v>9</v>
      </c>
      <c r="C1431" s="4" t="str">
        <f t="shared" si="119"/>
        <v>Điện Biên</v>
      </c>
      <c r="D1431" s="3" t="s">
        <v>148</v>
      </c>
      <c r="E1431" s="4" t="str">
        <f t="shared" si="118"/>
        <v>Huyện Điện Biên Đông</v>
      </c>
      <c r="F1431" s="3" t="s">
        <v>2195</v>
      </c>
      <c r="G1431" s="4" t="str">
        <f>HYPERLINK("https://diaocthongthai.com/xa-keo-lom-dien-bien-dong/","Xã Keo Lôm")</f>
        <v>Xã Keo Lôm</v>
      </c>
    </row>
    <row r="1432" spans="1:7" x14ac:dyDescent="0.25">
      <c r="A1432" s="2">
        <v>1431</v>
      </c>
      <c r="B1432" s="3" t="s">
        <v>9</v>
      </c>
      <c r="C1432" s="4" t="str">
        <f t="shared" si="119"/>
        <v>Điện Biên</v>
      </c>
      <c r="D1432" s="3" t="s">
        <v>148</v>
      </c>
      <c r="E1432" s="4" t="str">
        <f t="shared" si="118"/>
        <v>Huyện Điện Biên Đông</v>
      </c>
      <c r="F1432" s="3" t="s">
        <v>2196</v>
      </c>
      <c r="G1432" s="4" t="str">
        <f>HYPERLINK("https://diaocthongthai.com/xa-luan-gioi-dien-bien-dong/","Xã Luân Giới")</f>
        <v>Xã Luân Giới</v>
      </c>
    </row>
    <row r="1433" spans="1:7" x14ac:dyDescent="0.25">
      <c r="A1433" s="2">
        <v>1432</v>
      </c>
      <c r="B1433" s="3" t="s">
        <v>9</v>
      </c>
      <c r="C1433" s="4" t="str">
        <f t="shared" si="119"/>
        <v>Điện Biên</v>
      </c>
      <c r="D1433" s="3" t="s">
        <v>148</v>
      </c>
      <c r="E1433" s="4" t="str">
        <f t="shared" si="118"/>
        <v>Huyện Điện Biên Đông</v>
      </c>
      <c r="F1433" s="3" t="s">
        <v>2197</v>
      </c>
      <c r="G1433" s="4" t="str">
        <f>HYPERLINK("https://diaocthongthai.com/xa-phinh-giang-dien-bien-dong/","Xã Phình Giàng")</f>
        <v>Xã Phình Giàng</v>
      </c>
    </row>
    <row r="1434" spans="1:7" x14ac:dyDescent="0.25">
      <c r="A1434" s="2">
        <v>1433</v>
      </c>
      <c r="B1434" s="3" t="s">
        <v>9</v>
      </c>
      <c r="C1434" s="4" t="str">
        <f t="shared" si="119"/>
        <v>Điện Biên</v>
      </c>
      <c r="D1434" s="3" t="s">
        <v>148</v>
      </c>
      <c r="E1434" s="4" t="str">
        <f t="shared" si="118"/>
        <v>Huyện Điện Biên Đông</v>
      </c>
      <c r="F1434" s="3" t="s">
        <v>2198</v>
      </c>
      <c r="G1434" s="4" t="str">
        <f>HYPERLINK("https://diaocthongthai.com/xa-pu-hong-dien-bien-dong/","Xã Pú Hồng")</f>
        <v>Xã Pú Hồng</v>
      </c>
    </row>
    <row r="1435" spans="1:7" x14ac:dyDescent="0.25">
      <c r="A1435" s="2">
        <v>1434</v>
      </c>
      <c r="B1435" s="3" t="s">
        <v>9</v>
      </c>
      <c r="C1435" s="4" t="str">
        <f t="shared" si="119"/>
        <v>Điện Biên</v>
      </c>
      <c r="D1435" s="3" t="s">
        <v>148</v>
      </c>
      <c r="E1435" s="4" t="str">
        <f t="shared" si="118"/>
        <v>Huyện Điện Biên Đông</v>
      </c>
      <c r="F1435" s="3" t="s">
        <v>2199</v>
      </c>
      <c r="G1435" s="4" t="str">
        <f>HYPERLINK("https://diaocthongthai.com/xa-tia-dinh-dien-bien-dong/","Xã Tìa Dình")</f>
        <v>Xã Tìa Dình</v>
      </c>
    </row>
    <row r="1436" spans="1:7" x14ac:dyDescent="0.25">
      <c r="A1436" s="2">
        <v>1435</v>
      </c>
      <c r="B1436" s="3" t="s">
        <v>9</v>
      </c>
      <c r="C1436" s="4" t="str">
        <f t="shared" si="119"/>
        <v>Điện Biên</v>
      </c>
      <c r="D1436" s="3" t="s">
        <v>148</v>
      </c>
      <c r="E1436" s="4" t="str">
        <f t="shared" si="118"/>
        <v>Huyện Điện Biên Đông</v>
      </c>
      <c r="F1436" s="3" t="s">
        <v>2200</v>
      </c>
      <c r="G1436" s="4" t="str">
        <f>HYPERLINK("https://diaocthongthai.com/xa-hang-lia-dien-bien-dong/","Xã Háng Lìa")</f>
        <v>Xã Háng Lìa</v>
      </c>
    </row>
    <row r="1437" spans="1:7" x14ac:dyDescent="0.25">
      <c r="A1437" s="2">
        <v>1436</v>
      </c>
      <c r="B1437" s="3" t="s">
        <v>9</v>
      </c>
      <c r="C1437" s="4" t="str">
        <f t="shared" si="119"/>
        <v>Điện Biên</v>
      </c>
      <c r="D1437" s="3" t="s">
        <v>149</v>
      </c>
      <c r="E1437" s="4" t="str">
        <f t="shared" ref="E1437:E1446" si="120">HYPERLINK("https://diaocthongthai.com/ban-do-huyen-muong-ang-dien-bien/","Huyện Mường Ảng")</f>
        <v>Huyện Mường Ảng</v>
      </c>
      <c r="F1437" s="3" t="s">
        <v>2201</v>
      </c>
      <c r="G1437" s="4" t="str">
        <f>HYPERLINK("https://diaocthongthai.com/thi-tran-muong-ang-muong-ang/","Thị trấn Mường Ảng")</f>
        <v>Thị trấn Mường Ảng</v>
      </c>
    </row>
    <row r="1438" spans="1:7" x14ac:dyDescent="0.25">
      <c r="A1438" s="2">
        <v>1437</v>
      </c>
      <c r="B1438" s="3" t="s">
        <v>9</v>
      </c>
      <c r="C1438" s="4" t="str">
        <f t="shared" si="119"/>
        <v>Điện Biên</v>
      </c>
      <c r="D1438" s="3" t="s">
        <v>149</v>
      </c>
      <c r="E1438" s="4" t="str">
        <f t="shared" si="120"/>
        <v>Huyện Mường Ảng</v>
      </c>
      <c r="F1438" s="3" t="s">
        <v>2202</v>
      </c>
      <c r="G1438" s="4" t="str">
        <f>HYPERLINK("https://diaocthongthai.com/xa-muong-dang-muong-ang/","Xã Mường Đăng")</f>
        <v>Xã Mường Đăng</v>
      </c>
    </row>
    <row r="1439" spans="1:7" x14ac:dyDescent="0.25">
      <c r="A1439" s="2">
        <v>1438</v>
      </c>
      <c r="B1439" s="3" t="s">
        <v>9</v>
      </c>
      <c r="C1439" s="4" t="str">
        <f t="shared" si="119"/>
        <v>Điện Biên</v>
      </c>
      <c r="D1439" s="3" t="s">
        <v>149</v>
      </c>
      <c r="E1439" s="4" t="str">
        <f t="shared" si="120"/>
        <v>Huyện Mường Ảng</v>
      </c>
      <c r="F1439" s="3" t="s">
        <v>2203</v>
      </c>
      <c r="G1439" s="4" t="str">
        <f>HYPERLINK("https://diaocthongthai.com/xa-ngoi-cay-muong-ang/","Xã Ngối Cáy")</f>
        <v>Xã Ngối Cáy</v>
      </c>
    </row>
    <row r="1440" spans="1:7" x14ac:dyDescent="0.25">
      <c r="A1440" s="2">
        <v>1439</v>
      </c>
      <c r="B1440" s="3" t="s">
        <v>9</v>
      </c>
      <c r="C1440" s="4" t="str">
        <f t="shared" si="119"/>
        <v>Điện Biên</v>
      </c>
      <c r="D1440" s="3" t="s">
        <v>149</v>
      </c>
      <c r="E1440" s="4" t="str">
        <f t="shared" si="120"/>
        <v>Huyện Mường Ảng</v>
      </c>
      <c r="F1440" s="3" t="s">
        <v>2204</v>
      </c>
      <c r="G1440" s="4" t="str">
        <f>HYPERLINK("https://diaocthongthai.com/xa-ang-to-muong-ang/","Xã Ẳng Tở")</f>
        <v>Xã Ẳng Tở</v>
      </c>
    </row>
    <row r="1441" spans="1:7" x14ac:dyDescent="0.25">
      <c r="A1441" s="2">
        <v>1440</v>
      </c>
      <c r="B1441" s="3" t="s">
        <v>9</v>
      </c>
      <c r="C1441" s="4" t="str">
        <f t="shared" si="119"/>
        <v>Điện Biên</v>
      </c>
      <c r="D1441" s="3" t="s">
        <v>149</v>
      </c>
      <c r="E1441" s="4" t="str">
        <f t="shared" si="120"/>
        <v>Huyện Mường Ảng</v>
      </c>
      <c r="F1441" s="3" t="s">
        <v>2205</v>
      </c>
      <c r="G1441" s="4" t="str">
        <f>HYPERLINK("https://diaocthongthai.com/xa-bung-lao-muong-ang/","Xã Búng Lao")</f>
        <v>Xã Búng Lao</v>
      </c>
    </row>
    <row r="1442" spans="1:7" x14ac:dyDescent="0.25">
      <c r="A1442" s="2">
        <v>1441</v>
      </c>
      <c r="B1442" s="3" t="s">
        <v>9</v>
      </c>
      <c r="C1442" s="4" t="str">
        <f t="shared" si="119"/>
        <v>Điện Biên</v>
      </c>
      <c r="D1442" s="3" t="s">
        <v>149</v>
      </c>
      <c r="E1442" s="4" t="str">
        <f t="shared" si="120"/>
        <v>Huyện Mường Ảng</v>
      </c>
      <c r="F1442" s="3" t="s">
        <v>2206</v>
      </c>
      <c r="G1442" s="4" t="str">
        <f>HYPERLINK("https://diaocthongthai.com/xa-xuan-lao-muong-ang/","Xã Xuân Lao")</f>
        <v>Xã Xuân Lao</v>
      </c>
    </row>
    <row r="1443" spans="1:7" x14ac:dyDescent="0.25">
      <c r="A1443" s="2">
        <v>1442</v>
      </c>
      <c r="B1443" s="3" t="s">
        <v>9</v>
      </c>
      <c r="C1443" s="4" t="str">
        <f t="shared" si="119"/>
        <v>Điện Biên</v>
      </c>
      <c r="D1443" s="3" t="s">
        <v>149</v>
      </c>
      <c r="E1443" s="4" t="str">
        <f t="shared" si="120"/>
        <v>Huyện Mường Ảng</v>
      </c>
      <c r="F1443" s="3" t="s">
        <v>2207</v>
      </c>
      <c r="G1443" s="4" t="str">
        <f>HYPERLINK("https://diaocthongthai.com/xa-ang-nua-muong-ang/","Xã Ẳng Nưa")</f>
        <v>Xã Ẳng Nưa</v>
      </c>
    </row>
    <row r="1444" spans="1:7" x14ac:dyDescent="0.25">
      <c r="A1444" s="2">
        <v>1443</v>
      </c>
      <c r="B1444" s="3" t="s">
        <v>9</v>
      </c>
      <c r="C1444" s="4" t="str">
        <f t="shared" si="119"/>
        <v>Điện Biên</v>
      </c>
      <c r="D1444" s="3" t="s">
        <v>149</v>
      </c>
      <c r="E1444" s="4" t="str">
        <f t="shared" si="120"/>
        <v>Huyện Mường Ảng</v>
      </c>
      <c r="F1444" s="3" t="s">
        <v>2208</v>
      </c>
      <c r="G1444" s="4" t="str">
        <f>HYPERLINK("https://diaocthongthai.com/xa-ang-cang-muong-ang/","Xã Ẳng Cang")</f>
        <v>Xã Ẳng Cang</v>
      </c>
    </row>
    <row r="1445" spans="1:7" x14ac:dyDescent="0.25">
      <c r="A1445" s="2">
        <v>1444</v>
      </c>
      <c r="B1445" s="3" t="s">
        <v>9</v>
      </c>
      <c r="C1445" s="4" t="str">
        <f t="shared" si="119"/>
        <v>Điện Biên</v>
      </c>
      <c r="D1445" s="3" t="s">
        <v>149</v>
      </c>
      <c r="E1445" s="4" t="str">
        <f t="shared" si="120"/>
        <v>Huyện Mường Ảng</v>
      </c>
      <c r="F1445" s="3" t="s">
        <v>2209</v>
      </c>
      <c r="G1445" s="4" t="str">
        <f>HYPERLINK("https://diaocthongthai.com/xa-nam-lich-muong-ang/","Xã Nặm Lịch")</f>
        <v>Xã Nặm Lịch</v>
      </c>
    </row>
    <row r="1446" spans="1:7" x14ac:dyDescent="0.25">
      <c r="A1446" s="2">
        <v>1445</v>
      </c>
      <c r="B1446" s="3" t="s">
        <v>9</v>
      </c>
      <c r="C1446" s="4" t="str">
        <f t="shared" si="119"/>
        <v>Điện Biên</v>
      </c>
      <c r="D1446" s="3" t="s">
        <v>149</v>
      </c>
      <c r="E1446" s="4" t="str">
        <f t="shared" si="120"/>
        <v>Huyện Mường Ảng</v>
      </c>
      <c r="F1446" s="3" t="s">
        <v>2210</v>
      </c>
      <c r="G1446" s="4" t="str">
        <f>HYPERLINK("https://diaocthongthai.com/xa-muong-lan-muong-ang/","Xã Mường Lạn")</f>
        <v>Xã Mường Lạn</v>
      </c>
    </row>
    <row r="1447" spans="1:7" x14ac:dyDescent="0.25">
      <c r="A1447" s="2">
        <v>1446</v>
      </c>
      <c r="B1447" s="3" t="s">
        <v>9</v>
      </c>
      <c r="C1447" s="4" t="str">
        <f t="shared" si="119"/>
        <v>Điện Biên</v>
      </c>
      <c r="D1447" s="3" t="s">
        <v>150</v>
      </c>
      <c r="E1447" s="4" t="str">
        <f t="shared" ref="E1447:E1461" si="121">HYPERLINK("https://diaocthongthai.com/ban-do-huyen-nam-po-dien-bien/","Huyện Nậm Pồ")</f>
        <v>Huyện Nậm Pồ</v>
      </c>
      <c r="F1447" s="3" t="s">
        <v>2211</v>
      </c>
      <c r="G1447" s="4" t="str">
        <f>HYPERLINK("https://diaocthongthai.com/xa-nam-tin-nam-po/","Xã Nậm Tin")</f>
        <v>Xã Nậm Tin</v>
      </c>
    </row>
    <row r="1448" spans="1:7" x14ac:dyDescent="0.25">
      <c r="A1448" s="2">
        <v>1447</v>
      </c>
      <c r="B1448" s="3" t="s">
        <v>9</v>
      </c>
      <c r="C1448" s="4" t="str">
        <f t="shared" si="119"/>
        <v>Điện Biên</v>
      </c>
      <c r="D1448" s="3" t="s">
        <v>150</v>
      </c>
      <c r="E1448" s="4" t="str">
        <f t="shared" si="121"/>
        <v>Huyện Nậm Pồ</v>
      </c>
      <c r="F1448" s="3" t="s">
        <v>2212</v>
      </c>
      <c r="G1448" s="4" t="str">
        <f>HYPERLINK("https://diaocthongthai.com/xa-pa-tan-nam-po/","Xã Pa Tần")</f>
        <v>Xã Pa Tần</v>
      </c>
    </row>
    <row r="1449" spans="1:7" x14ac:dyDescent="0.25">
      <c r="A1449" s="2">
        <v>1448</v>
      </c>
      <c r="B1449" s="3" t="s">
        <v>9</v>
      </c>
      <c r="C1449" s="4" t="str">
        <f t="shared" si="119"/>
        <v>Điện Biên</v>
      </c>
      <c r="D1449" s="3" t="s">
        <v>150</v>
      </c>
      <c r="E1449" s="4" t="str">
        <f t="shared" si="121"/>
        <v>Huyện Nậm Pồ</v>
      </c>
      <c r="F1449" s="3" t="s">
        <v>2213</v>
      </c>
      <c r="G1449" s="4" t="str">
        <f>HYPERLINK("https://diaocthongthai.com/xa-cha-cang-nam-po/","Xã Chà Cang")</f>
        <v>Xã Chà Cang</v>
      </c>
    </row>
    <row r="1450" spans="1:7" x14ac:dyDescent="0.25">
      <c r="A1450" s="2">
        <v>1449</v>
      </c>
      <c r="B1450" s="3" t="s">
        <v>9</v>
      </c>
      <c r="C1450" s="4" t="str">
        <f t="shared" si="119"/>
        <v>Điện Biên</v>
      </c>
      <c r="D1450" s="3" t="s">
        <v>150</v>
      </c>
      <c r="E1450" s="4" t="str">
        <f t="shared" si="121"/>
        <v>Huyện Nậm Pồ</v>
      </c>
      <c r="F1450" s="3" t="s">
        <v>2214</v>
      </c>
      <c r="G1450" s="4" t="str">
        <f>HYPERLINK("https://diaocthongthai.com/xa-na-co-sa-nam-po/","Xã Na Cô Sa")</f>
        <v>Xã Na Cô Sa</v>
      </c>
    </row>
    <row r="1451" spans="1:7" x14ac:dyDescent="0.25">
      <c r="A1451" s="2">
        <v>1450</v>
      </c>
      <c r="B1451" s="3" t="s">
        <v>9</v>
      </c>
      <c r="C1451" s="4" t="str">
        <f t="shared" si="119"/>
        <v>Điện Biên</v>
      </c>
      <c r="D1451" s="3" t="s">
        <v>150</v>
      </c>
      <c r="E1451" s="4" t="str">
        <f t="shared" si="121"/>
        <v>Huyện Nậm Pồ</v>
      </c>
      <c r="F1451" s="3" t="s">
        <v>2215</v>
      </c>
      <c r="G1451" s="4" t="str">
        <f>HYPERLINK("https://diaocthongthai.com/xa-na-khoa-nam-po/","Xã Nà Khoa")</f>
        <v>Xã Nà Khoa</v>
      </c>
    </row>
    <row r="1452" spans="1:7" x14ac:dyDescent="0.25">
      <c r="A1452" s="2">
        <v>1451</v>
      </c>
      <c r="B1452" s="3" t="s">
        <v>9</v>
      </c>
      <c r="C1452" s="4" t="str">
        <f t="shared" si="119"/>
        <v>Điện Biên</v>
      </c>
      <c r="D1452" s="3" t="s">
        <v>150</v>
      </c>
      <c r="E1452" s="4" t="str">
        <f t="shared" si="121"/>
        <v>Huyện Nậm Pồ</v>
      </c>
      <c r="F1452" s="3" t="s">
        <v>2216</v>
      </c>
      <c r="G1452" s="4" t="str">
        <f>HYPERLINK("https://diaocthongthai.com/xa-na-hy-nam-po/","Xã Nà Hỳ")</f>
        <v>Xã Nà Hỳ</v>
      </c>
    </row>
    <row r="1453" spans="1:7" x14ac:dyDescent="0.25">
      <c r="A1453" s="2">
        <v>1452</v>
      </c>
      <c r="B1453" s="3" t="s">
        <v>9</v>
      </c>
      <c r="C1453" s="4" t="str">
        <f t="shared" si="119"/>
        <v>Điện Biên</v>
      </c>
      <c r="D1453" s="3" t="s">
        <v>150</v>
      </c>
      <c r="E1453" s="4" t="str">
        <f t="shared" si="121"/>
        <v>Huyện Nậm Pồ</v>
      </c>
      <c r="F1453" s="3" t="s">
        <v>2217</v>
      </c>
      <c r="G1453" s="4" t="str">
        <f>HYPERLINK("https://diaocthongthai.com/xa-na-bung-nam-po/","Xã Nà Bủng")</f>
        <v>Xã Nà Bủng</v>
      </c>
    </row>
    <row r="1454" spans="1:7" x14ac:dyDescent="0.25">
      <c r="A1454" s="2">
        <v>1453</v>
      </c>
      <c r="B1454" s="3" t="s">
        <v>9</v>
      </c>
      <c r="C1454" s="4" t="str">
        <f t="shared" si="119"/>
        <v>Điện Biên</v>
      </c>
      <c r="D1454" s="3" t="s">
        <v>150</v>
      </c>
      <c r="E1454" s="4" t="str">
        <f t="shared" si="121"/>
        <v>Huyện Nậm Pồ</v>
      </c>
      <c r="F1454" s="3" t="s">
        <v>2218</v>
      </c>
      <c r="G1454" s="4" t="str">
        <f>HYPERLINK("https://diaocthongthai.com/xa-nam-nhu-nam-po/","Xã Nậm Nhừ")</f>
        <v>Xã Nậm Nhừ</v>
      </c>
    </row>
    <row r="1455" spans="1:7" x14ac:dyDescent="0.25">
      <c r="A1455" s="2">
        <v>1454</v>
      </c>
      <c r="B1455" s="3" t="s">
        <v>9</v>
      </c>
      <c r="C1455" s="4" t="str">
        <f t="shared" si="119"/>
        <v>Điện Biên</v>
      </c>
      <c r="D1455" s="3" t="s">
        <v>150</v>
      </c>
      <c r="E1455" s="4" t="str">
        <f t="shared" si="121"/>
        <v>Huyện Nậm Pồ</v>
      </c>
      <c r="F1455" s="3" t="s">
        <v>2219</v>
      </c>
      <c r="G1455" s="4" t="str">
        <f>HYPERLINK("https://diaocthongthai.com/xa-nam-chua-nam-po/","Xã Nậm Chua")</f>
        <v>Xã Nậm Chua</v>
      </c>
    </row>
    <row r="1456" spans="1:7" x14ac:dyDescent="0.25">
      <c r="A1456" s="2">
        <v>1455</v>
      </c>
      <c r="B1456" s="3" t="s">
        <v>9</v>
      </c>
      <c r="C1456" s="4" t="str">
        <f t="shared" si="119"/>
        <v>Điện Biên</v>
      </c>
      <c r="D1456" s="3" t="s">
        <v>150</v>
      </c>
      <c r="E1456" s="4" t="str">
        <f t="shared" si="121"/>
        <v>Huyện Nậm Pồ</v>
      </c>
      <c r="F1456" s="3" t="s">
        <v>2220</v>
      </c>
      <c r="G1456" s="4" t="str">
        <f>HYPERLINK("https://diaocthongthai.com/xa-nam-khan-nam-po/","Xã Nậm Khăn")</f>
        <v>Xã Nậm Khăn</v>
      </c>
    </row>
    <row r="1457" spans="1:7" x14ac:dyDescent="0.25">
      <c r="A1457" s="2">
        <v>1456</v>
      </c>
      <c r="B1457" s="3" t="s">
        <v>9</v>
      </c>
      <c r="C1457" s="4" t="str">
        <f t="shared" si="119"/>
        <v>Điện Biên</v>
      </c>
      <c r="D1457" s="3" t="s">
        <v>150</v>
      </c>
      <c r="E1457" s="4" t="str">
        <f t="shared" si="121"/>
        <v>Huyện Nậm Pồ</v>
      </c>
      <c r="F1457" s="3" t="s">
        <v>2221</v>
      </c>
      <c r="G1457" s="4" t="str">
        <f>HYPERLINK("https://diaocthongthai.com/xa-cha-to-nam-po/","Xã Chà Tở")</f>
        <v>Xã Chà Tở</v>
      </c>
    </row>
    <row r="1458" spans="1:7" x14ac:dyDescent="0.25">
      <c r="A1458" s="2">
        <v>1457</v>
      </c>
      <c r="B1458" s="3" t="s">
        <v>9</v>
      </c>
      <c r="C1458" s="4" t="str">
        <f t="shared" si="119"/>
        <v>Điện Biên</v>
      </c>
      <c r="D1458" s="3" t="s">
        <v>150</v>
      </c>
      <c r="E1458" s="4" t="str">
        <f t="shared" si="121"/>
        <v>Huyện Nậm Pồ</v>
      </c>
      <c r="F1458" s="3" t="s">
        <v>2222</v>
      </c>
      <c r="G1458" s="4" t="str">
        <f>HYPERLINK("https://diaocthongthai.com/xa-vang-dan-nam-po/","Xã Vàng Đán")</f>
        <v>Xã Vàng Đán</v>
      </c>
    </row>
    <row r="1459" spans="1:7" x14ac:dyDescent="0.25">
      <c r="A1459" s="2">
        <v>1458</v>
      </c>
      <c r="B1459" s="3" t="s">
        <v>9</v>
      </c>
      <c r="C1459" s="4" t="str">
        <f t="shared" si="119"/>
        <v>Điện Biên</v>
      </c>
      <c r="D1459" s="3" t="s">
        <v>150</v>
      </c>
      <c r="E1459" s="4" t="str">
        <f t="shared" si="121"/>
        <v>Huyện Nậm Pồ</v>
      </c>
      <c r="F1459" s="3" t="s">
        <v>2223</v>
      </c>
      <c r="G1459" s="4" t="str">
        <f>HYPERLINK("https://diaocthongthai.com/xa-cha-nua-nam-po/","Xã Chà Nưa")</f>
        <v>Xã Chà Nưa</v>
      </c>
    </row>
    <row r="1460" spans="1:7" x14ac:dyDescent="0.25">
      <c r="A1460" s="2">
        <v>1459</v>
      </c>
      <c r="B1460" s="3" t="s">
        <v>9</v>
      </c>
      <c r="C1460" s="4" t="str">
        <f t="shared" si="119"/>
        <v>Điện Biên</v>
      </c>
      <c r="D1460" s="3" t="s">
        <v>150</v>
      </c>
      <c r="E1460" s="4" t="str">
        <f t="shared" si="121"/>
        <v>Huyện Nậm Pồ</v>
      </c>
      <c r="F1460" s="3" t="s">
        <v>2224</v>
      </c>
      <c r="G1460" s="4" t="str">
        <f>HYPERLINK("https://diaocthongthai.com/xa-phin-ho-nam-po/","Xã Phìn Hồ")</f>
        <v>Xã Phìn Hồ</v>
      </c>
    </row>
    <row r="1461" spans="1:7" x14ac:dyDescent="0.25">
      <c r="A1461" s="2">
        <v>1460</v>
      </c>
      <c r="B1461" s="3" t="s">
        <v>9</v>
      </c>
      <c r="C1461" s="4" t="str">
        <f t="shared" si="119"/>
        <v>Điện Biên</v>
      </c>
      <c r="D1461" s="3" t="s">
        <v>150</v>
      </c>
      <c r="E1461" s="4" t="str">
        <f t="shared" si="121"/>
        <v>Huyện Nậm Pồ</v>
      </c>
      <c r="F1461" s="3" t="s">
        <v>2225</v>
      </c>
      <c r="G1461" s="4" t="str">
        <f>HYPERLINK("https://diaocthongthai.com/xa-si-pa-phin-nam-po/","Xã Si Pa Phìn")</f>
        <v>Xã Si Pa Phìn</v>
      </c>
    </row>
    <row r="1462" spans="1:7" x14ac:dyDescent="0.25">
      <c r="A1462" s="2">
        <v>1461</v>
      </c>
      <c r="B1462" s="3" t="s">
        <v>10</v>
      </c>
      <c r="C1462" s="4" t="str">
        <f t="shared" ref="C1462:C1493" si="122">HYPERLINK("https://diaocthongthai.com/ban-do-lai-chau/","Lai Châu")</f>
        <v>Lai Châu</v>
      </c>
      <c r="D1462" s="3" t="s">
        <v>151</v>
      </c>
      <c r="E1462" s="4" t="str">
        <f t="shared" ref="E1462:E1468" si="123">HYPERLINK("https://diaocthongthai.com/ban-do-tp-lai-chau-lai-chau/","Thành phố Lai Châu")</f>
        <v>Thành phố Lai Châu</v>
      </c>
      <c r="F1462" s="3" t="s">
        <v>2226</v>
      </c>
      <c r="G1462" s="4" t="str">
        <f>HYPERLINK("https://diaocthongthai.com/phuong-quyet-thang-tp-lai-chau/","Phường Quyết Thắng")</f>
        <v>Phường Quyết Thắng</v>
      </c>
    </row>
    <row r="1463" spans="1:7" x14ac:dyDescent="0.25">
      <c r="A1463" s="2">
        <v>1462</v>
      </c>
      <c r="B1463" s="3" t="s">
        <v>10</v>
      </c>
      <c r="C1463" s="4" t="str">
        <f t="shared" si="122"/>
        <v>Lai Châu</v>
      </c>
      <c r="D1463" s="3" t="s">
        <v>151</v>
      </c>
      <c r="E1463" s="4" t="str">
        <f t="shared" si="123"/>
        <v>Thành phố Lai Châu</v>
      </c>
      <c r="F1463" s="3" t="s">
        <v>2227</v>
      </c>
      <c r="G1463" s="4" t="str">
        <f>HYPERLINK("https://diaocthongthai.com/phuong-tan-phong-tp-lai-chau/","Phường Tân Phong")</f>
        <v>Phường Tân Phong</v>
      </c>
    </row>
    <row r="1464" spans="1:7" x14ac:dyDescent="0.25">
      <c r="A1464" s="2">
        <v>1463</v>
      </c>
      <c r="B1464" s="3" t="s">
        <v>10</v>
      </c>
      <c r="C1464" s="4" t="str">
        <f t="shared" si="122"/>
        <v>Lai Châu</v>
      </c>
      <c r="D1464" s="3" t="s">
        <v>151</v>
      </c>
      <c r="E1464" s="4" t="str">
        <f t="shared" si="123"/>
        <v>Thành phố Lai Châu</v>
      </c>
      <c r="F1464" s="3" t="s">
        <v>2228</v>
      </c>
      <c r="G1464" s="4" t="str">
        <f>HYPERLINK("https://diaocthongthai.com/phuong-quyet-tien-tp-lai-chau/","Phường Quyết Tiến")</f>
        <v>Phường Quyết Tiến</v>
      </c>
    </row>
    <row r="1465" spans="1:7" x14ac:dyDescent="0.25">
      <c r="A1465" s="2">
        <v>1464</v>
      </c>
      <c r="B1465" s="3" t="s">
        <v>10</v>
      </c>
      <c r="C1465" s="4" t="str">
        <f t="shared" si="122"/>
        <v>Lai Châu</v>
      </c>
      <c r="D1465" s="3" t="s">
        <v>151</v>
      </c>
      <c r="E1465" s="4" t="str">
        <f t="shared" si="123"/>
        <v>Thành phố Lai Châu</v>
      </c>
      <c r="F1465" s="3" t="s">
        <v>2229</v>
      </c>
      <c r="G1465" s="4" t="str">
        <f>HYPERLINK("https://diaocthongthai.com/phuong-doan-ket-tp-lai-chau/","Phường Đoàn Kết")</f>
        <v>Phường Đoàn Kết</v>
      </c>
    </row>
    <row r="1466" spans="1:7" x14ac:dyDescent="0.25">
      <c r="A1466" s="2">
        <v>1465</v>
      </c>
      <c r="B1466" s="3" t="s">
        <v>10</v>
      </c>
      <c r="C1466" s="4" t="str">
        <f t="shared" si="122"/>
        <v>Lai Châu</v>
      </c>
      <c r="D1466" s="3" t="s">
        <v>151</v>
      </c>
      <c r="E1466" s="4" t="str">
        <f t="shared" si="123"/>
        <v>Thành phố Lai Châu</v>
      </c>
      <c r="F1466" s="3" t="s">
        <v>2230</v>
      </c>
      <c r="G1466" s="4" t="str">
        <f>HYPERLINK("https://diaocthongthai.com/xa-sung-phai-tp-lai-chau/","Xã Sùng Phài")</f>
        <v>Xã Sùng Phài</v>
      </c>
    </row>
    <row r="1467" spans="1:7" x14ac:dyDescent="0.25">
      <c r="A1467" s="2">
        <v>1466</v>
      </c>
      <c r="B1467" s="3" t="s">
        <v>10</v>
      </c>
      <c r="C1467" s="4" t="str">
        <f t="shared" si="122"/>
        <v>Lai Châu</v>
      </c>
      <c r="D1467" s="3" t="s">
        <v>151</v>
      </c>
      <c r="E1467" s="4" t="str">
        <f t="shared" si="123"/>
        <v>Thành phố Lai Châu</v>
      </c>
      <c r="F1467" s="3" t="s">
        <v>2231</v>
      </c>
      <c r="G1467" s="4" t="str">
        <f>HYPERLINK("https://diaocthongthai.com/phuong-dong-phong-tp-lai-chau/","Phường Đông Phong")</f>
        <v>Phường Đông Phong</v>
      </c>
    </row>
    <row r="1468" spans="1:7" x14ac:dyDescent="0.25">
      <c r="A1468" s="2">
        <v>1467</v>
      </c>
      <c r="B1468" s="3" t="s">
        <v>10</v>
      </c>
      <c r="C1468" s="4" t="str">
        <f t="shared" si="122"/>
        <v>Lai Châu</v>
      </c>
      <c r="D1468" s="3" t="s">
        <v>151</v>
      </c>
      <c r="E1468" s="4" t="str">
        <f t="shared" si="123"/>
        <v>Thành phố Lai Châu</v>
      </c>
      <c r="F1468" s="3" t="s">
        <v>2232</v>
      </c>
      <c r="G1468" s="4" t="str">
        <f>HYPERLINK("https://diaocthongthai.com/xa-san-thang-tp-lai-chau/","Xã San Thàng")</f>
        <v>Xã San Thàng</v>
      </c>
    </row>
    <row r="1469" spans="1:7" x14ac:dyDescent="0.25">
      <c r="A1469" s="2">
        <v>1468</v>
      </c>
      <c r="B1469" s="3" t="s">
        <v>10</v>
      </c>
      <c r="C1469" s="4" t="str">
        <f t="shared" si="122"/>
        <v>Lai Châu</v>
      </c>
      <c r="D1469" s="3" t="s">
        <v>152</v>
      </c>
      <c r="E1469" s="4" t="str">
        <f t="shared" ref="E1469:E1481" si="124">HYPERLINK("https://diaocthongthai.com/ban-do-huyen-tam-duong-lai-chau/","Huyện Tam Đường")</f>
        <v>Huyện Tam Đường</v>
      </c>
      <c r="F1469" s="3" t="s">
        <v>2233</v>
      </c>
      <c r="G1469" s="4" t="str">
        <f>HYPERLINK("https://diaocthongthai.com/thi-tran-tam-duong-tam-duong-lai-chau/","Thị trấn Tam Đường")</f>
        <v>Thị trấn Tam Đường</v>
      </c>
    </row>
    <row r="1470" spans="1:7" x14ac:dyDescent="0.25">
      <c r="A1470" s="2">
        <v>1469</v>
      </c>
      <c r="B1470" s="3" t="s">
        <v>10</v>
      </c>
      <c r="C1470" s="4" t="str">
        <f t="shared" si="122"/>
        <v>Lai Châu</v>
      </c>
      <c r="D1470" s="3" t="s">
        <v>152</v>
      </c>
      <c r="E1470" s="4" t="str">
        <f t="shared" si="124"/>
        <v>Huyện Tam Đường</v>
      </c>
      <c r="F1470" s="3" t="s">
        <v>2234</v>
      </c>
      <c r="G1470" s="4" t="str">
        <f>HYPERLINK("https://diaocthongthai.com/xa-then-xin-tam-duong-lai-chau/","Xã Thèn Sin")</f>
        <v>Xã Thèn Sin</v>
      </c>
    </row>
    <row r="1471" spans="1:7" x14ac:dyDescent="0.25">
      <c r="A1471" s="2">
        <v>1470</v>
      </c>
      <c r="B1471" s="3" t="s">
        <v>10</v>
      </c>
      <c r="C1471" s="4" t="str">
        <f t="shared" si="122"/>
        <v>Lai Châu</v>
      </c>
      <c r="D1471" s="3" t="s">
        <v>152</v>
      </c>
      <c r="E1471" s="4" t="str">
        <f t="shared" si="124"/>
        <v>Huyện Tam Đường</v>
      </c>
      <c r="F1471" s="3" t="s">
        <v>2235</v>
      </c>
      <c r="G1471" s="4" t="str">
        <f>HYPERLINK("https://diaocthongthai.com/xa-ta-leng-tam-duong-lai-chau/","Xã Tả Lèng")</f>
        <v>Xã Tả Lèng</v>
      </c>
    </row>
    <row r="1472" spans="1:7" x14ac:dyDescent="0.25">
      <c r="A1472" s="2">
        <v>1471</v>
      </c>
      <c r="B1472" s="3" t="s">
        <v>10</v>
      </c>
      <c r="C1472" s="4" t="str">
        <f t="shared" si="122"/>
        <v>Lai Châu</v>
      </c>
      <c r="D1472" s="3" t="s">
        <v>152</v>
      </c>
      <c r="E1472" s="4" t="str">
        <f t="shared" si="124"/>
        <v>Huyện Tam Đường</v>
      </c>
      <c r="F1472" s="3" t="s">
        <v>2236</v>
      </c>
      <c r="G1472" s="4" t="str">
        <f>HYPERLINK("https://diaocthongthai.com/xa-giang-ma-tam-duong-lai-chau/","Xã Giang Ma")</f>
        <v>Xã Giang Ma</v>
      </c>
    </row>
    <row r="1473" spans="1:7" x14ac:dyDescent="0.25">
      <c r="A1473" s="2">
        <v>1472</v>
      </c>
      <c r="B1473" s="3" t="s">
        <v>10</v>
      </c>
      <c r="C1473" s="4" t="str">
        <f t="shared" si="122"/>
        <v>Lai Châu</v>
      </c>
      <c r="D1473" s="3" t="s">
        <v>152</v>
      </c>
      <c r="E1473" s="4" t="str">
        <f t="shared" si="124"/>
        <v>Huyện Tam Đường</v>
      </c>
      <c r="F1473" s="3" t="s">
        <v>2237</v>
      </c>
      <c r="G1473" s="4" t="str">
        <f>HYPERLINK("https://diaocthongthai.com/xa-ho-thau-tam-duong-lai-chau/","Xã Hồ Thầu")</f>
        <v>Xã Hồ Thầu</v>
      </c>
    </row>
    <row r="1474" spans="1:7" x14ac:dyDescent="0.25">
      <c r="A1474" s="2">
        <v>1473</v>
      </c>
      <c r="B1474" s="3" t="s">
        <v>10</v>
      </c>
      <c r="C1474" s="4" t="str">
        <f t="shared" si="122"/>
        <v>Lai Châu</v>
      </c>
      <c r="D1474" s="3" t="s">
        <v>152</v>
      </c>
      <c r="E1474" s="4" t="str">
        <f t="shared" si="124"/>
        <v>Huyện Tam Đường</v>
      </c>
      <c r="F1474" s="3" t="s">
        <v>2238</v>
      </c>
      <c r="G1474" s="4" t="str">
        <f>HYPERLINK("https://diaocthongthai.com/xa-binh-lu-tam-duong-lai-chau/","Xã Bình Lư")</f>
        <v>Xã Bình Lư</v>
      </c>
    </row>
    <row r="1475" spans="1:7" x14ac:dyDescent="0.25">
      <c r="A1475" s="2">
        <v>1474</v>
      </c>
      <c r="B1475" s="3" t="s">
        <v>10</v>
      </c>
      <c r="C1475" s="4" t="str">
        <f t="shared" si="122"/>
        <v>Lai Châu</v>
      </c>
      <c r="D1475" s="3" t="s">
        <v>152</v>
      </c>
      <c r="E1475" s="4" t="str">
        <f t="shared" si="124"/>
        <v>Huyện Tam Đường</v>
      </c>
      <c r="F1475" s="3" t="s">
        <v>2239</v>
      </c>
      <c r="G1475" s="4" t="str">
        <f>HYPERLINK("https://diaocthongthai.com/xa-son-binh-tam-duong-lai-chau/","Xã Sơn Bình")</f>
        <v>Xã Sơn Bình</v>
      </c>
    </row>
    <row r="1476" spans="1:7" x14ac:dyDescent="0.25">
      <c r="A1476" s="2">
        <v>1475</v>
      </c>
      <c r="B1476" s="3" t="s">
        <v>10</v>
      </c>
      <c r="C1476" s="4" t="str">
        <f t="shared" si="122"/>
        <v>Lai Châu</v>
      </c>
      <c r="D1476" s="3" t="s">
        <v>152</v>
      </c>
      <c r="E1476" s="4" t="str">
        <f t="shared" si="124"/>
        <v>Huyện Tam Đường</v>
      </c>
      <c r="F1476" s="3" t="s">
        <v>2240</v>
      </c>
      <c r="G1476" s="4" t="str">
        <f>HYPERLINK("https://diaocthongthai.com/xa-nung-nang-tam-duong-lai-chau/","Xã Nùng Nàng")</f>
        <v>Xã Nùng Nàng</v>
      </c>
    </row>
    <row r="1477" spans="1:7" x14ac:dyDescent="0.25">
      <c r="A1477" s="2">
        <v>1476</v>
      </c>
      <c r="B1477" s="3" t="s">
        <v>10</v>
      </c>
      <c r="C1477" s="4" t="str">
        <f t="shared" si="122"/>
        <v>Lai Châu</v>
      </c>
      <c r="D1477" s="3" t="s">
        <v>152</v>
      </c>
      <c r="E1477" s="4" t="str">
        <f t="shared" si="124"/>
        <v>Huyện Tam Đường</v>
      </c>
      <c r="F1477" s="3" t="s">
        <v>2241</v>
      </c>
      <c r="G1477" s="4" t="str">
        <f>HYPERLINK("https://diaocthongthai.com/xa-ban-giang-tam-duong-lai-chau/","Xã Bản Giang")</f>
        <v>Xã Bản Giang</v>
      </c>
    </row>
    <row r="1478" spans="1:7" x14ac:dyDescent="0.25">
      <c r="A1478" s="2">
        <v>1477</v>
      </c>
      <c r="B1478" s="3" t="s">
        <v>10</v>
      </c>
      <c r="C1478" s="4" t="str">
        <f t="shared" si="122"/>
        <v>Lai Châu</v>
      </c>
      <c r="D1478" s="3" t="s">
        <v>152</v>
      </c>
      <c r="E1478" s="4" t="str">
        <f t="shared" si="124"/>
        <v>Huyện Tam Đường</v>
      </c>
      <c r="F1478" s="3" t="s">
        <v>2242</v>
      </c>
      <c r="G1478" s="4" t="str">
        <f>HYPERLINK("https://diaocthongthai.com/xa-ban-hon-tam-duong-lai-chau/","Xã Bản Hon")</f>
        <v>Xã Bản Hon</v>
      </c>
    </row>
    <row r="1479" spans="1:7" x14ac:dyDescent="0.25">
      <c r="A1479" s="2">
        <v>1478</v>
      </c>
      <c r="B1479" s="3" t="s">
        <v>10</v>
      </c>
      <c r="C1479" s="4" t="str">
        <f t="shared" si="122"/>
        <v>Lai Châu</v>
      </c>
      <c r="D1479" s="3" t="s">
        <v>152</v>
      </c>
      <c r="E1479" s="4" t="str">
        <f t="shared" si="124"/>
        <v>Huyện Tam Đường</v>
      </c>
      <c r="F1479" s="3" t="s">
        <v>2243</v>
      </c>
      <c r="G1479" s="4" t="str">
        <f>HYPERLINK("https://diaocthongthai.com/xa-ban-bo-tam-duong-lai-chau/","Xã Bản Bo")</f>
        <v>Xã Bản Bo</v>
      </c>
    </row>
    <row r="1480" spans="1:7" x14ac:dyDescent="0.25">
      <c r="A1480" s="2">
        <v>1479</v>
      </c>
      <c r="B1480" s="3" t="s">
        <v>10</v>
      </c>
      <c r="C1480" s="4" t="str">
        <f t="shared" si="122"/>
        <v>Lai Châu</v>
      </c>
      <c r="D1480" s="3" t="s">
        <v>152</v>
      </c>
      <c r="E1480" s="4" t="str">
        <f t="shared" si="124"/>
        <v>Huyện Tam Đường</v>
      </c>
      <c r="F1480" s="3" t="s">
        <v>2244</v>
      </c>
      <c r="G1480" s="4" t="str">
        <f>HYPERLINK("https://diaocthongthai.com/xa-na-tam-tam-duong-lai-chau/","Xã Nà Tăm")</f>
        <v>Xã Nà Tăm</v>
      </c>
    </row>
    <row r="1481" spans="1:7" x14ac:dyDescent="0.25">
      <c r="A1481" s="2">
        <v>1480</v>
      </c>
      <c r="B1481" s="3" t="s">
        <v>10</v>
      </c>
      <c r="C1481" s="4" t="str">
        <f t="shared" si="122"/>
        <v>Lai Châu</v>
      </c>
      <c r="D1481" s="3" t="s">
        <v>152</v>
      </c>
      <c r="E1481" s="4" t="str">
        <f t="shared" si="124"/>
        <v>Huyện Tam Đường</v>
      </c>
      <c r="F1481" s="3" t="s">
        <v>2245</v>
      </c>
      <c r="G1481" s="4" t="str">
        <f>HYPERLINK("https://diaocthongthai.com/xa-khun-ha-tam-duong-lai-chau/","Xã Khun Há")</f>
        <v>Xã Khun Há</v>
      </c>
    </row>
    <row r="1482" spans="1:7" x14ac:dyDescent="0.25">
      <c r="A1482" s="2">
        <v>1481</v>
      </c>
      <c r="B1482" s="3" t="s">
        <v>10</v>
      </c>
      <c r="C1482" s="4" t="str">
        <f t="shared" si="122"/>
        <v>Lai Châu</v>
      </c>
      <c r="D1482" s="3" t="s">
        <v>153</v>
      </c>
      <c r="E1482" s="4" t="str">
        <f t="shared" ref="E1482:E1495" si="125">HYPERLINK("https://diaocthongthai.com/ban-do-huyen-muong-te-lai-chau/","Huyện Mường Tè")</f>
        <v>Huyện Mường Tè</v>
      </c>
      <c r="F1482" s="3" t="s">
        <v>2246</v>
      </c>
      <c r="G1482" s="4" t="str">
        <f>HYPERLINK("https://diaocthongthai.com/thi-tran-muong-te-muong-te/","Thị trấn Mường Tè")</f>
        <v>Thị trấn Mường Tè</v>
      </c>
    </row>
    <row r="1483" spans="1:7" x14ac:dyDescent="0.25">
      <c r="A1483" s="2">
        <v>1482</v>
      </c>
      <c r="B1483" s="3" t="s">
        <v>10</v>
      </c>
      <c r="C1483" s="4" t="str">
        <f t="shared" si="122"/>
        <v>Lai Châu</v>
      </c>
      <c r="D1483" s="3" t="s">
        <v>153</v>
      </c>
      <c r="E1483" s="4" t="str">
        <f t="shared" si="125"/>
        <v>Huyện Mường Tè</v>
      </c>
      <c r="F1483" s="3" t="s">
        <v>2247</v>
      </c>
      <c r="G1483" s="4" t="str">
        <f>HYPERLINK("https://diaocthongthai.com/xa-thu-lum-muong-te/","Xã Thu Lũm")</f>
        <v>Xã Thu Lũm</v>
      </c>
    </row>
    <row r="1484" spans="1:7" x14ac:dyDescent="0.25">
      <c r="A1484" s="2">
        <v>1483</v>
      </c>
      <c r="B1484" s="3" t="s">
        <v>10</v>
      </c>
      <c r="C1484" s="4" t="str">
        <f t="shared" si="122"/>
        <v>Lai Châu</v>
      </c>
      <c r="D1484" s="3" t="s">
        <v>153</v>
      </c>
      <c r="E1484" s="4" t="str">
        <f t="shared" si="125"/>
        <v>Huyện Mường Tè</v>
      </c>
      <c r="F1484" s="3" t="s">
        <v>2248</v>
      </c>
      <c r="G1484" s="4" t="str">
        <f>HYPERLINK("https://diaocthongthai.com/xa-ka-lang-muong-te/","Xã Ka Lăng")</f>
        <v>Xã Ka Lăng</v>
      </c>
    </row>
    <row r="1485" spans="1:7" x14ac:dyDescent="0.25">
      <c r="A1485" s="2">
        <v>1484</v>
      </c>
      <c r="B1485" s="3" t="s">
        <v>10</v>
      </c>
      <c r="C1485" s="4" t="str">
        <f t="shared" si="122"/>
        <v>Lai Châu</v>
      </c>
      <c r="D1485" s="3" t="s">
        <v>153</v>
      </c>
      <c r="E1485" s="4" t="str">
        <f t="shared" si="125"/>
        <v>Huyện Mường Tè</v>
      </c>
      <c r="F1485" s="3" t="s">
        <v>2249</v>
      </c>
      <c r="G1485" s="4" t="str">
        <f>HYPERLINK("https://diaocthongthai.com/xa-ta-ba-muong-te/","Xã Tá Bạ")</f>
        <v>Xã Tá Bạ</v>
      </c>
    </row>
    <row r="1486" spans="1:7" x14ac:dyDescent="0.25">
      <c r="A1486" s="2">
        <v>1485</v>
      </c>
      <c r="B1486" s="3" t="s">
        <v>10</v>
      </c>
      <c r="C1486" s="4" t="str">
        <f t="shared" si="122"/>
        <v>Lai Châu</v>
      </c>
      <c r="D1486" s="3" t="s">
        <v>153</v>
      </c>
      <c r="E1486" s="4" t="str">
        <f t="shared" si="125"/>
        <v>Huyện Mường Tè</v>
      </c>
      <c r="F1486" s="3" t="s">
        <v>2250</v>
      </c>
      <c r="G1486" s="4" t="str">
        <f>HYPERLINK("https://diaocthongthai.com/xa-pa-u-muong-te/","Xã Pa ủ")</f>
        <v>Xã Pa ủ</v>
      </c>
    </row>
    <row r="1487" spans="1:7" x14ac:dyDescent="0.25">
      <c r="A1487" s="2">
        <v>1486</v>
      </c>
      <c r="B1487" s="3" t="s">
        <v>10</v>
      </c>
      <c r="C1487" s="4" t="str">
        <f t="shared" si="122"/>
        <v>Lai Châu</v>
      </c>
      <c r="D1487" s="3" t="s">
        <v>153</v>
      </c>
      <c r="E1487" s="4" t="str">
        <f t="shared" si="125"/>
        <v>Huyện Mường Tè</v>
      </c>
      <c r="F1487" s="3" t="s">
        <v>2251</v>
      </c>
      <c r="G1487" s="4" t="str">
        <f>HYPERLINK("https://diaocthongthai.com/xa-muong-te-muong-te/","Xã Mường Tè")</f>
        <v>Xã Mường Tè</v>
      </c>
    </row>
    <row r="1488" spans="1:7" x14ac:dyDescent="0.25">
      <c r="A1488" s="2">
        <v>1487</v>
      </c>
      <c r="B1488" s="3" t="s">
        <v>10</v>
      </c>
      <c r="C1488" s="4" t="str">
        <f t="shared" si="122"/>
        <v>Lai Châu</v>
      </c>
      <c r="D1488" s="3" t="s">
        <v>153</v>
      </c>
      <c r="E1488" s="4" t="str">
        <f t="shared" si="125"/>
        <v>Huyện Mường Tè</v>
      </c>
      <c r="F1488" s="3" t="s">
        <v>2252</v>
      </c>
      <c r="G1488" s="4" t="str">
        <f>HYPERLINK("https://diaocthongthai.com/xa-pa-ve-su-muong-te/","Xã Pa Vệ Sử")</f>
        <v>Xã Pa Vệ Sử</v>
      </c>
    </row>
    <row r="1489" spans="1:7" x14ac:dyDescent="0.25">
      <c r="A1489" s="2">
        <v>1488</v>
      </c>
      <c r="B1489" s="3" t="s">
        <v>10</v>
      </c>
      <c r="C1489" s="4" t="str">
        <f t="shared" si="122"/>
        <v>Lai Châu</v>
      </c>
      <c r="D1489" s="3" t="s">
        <v>153</v>
      </c>
      <c r="E1489" s="4" t="str">
        <f t="shared" si="125"/>
        <v>Huyện Mường Tè</v>
      </c>
      <c r="F1489" s="3" t="s">
        <v>2253</v>
      </c>
      <c r="G1489" s="4" t="str">
        <f>HYPERLINK("https://diaocthongthai.com/xa-mu-ca-muong-te/","Xã Mù Cả")</f>
        <v>Xã Mù Cả</v>
      </c>
    </row>
    <row r="1490" spans="1:7" x14ac:dyDescent="0.25">
      <c r="A1490" s="2">
        <v>1489</v>
      </c>
      <c r="B1490" s="3" t="s">
        <v>10</v>
      </c>
      <c r="C1490" s="4" t="str">
        <f t="shared" si="122"/>
        <v>Lai Châu</v>
      </c>
      <c r="D1490" s="3" t="s">
        <v>153</v>
      </c>
      <c r="E1490" s="4" t="str">
        <f t="shared" si="125"/>
        <v>Huyện Mường Tè</v>
      </c>
      <c r="F1490" s="3" t="s">
        <v>2254</v>
      </c>
      <c r="G1490" s="4" t="str">
        <f>HYPERLINK("https://diaocthongthai.com/xa-bum-to-muong-te/","Xã Bum Tở")</f>
        <v>Xã Bum Tở</v>
      </c>
    </row>
    <row r="1491" spans="1:7" x14ac:dyDescent="0.25">
      <c r="A1491" s="2">
        <v>1490</v>
      </c>
      <c r="B1491" s="3" t="s">
        <v>10</v>
      </c>
      <c r="C1491" s="4" t="str">
        <f t="shared" si="122"/>
        <v>Lai Châu</v>
      </c>
      <c r="D1491" s="3" t="s">
        <v>153</v>
      </c>
      <c r="E1491" s="4" t="str">
        <f t="shared" si="125"/>
        <v>Huyện Mường Tè</v>
      </c>
      <c r="F1491" s="3" t="s">
        <v>2255</v>
      </c>
      <c r="G1491" s="4" t="str">
        <f>HYPERLINK("https://diaocthongthai.com/xa-nam-khao-muong-te/","Xã Nậm Khao")</f>
        <v>Xã Nậm Khao</v>
      </c>
    </row>
    <row r="1492" spans="1:7" x14ac:dyDescent="0.25">
      <c r="A1492" s="2">
        <v>1491</v>
      </c>
      <c r="B1492" s="3" t="s">
        <v>10</v>
      </c>
      <c r="C1492" s="4" t="str">
        <f t="shared" si="122"/>
        <v>Lai Châu</v>
      </c>
      <c r="D1492" s="3" t="s">
        <v>153</v>
      </c>
      <c r="E1492" s="4" t="str">
        <f t="shared" si="125"/>
        <v>Huyện Mường Tè</v>
      </c>
      <c r="F1492" s="3" t="s">
        <v>2256</v>
      </c>
      <c r="G1492" s="4" t="str">
        <f>HYPERLINK("https://diaocthongthai.com/xa-ta-tong-muong-te/","Xã Tà Tổng")</f>
        <v>Xã Tà Tổng</v>
      </c>
    </row>
    <row r="1493" spans="1:7" x14ac:dyDescent="0.25">
      <c r="A1493" s="2">
        <v>1492</v>
      </c>
      <c r="B1493" s="3" t="s">
        <v>10</v>
      </c>
      <c r="C1493" s="4" t="str">
        <f t="shared" si="122"/>
        <v>Lai Châu</v>
      </c>
      <c r="D1493" s="3" t="s">
        <v>153</v>
      </c>
      <c r="E1493" s="4" t="str">
        <f t="shared" si="125"/>
        <v>Huyện Mường Tè</v>
      </c>
      <c r="F1493" s="3" t="s">
        <v>2257</v>
      </c>
      <c r="G1493" s="4" t="str">
        <f>HYPERLINK("https://diaocthongthai.com/xa-bum-nua-muong-te/","Xã Bum Nưa")</f>
        <v>Xã Bum Nưa</v>
      </c>
    </row>
    <row r="1494" spans="1:7" x14ac:dyDescent="0.25">
      <c r="A1494" s="2">
        <v>1493</v>
      </c>
      <c r="B1494" s="3" t="s">
        <v>10</v>
      </c>
      <c r="C1494" s="4" t="str">
        <f t="shared" ref="C1494:C1525" si="126">HYPERLINK("https://diaocthongthai.com/ban-do-lai-chau/","Lai Châu")</f>
        <v>Lai Châu</v>
      </c>
      <c r="D1494" s="3" t="s">
        <v>153</v>
      </c>
      <c r="E1494" s="4" t="str">
        <f t="shared" si="125"/>
        <v>Huyện Mường Tè</v>
      </c>
      <c r="F1494" s="3" t="s">
        <v>2258</v>
      </c>
      <c r="G1494" s="4" t="str">
        <f>HYPERLINK("https://diaocthongthai.com/xa-vang-san-muong-te/","Xã Vàng San")</f>
        <v>Xã Vàng San</v>
      </c>
    </row>
    <row r="1495" spans="1:7" x14ac:dyDescent="0.25">
      <c r="A1495" s="2">
        <v>1494</v>
      </c>
      <c r="B1495" s="3" t="s">
        <v>10</v>
      </c>
      <c r="C1495" s="4" t="str">
        <f t="shared" si="126"/>
        <v>Lai Châu</v>
      </c>
      <c r="D1495" s="3" t="s">
        <v>153</v>
      </c>
      <c r="E1495" s="4" t="str">
        <f t="shared" si="125"/>
        <v>Huyện Mường Tè</v>
      </c>
      <c r="F1495" s="3" t="s">
        <v>2259</v>
      </c>
      <c r="G1495" s="4" t="str">
        <f>HYPERLINK("https://diaocthongthai.com/xa-kan-ho-muong-te/","Xã Kan Hồ")</f>
        <v>Xã Kan Hồ</v>
      </c>
    </row>
    <row r="1496" spans="1:7" x14ac:dyDescent="0.25">
      <c r="A1496" s="2">
        <v>1495</v>
      </c>
      <c r="B1496" s="3" t="s">
        <v>10</v>
      </c>
      <c r="C1496" s="4" t="str">
        <f t="shared" si="126"/>
        <v>Lai Châu</v>
      </c>
      <c r="D1496" s="3" t="s">
        <v>154</v>
      </c>
      <c r="E1496" s="4" t="str">
        <f t="shared" ref="E1496:E1517" si="127">HYPERLINK("https://diaocthongthai.com/ban-do-huyen-sin-ho-lai-chau/","Huyện Sìn Hồ")</f>
        <v>Huyện Sìn Hồ</v>
      </c>
      <c r="F1496" s="3" t="s">
        <v>2260</v>
      </c>
      <c r="G1496" s="4" t="str">
        <f>HYPERLINK("https://diaocthongthai.com/thi-tran-sin-ho-sin-ho/","Thị trấn Sìn Hồ")</f>
        <v>Thị trấn Sìn Hồ</v>
      </c>
    </row>
    <row r="1497" spans="1:7" x14ac:dyDescent="0.25">
      <c r="A1497" s="2">
        <v>1496</v>
      </c>
      <c r="B1497" s="3" t="s">
        <v>10</v>
      </c>
      <c r="C1497" s="4" t="str">
        <f t="shared" si="126"/>
        <v>Lai Châu</v>
      </c>
      <c r="D1497" s="3" t="s">
        <v>154</v>
      </c>
      <c r="E1497" s="4" t="str">
        <f t="shared" si="127"/>
        <v>Huyện Sìn Hồ</v>
      </c>
      <c r="F1497" s="3" t="s">
        <v>2261</v>
      </c>
      <c r="G1497" s="4" t="str">
        <f>HYPERLINK("https://diaocthongthai.com/xa-chan-nua-sin-ho/","Xã Chăn Nưa")</f>
        <v>Xã Chăn Nưa</v>
      </c>
    </row>
    <row r="1498" spans="1:7" x14ac:dyDescent="0.25">
      <c r="A1498" s="2">
        <v>1497</v>
      </c>
      <c r="B1498" s="3" t="s">
        <v>10</v>
      </c>
      <c r="C1498" s="4" t="str">
        <f t="shared" si="126"/>
        <v>Lai Châu</v>
      </c>
      <c r="D1498" s="3" t="s">
        <v>154</v>
      </c>
      <c r="E1498" s="4" t="str">
        <f t="shared" si="127"/>
        <v>Huyện Sìn Hồ</v>
      </c>
      <c r="F1498" s="3" t="s">
        <v>2262</v>
      </c>
      <c r="G1498" s="4" t="str">
        <f>HYPERLINK("https://diaocthongthai.com/xa-pa-tan-sin-ho/","Xã Pa Tần")</f>
        <v>Xã Pa Tần</v>
      </c>
    </row>
    <row r="1499" spans="1:7" x14ac:dyDescent="0.25">
      <c r="A1499" s="2">
        <v>1498</v>
      </c>
      <c r="B1499" s="3" t="s">
        <v>10</v>
      </c>
      <c r="C1499" s="4" t="str">
        <f t="shared" si="126"/>
        <v>Lai Châu</v>
      </c>
      <c r="D1499" s="3" t="s">
        <v>154</v>
      </c>
      <c r="E1499" s="4" t="str">
        <f t="shared" si="127"/>
        <v>Huyện Sìn Hồ</v>
      </c>
      <c r="F1499" s="3" t="s">
        <v>2263</v>
      </c>
      <c r="G1499" s="4" t="str">
        <f>HYPERLINK("https://diaocthongthai.com/xa-phin-ho-sin-ho/","Xã Phìn Hồ")</f>
        <v>Xã Phìn Hồ</v>
      </c>
    </row>
    <row r="1500" spans="1:7" x14ac:dyDescent="0.25">
      <c r="A1500" s="2">
        <v>1499</v>
      </c>
      <c r="B1500" s="3" t="s">
        <v>10</v>
      </c>
      <c r="C1500" s="4" t="str">
        <f t="shared" si="126"/>
        <v>Lai Châu</v>
      </c>
      <c r="D1500" s="3" t="s">
        <v>154</v>
      </c>
      <c r="E1500" s="4" t="str">
        <f t="shared" si="127"/>
        <v>Huyện Sìn Hồ</v>
      </c>
      <c r="F1500" s="3" t="s">
        <v>2264</v>
      </c>
      <c r="G1500" s="4" t="str">
        <f>HYPERLINK("https://diaocthongthai.com/xa-hong-thu-sin-ho/","Xã Hồng Thu")</f>
        <v>Xã Hồng Thu</v>
      </c>
    </row>
    <row r="1501" spans="1:7" x14ac:dyDescent="0.25">
      <c r="A1501" s="2">
        <v>1500</v>
      </c>
      <c r="B1501" s="3" t="s">
        <v>10</v>
      </c>
      <c r="C1501" s="4" t="str">
        <f t="shared" si="126"/>
        <v>Lai Châu</v>
      </c>
      <c r="D1501" s="3" t="s">
        <v>154</v>
      </c>
      <c r="E1501" s="4" t="str">
        <f t="shared" si="127"/>
        <v>Huyện Sìn Hồ</v>
      </c>
      <c r="F1501" s="3" t="s">
        <v>2265</v>
      </c>
      <c r="G1501" s="4" t="str">
        <f>HYPERLINK("https://diaocthongthai.com/xa-phang-so-lin-sin-ho/","Xã Phăng Sô Lin")</f>
        <v>Xã Phăng Sô Lin</v>
      </c>
    </row>
    <row r="1502" spans="1:7" x14ac:dyDescent="0.25">
      <c r="A1502" s="2">
        <v>1501</v>
      </c>
      <c r="B1502" s="3" t="s">
        <v>10</v>
      </c>
      <c r="C1502" s="4" t="str">
        <f t="shared" si="126"/>
        <v>Lai Châu</v>
      </c>
      <c r="D1502" s="3" t="s">
        <v>154</v>
      </c>
      <c r="E1502" s="4" t="str">
        <f t="shared" si="127"/>
        <v>Huyện Sìn Hồ</v>
      </c>
      <c r="F1502" s="3" t="s">
        <v>2266</v>
      </c>
      <c r="G1502" s="4" t="str">
        <f>HYPERLINK("https://diaocthongthai.com/xa-ma-quai-sin-ho/","Xã Ma Quai")</f>
        <v>Xã Ma Quai</v>
      </c>
    </row>
    <row r="1503" spans="1:7" x14ac:dyDescent="0.25">
      <c r="A1503" s="2">
        <v>1502</v>
      </c>
      <c r="B1503" s="3" t="s">
        <v>10</v>
      </c>
      <c r="C1503" s="4" t="str">
        <f t="shared" si="126"/>
        <v>Lai Châu</v>
      </c>
      <c r="D1503" s="3" t="s">
        <v>154</v>
      </c>
      <c r="E1503" s="4" t="str">
        <f t="shared" si="127"/>
        <v>Huyện Sìn Hồ</v>
      </c>
      <c r="F1503" s="3" t="s">
        <v>2267</v>
      </c>
      <c r="G1503" s="4" t="str">
        <f>HYPERLINK("https://diaocthongthai.com/xa-lung-thang-sin-ho/","Xã Lùng Thàng")</f>
        <v>Xã Lùng Thàng</v>
      </c>
    </row>
    <row r="1504" spans="1:7" x14ac:dyDescent="0.25">
      <c r="A1504" s="2">
        <v>1503</v>
      </c>
      <c r="B1504" s="3" t="s">
        <v>10</v>
      </c>
      <c r="C1504" s="4" t="str">
        <f t="shared" si="126"/>
        <v>Lai Châu</v>
      </c>
      <c r="D1504" s="3" t="s">
        <v>154</v>
      </c>
      <c r="E1504" s="4" t="str">
        <f t="shared" si="127"/>
        <v>Huyện Sìn Hồ</v>
      </c>
      <c r="F1504" s="3" t="s">
        <v>2268</v>
      </c>
      <c r="G1504" s="4" t="str">
        <f>HYPERLINK("https://diaocthongthai.com/xa-ta-phin-sin-ho/","Xã Tả Phìn")</f>
        <v>Xã Tả Phìn</v>
      </c>
    </row>
    <row r="1505" spans="1:7" x14ac:dyDescent="0.25">
      <c r="A1505" s="2">
        <v>1504</v>
      </c>
      <c r="B1505" s="3" t="s">
        <v>10</v>
      </c>
      <c r="C1505" s="4" t="str">
        <f t="shared" si="126"/>
        <v>Lai Châu</v>
      </c>
      <c r="D1505" s="3" t="s">
        <v>154</v>
      </c>
      <c r="E1505" s="4" t="str">
        <f t="shared" si="127"/>
        <v>Huyện Sìn Hồ</v>
      </c>
      <c r="F1505" s="3" t="s">
        <v>2269</v>
      </c>
      <c r="G1505" s="4" t="str">
        <f>HYPERLINK("https://diaocthongthai.com/xa-sa-de-phin-sin-ho/","Xã Sà Dề Phìn")</f>
        <v>Xã Sà Dề Phìn</v>
      </c>
    </row>
    <row r="1506" spans="1:7" x14ac:dyDescent="0.25">
      <c r="A1506" s="2">
        <v>1505</v>
      </c>
      <c r="B1506" s="3" t="s">
        <v>10</v>
      </c>
      <c r="C1506" s="4" t="str">
        <f t="shared" si="126"/>
        <v>Lai Châu</v>
      </c>
      <c r="D1506" s="3" t="s">
        <v>154</v>
      </c>
      <c r="E1506" s="4" t="str">
        <f t="shared" si="127"/>
        <v>Huyện Sìn Hồ</v>
      </c>
      <c r="F1506" s="3" t="s">
        <v>2270</v>
      </c>
      <c r="G1506" s="4" t="str">
        <f>HYPERLINK("https://diaocthongthai.com/xa-nam-tam-sin-ho/","Xã Nậm Tăm")</f>
        <v>Xã Nậm Tăm</v>
      </c>
    </row>
    <row r="1507" spans="1:7" x14ac:dyDescent="0.25">
      <c r="A1507" s="2">
        <v>1506</v>
      </c>
      <c r="B1507" s="3" t="s">
        <v>10</v>
      </c>
      <c r="C1507" s="4" t="str">
        <f t="shared" si="126"/>
        <v>Lai Châu</v>
      </c>
      <c r="D1507" s="3" t="s">
        <v>154</v>
      </c>
      <c r="E1507" s="4" t="str">
        <f t="shared" si="127"/>
        <v>Huyện Sìn Hồ</v>
      </c>
      <c r="F1507" s="3" t="s">
        <v>2271</v>
      </c>
      <c r="G1507" s="4" t="str">
        <f>HYPERLINK("https://diaocthongthai.com/xa-ta-ngao-sin-ho/","Xã Tả Ngảo")</f>
        <v>Xã Tả Ngảo</v>
      </c>
    </row>
    <row r="1508" spans="1:7" x14ac:dyDescent="0.25">
      <c r="A1508" s="2">
        <v>1507</v>
      </c>
      <c r="B1508" s="3" t="s">
        <v>10</v>
      </c>
      <c r="C1508" s="4" t="str">
        <f t="shared" si="126"/>
        <v>Lai Châu</v>
      </c>
      <c r="D1508" s="3" t="s">
        <v>154</v>
      </c>
      <c r="E1508" s="4" t="str">
        <f t="shared" si="127"/>
        <v>Huyện Sìn Hồ</v>
      </c>
      <c r="F1508" s="3" t="s">
        <v>2272</v>
      </c>
      <c r="G1508" s="4" t="str">
        <f>HYPERLINK("https://diaocthongthai.com/xa-pu-sam-cap-sin-ho/","Xã Pu Sam Cáp")</f>
        <v>Xã Pu Sam Cáp</v>
      </c>
    </row>
    <row r="1509" spans="1:7" x14ac:dyDescent="0.25">
      <c r="A1509" s="2">
        <v>1508</v>
      </c>
      <c r="B1509" s="3" t="s">
        <v>10</v>
      </c>
      <c r="C1509" s="4" t="str">
        <f t="shared" si="126"/>
        <v>Lai Châu</v>
      </c>
      <c r="D1509" s="3" t="s">
        <v>154</v>
      </c>
      <c r="E1509" s="4" t="str">
        <f t="shared" si="127"/>
        <v>Huyện Sìn Hồ</v>
      </c>
      <c r="F1509" s="3" t="s">
        <v>2273</v>
      </c>
      <c r="G1509" s="4" t="str">
        <f>HYPERLINK("https://diaocthongthai.com/xa-nam-cha-sin-ho/","Xã Nậm Cha")</f>
        <v>Xã Nậm Cha</v>
      </c>
    </row>
    <row r="1510" spans="1:7" x14ac:dyDescent="0.25">
      <c r="A1510" s="2">
        <v>1509</v>
      </c>
      <c r="B1510" s="3" t="s">
        <v>10</v>
      </c>
      <c r="C1510" s="4" t="str">
        <f t="shared" si="126"/>
        <v>Lai Châu</v>
      </c>
      <c r="D1510" s="3" t="s">
        <v>154</v>
      </c>
      <c r="E1510" s="4" t="str">
        <f t="shared" si="127"/>
        <v>Huyện Sìn Hồ</v>
      </c>
      <c r="F1510" s="3" t="s">
        <v>2274</v>
      </c>
      <c r="G1510" s="4" t="str">
        <f>HYPERLINK("https://diaocthongthai.com/xa-pa-khoa-sin-ho/","Xã Pa Khoá")</f>
        <v>Xã Pa Khoá</v>
      </c>
    </row>
    <row r="1511" spans="1:7" x14ac:dyDescent="0.25">
      <c r="A1511" s="2">
        <v>1510</v>
      </c>
      <c r="B1511" s="3" t="s">
        <v>10</v>
      </c>
      <c r="C1511" s="4" t="str">
        <f t="shared" si="126"/>
        <v>Lai Châu</v>
      </c>
      <c r="D1511" s="3" t="s">
        <v>154</v>
      </c>
      <c r="E1511" s="4" t="str">
        <f t="shared" si="127"/>
        <v>Huyện Sìn Hồ</v>
      </c>
      <c r="F1511" s="3" t="s">
        <v>2275</v>
      </c>
      <c r="G1511" s="4" t="str">
        <f>HYPERLINK("https://diaocthongthai.com/xa-lang-mo-sin-ho/","Xã Làng Mô")</f>
        <v>Xã Làng Mô</v>
      </c>
    </row>
    <row r="1512" spans="1:7" x14ac:dyDescent="0.25">
      <c r="A1512" s="2">
        <v>1511</v>
      </c>
      <c r="B1512" s="3" t="s">
        <v>10</v>
      </c>
      <c r="C1512" s="4" t="str">
        <f t="shared" si="126"/>
        <v>Lai Châu</v>
      </c>
      <c r="D1512" s="3" t="s">
        <v>154</v>
      </c>
      <c r="E1512" s="4" t="str">
        <f t="shared" si="127"/>
        <v>Huyện Sìn Hồ</v>
      </c>
      <c r="F1512" s="3" t="s">
        <v>2276</v>
      </c>
      <c r="G1512" s="4" t="str">
        <f>HYPERLINK("https://diaocthongthai.com/xa-noong-heo-sin-ho/","Xã Noong Hẻo")</f>
        <v>Xã Noong Hẻo</v>
      </c>
    </row>
    <row r="1513" spans="1:7" x14ac:dyDescent="0.25">
      <c r="A1513" s="2">
        <v>1512</v>
      </c>
      <c r="B1513" s="3" t="s">
        <v>10</v>
      </c>
      <c r="C1513" s="4" t="str">
        <f t="shared" si="126"/>
        <v>Lai Châu</v>
      </c>
      <c r="D1513" s="3" t="s">
        <v>154</v>
      </c>
      <c r="E1513" s="4" t="str">
        <f t="shared" si="127"/>
        <v>Huyện Sìn Hồ</v>
      </c>
      <c r="F1513" s="3" t="s">
        <v>2277</v>
      </c>
      <c r="G1513" s="4" t="str">
        <f>HYPERLINK("https://diaocthongthai.com/xa-nam-ma-sin-ho/","Xã Nậm Mạ")</f>
        <v>Xã Nậm Mạ</v>
      </c>
    </row>
    <row r="1514" spans="1:7" x14ac:dyDescent="0.25">
      <c r="A1514" s="2">
        <v>1513</v>
      </c>
      <c r="B1514" s="3" t="s">
        <v>10</v>
      </c>
      <c r="C1514" s="4" t="str">
        <f t="shared" si="126"/>
        <v>Lai Châu</v>
      </c>
      <c r="D1514" s="3" t="s">
        <v>154</v>
      </c>
      <c r="E1514" s="4" t="str">
        <f t="shared" si="127"/>
        <v>Huyện Sìn Hồ</v>
      </c>
      <c r="F1514" s="3" t="s">
        <v>2278</v>
      </c>
      <c r="G1514" s="4" t="str">
        <f>HYPERLINK("https://diaocthongthai.com/xa-can-co-sin-ho/","Xã Căn Co")</f>
        <v>Xã Căn Co</v>
      </c>
    </row>
    <row r="1515" spans="1:7" x14ac:dyDescent="0.25">
      <c r="A1515" s="2">
        <v>1514</v>
      </c>
      <c r="B1515" s="3" t="s">
        <v>10</v>
      </c>
      <c r="C1515" s="4" t="str">
        <f t="shared" si="126"/>
        <v>Lai Châu</v>
      </c>
      <c r="D1515" s="3" t="s">
        <v>154</v>
      </c>
      <c r="E1515" s="4" t="str">
        <f t="shared" si="127"/>
        <v>Huyện Sìn Hồ</v>
      </c>
      <c r="F1515" s="3" t="s">
        <v>2279</v>
      </c>
      <c r="G1515" s="4" t="str">
        <f>HYPERLINK("https://diaocthongthai.com/xa-tua-sin-chai-sin-ho/","Xã Tủa Sín Chải")</f>
        <v>Xã Tủa Sín Chải</v>
      </c>
    </row>
    <row r="1516" spans="1:7" x14ac:dyDescent="0.25">
      <c r="A1516" s="2">
        <v>1515</v>
      </c>
      <c r="B1516" s="3" t="s">
        <v>10</v>
      </c>
      <c r="C1516" s="4" t="str">
        <f t="shared" si="126"/>
        <v>Lai Châu</v>
      </c>
      <c r="D1516" s="3" t="s">
        <v>154</v>
      </c>
      <c r="E1516" s="4" t="str">
        <f t="shared" si="127"/>
        <v>Huyện Sìn Hồ</v>
      </c>
      <c r="F1516" s="3" t="s">
        <v>2280</v>
      </c>
      <c r="G1516" s="4" t="str">
        <f>HYPERLINK("https://diaocthongthai.com/xa-nam-cuoi-sin-ho/","Xã Nậm Cuổi")</f>
        <v>Xã Nậm Cuổi</v>
      </c>
    </row>
    <row r="1517" spans="1:7" x14ac:dyDescent="0.25">
      <c r="A1517" s="2">
        <v>1516</v>
      </c>
      <c r="B1517" s="3" t="s">
        <v>10</v>
      </c>
      <c r="C1517" s="4" t="str">
        <f t="shared" si="126"/>
        <v>Lai Châu</v>
      </c>
      <c r="D1517" s="3" t="s">
        <v>154</v>
      </c>
      <c r="E1517" s="4" t="str">
        <f t="shared" si="127"/>
        <v>Huyện Sìn Hồ</v>
      </c>
      <c r="F1517" s="3" t="s">
        <v>2281</v>
      </c>
      <c r="G1517" s="4" t="str">
        <f>HYPERLINK("https://diaocthongthai.com/xa-nam-han-sin-ho/","Xã Nậm Hăn")</f>
        <v>Xã Nậm Hăn</v>
      </c>
    </row>
    <row r="1518" spans="1:7" x14ac:dyDescent="0.25">
      <c r="A1518" s="2">
        <v>1517</v>
      </c>
      <c r="B1518" s="3" t="s">
        <v>10</v>
      </c>
      <c r="C1518" s="4" t="str">
        <f t="shared" si="126"/>
        <v>Lai Châu</v>
      </c>
      <c r="D1518" s="3" t="s">
        <v>155</v>
      </c>
      <c r="E1518" s="4" t="str">
        <f t="shared" ref="E1518:E1534" si="128">HYPERLINK("https://diaocthongthai.com/ban-do-huyen-phong-tho-lai-chau/","Huyện Phong Thổ")</f>
        <v>Huyện Phong Thổ</v>
      </c>
      <c r="F1518" s="3" t="s">
        <v>2282</v>
      </c>
      <c r="G1518" s="4" t="str">
        <f>HYPERLINK("https://diaocthongthai.com/xa-lan-nhi-thang-phong-tho/","Xã Lả Nhì Thàng")</f>
        <v>Xã Lả Nhì Thàng</v>
      </c>
    </row>
    <row r="1519" spans="1:7" x14ac:dyDescent="0.25">
      <c r="A1519" s="2">
        <v>1518</v>
      </c>
      <c r="B1519" s="3" t="s">
        <v>10</v>
      </c>
      <c r="C1519" s="4" t="str">
        <f t="shared" si="126"/>
        <v>Lai Châu</v>
      </c>
      <c r="D1519" s="3" t="s">
        <v>155</v>
      </c>
      <c r="E1519" s="4" t="str">
        <f t="shared" si="128"/>
        <v>Huyện Phong Thổ</v>
      </c>
      <c r="F1519" s="3" t="s">
        <v>2283</v>
      </c>
      <c r="G1519" s="4" t="str">
        <f>HYPERLINK("https://diaocthongthai.com/xa-huoi-luong-phong-tho/","Xã Huổi Luông")</f>
        <v>Xã Huổi Luông</v>
      </c>
    </row>
    <row r="1520" spans="1:7" x14ac:dyDescent="0.25">
      <c r="A1520" s="2">
        <v>1519</v>
      </c>
      <c r="B1520" s="3" t="s">
        <v>10</v>
      </c>
      <c r="C1520" s="4" t="str">
        <f t="shared" si="126"/>
        <v>Lai Châu</v>
      </c>
      <c r="D1520" s="3" t="s">
        <v>155</v>
      </c>
      <c r="E1520" s="4" t="str">
        <f t="shared" si="128"/>
        <v>Huyện Phong Thổ</v>
      </c>
      <c r="F1520" s="3" t="s">
        <v>2284</v>
      </c>
      <c r="G1520" s="4" t="str">
        <f>HYPERLINK("https://diaocthongthai.com/thi-tran-phong-tho-phong-tho/","Thị trấn Phong Thổ")</f>
        <v>Thị trấn Phong Thổ</v>
      </c>
    </row>
    <row r="1521" spans="1:7" x14ac:dyDescent="0.25">
      <c r="A1521" s="2">
        <v>1520</v>
      </c>
      <c r="B1521" s="3" t="s">
        <v>10</v>
      </c>
      <c r="C1521" s="4" t="str">
        <f t="shared" si="126"/>
        <v>Lai Châu</v>
      </c>
      <c r="D1521" s="3" t="s">
        <v>155</v>
      </c>
      <c r="E1521" s="4" t="str">
        <f t="shared" si="128"/>
        <v>Huyện Phong Thổ</v>
      </c>
      <c r="F1521" s="3" t="s">
        <v>2285</v>
      </c>
      <c r="G1521" s="4" t="str">
        <f>HYPERLINK("https://diaocthongthai.com/xa-si-lo-lau-phong-tho/","Xã Sì Lở Lầu")</f>
        <v>Xã Sì Lở Lầu</v>
      </c>
    </row>
    <row r="1522" spans="1:7" x14ac:dyDescent="0.25">
      <c r="A1522" s="2">
        <v>1521</v>
      </c>
      <c r="B1522" s="3" t="s">
        <v>10</v>
      </c>
      <c r="C1522" s="4" t="str">
        <f t="shared" si="126"/>
        <v>Lai Châu</v>
      </c>
      <c r="D1522" s="3" t="s">
        <v>155</v>
      </c>
      <c r="E1522" s="4" t="str">
        <f t="shared" si="128"/>
        <v>Huyện Phong Thổ</v>
      </c>
      <c r="F1522" s="3" t="s">
        <v>2286</v>
      </c>
      <c r="G1522" s="4" t="str">
        <f>HYPERLINK("https://diaocthongthai.com/xa-mo-si-san-phong-tho/","Xã Mồ Sì San")</f>
        <v>Xã Mồ Sì San</v>
      </c>
    </row>
    <row r="1523" spans="1:7" x14ac:dyDescent="0.25">
      <c r="A1523" s="2">
        <v>1522</v>
      </c>
      <c r="B1523" s="3" t="s">
        <v>10</v>
      </c>
      <c r="C1523" s="4" t="str">
        <f t="shared" si="126"/>
        <v>Lai Châu</v>
      </c>
      <c r="D1523" s="3" t="s">
        <v>155</v>
      </c>
      <c r="E1523" s="4" t="str">
        <f t="shared" si="128"/>
        <v>Huyện Phong Thổ</v>
      </c>
      <c r="F1523" s="3" t="s">
        <v>2287</v>
      </c>
      <c r="G1523" s="4" t="str">
        <f>HYPERLINK("https://diaocthongthai.com/xa-pa-vay-su-phong-tho/","Xã Pa Vây Sử")</f>
        <v>Xã Pa Vây Sử</v>
      </c>
    </row>
    <row r="1524" spans="1:7" x14ac:dyDescent="0.25">
      <c r="A1524" s="2">
        <v>1523</v>
      </c>
      <c r="B1524" s="3" t="s">
        <v>10</v>
      </c>
      <c r="C1524" s="4" t="str">
        <f t="shared" si="126"/>
        <v>Lai Châu</v>
      </c>
      <c r="D1524" s="3" t="s">
        <v>155</v>
      </c>
      <c r="E1524" s="4" t="str">
        <f t="shared" si="128"/>
        <v>Huyện Phong Thổ</v>
      </c>
      <c r="F1524" s="3" t="s">
        <v>2288</v>
      </c>
      <c r="G1524" s="4" t="str">
        <f>HYPERLINK("https://diaocthongthai.com/xa-vang-ma-chai-phong-tho/","Xã Vàng Ma Chải")</f>
        <v>Xã Vàng Ma Chải</v>
      </c>
    </row>
    <row r="1525" spans="1:7" x14ac:dyDescent="0.25">
      <c r="A1525" s="2">
        <v>1524</v>
      </c>
      <c r="B1525" s="3" t="s">
        <v>10</v>
      </c>
      <c r="C1525" s="4" t="str">
        <f t="shared" si="126"/>
        <v>Lai Châu</v>
      </c>
      <c r="D1525" s="3" t="s">
        <v>155</v>
      </c>
      <c r="E1525" s="4" t="str">
        <f t="shared" si="128"/>
        <v>Huyện Phong Thổ</v>
      </c>
      <c r="F1525" s="3" t="s">
        <v>2289</v>
      </c>
      <c r="G1525" s="4" t="str">
        <f>HYPERLINK("https://diaocthongthai.com/xa-tung-qua-lin-phong-tho/","Xã Tông Qua Lìn")</f>
        <v>Xã Tông Qua Lìn</v>
      </c>
    </row>
    <row r="1526" spans="1:7" x14ac:dyDescent="0.25">
      <c r="A1526" s="2">
        <v>1525</v>
      </c>
      <c r="B1526" s="3" t="s">
        <v>10</v>
      </c>
      <c r="C1526" s="4" t="str">
        <f t="shared" ref="C1526:C1557" si="129">HYPERLINK("https://diaocthongthai.com/ban-do-lai-chau/","Lai Châu")</f>
        <v>Lai Châu</v>
      </c>
      <c r="D1526" s="3" t="s">
        <v>155</v>
      </c>
      <c r="E1526" s="4" t="str">
        <f t="shared" si="128"/>
        <v>Huyện Phong Thổ</v>
      </c>
      <c r="F1526" s="3" t="s">
        <v>2290</v>
      </c>
      <c r="G1526" s="4" t="str">
        <f>HYPERLINK("https://diaocthongthai.com/xa-mu-sang-phong-tho/","Xã Mù Sang")</f>
        <v>Xã Mù Sang</v>
      </c>
    </row>
    <row r="1527" spans="1:7" x14ac:dyDescent="0.25">
      <c r="A1527" s="2">
        <v>1526</v>
      </c>
      <c r="B1527" s="3" t="s">
        <v>10</v>
      </c>
      <c r="C1527" s="4" t="str">
        <f t="shared" si="129"/>
        <v>Lai Châu</v>
      </c>
      <c r="D1527" s="3" t="s">
        <v>155</v>
      </c>
      <c r="E1527" s="4" t="str">
        <f t="shared" si="128"/>
        <v>Huyện Phong Thổ</v>
      </c>
      <c r="F1527" s="3" t="s">
        <v>2291</v>
      </c>
      <c r="G1527" s="4" t="str">
        <f>HYPERLINK("https://diaocthongthai.com/xa-dao-san-phong-tho/","Xã Dào San")</f>
        <v>Xã Dào San</v>
      </c>
    </row>
    <row r="1528" spans="1:7" x14ac:dyDescent="0.25">
      <c r="A1528" s="2">
        <v>1527</v>
      </c>
      <c r="B1528" s="3" t="s">
        <v>10</v>
      </c>
      <c r="C1528" s="4" t="str">
        <f t="shared" si="129"/>
        <v>Lai Châu</v>
      </c>
      <c r="D1528" s="3" t="s">
        <v>155</v>
      </c>
      <c r="E1528" s="4" t="str">
        <f t="shared" si="128"/>
        <v>Huyện Phong Thổ</v>
      </c>
      <c r="F1528" s="3" t="s">
        <v>2292</v>
      </c>
      <c r="G1528" s="4" t="str">
        <f>HYPERLINK("https://diaocthongthai.com/xa-ma-li-pho-phong-tho/","Xã Ma Ly Pho")</f>
        <v>Xã Ma Ly Pho</v>
      </c>
    </row>
    <row r="1529" spans="1:7" x14ac:dyDescent="0.25">
      <c r="A1529" s="2">
        <v>1528</v>
      </c>
      <c r="B1529" s="3" t="s">
        <v>10</v>
      </c>
      <c r="C1529" s="4" t="str">
        <f t="shared" si="129"/>
        <v>Lai Châu</v>
      </c>
      <c r="D1529" s="3" t="s">
        <v>155</v>
      </c>
      <c r="E1529" s="4" t="str">
        <f t="shared" si="128"/>
        <v>Huyện Phong Thổ</v>
      </c>
      <c r="F1529" s="3" t="s">
        <v>2293</v>
      </c>
      <c r="G1529" s="4" t="str">
        <f>HYPERLINK("https://diaocthongthai.com/xa-ban-lang-phong-tho/","Xã Bản Lang")</f>
        <v>Xã Bản Lang</v>
      </c>
    </row>
    <row r="1530" spans="1:7" x14ac:dyDescent="0.25">
      <c r="A1530" s="2">
        <v>1529</v>
      </c>
      <c r="B1530" s="3" t="s">
        <v>10</v>
      </c>
      <c r="C1530" s="4" t="str">
        <f t="shared" si="129"/>
        <v>Lai Châu</v>
      </c>
      <c r="D1530" s="3" t="s">
        <v>155</v>
      </c>
      <c r="E1530" s="4" t="str">
        <f t="shared" si="128"/>
        <v>Huyện Phong Thổ</v>
      </c>
      <c r="F1530" s="3" t="s">
        <v>2294</v>
      </c>
      <c r="G1530" s="4" t="str">
        <f>HYPERLINK("https://diaocthongthai.com/xa-hoang-then-phong-tho/","Xã Hoang Thèn")</f>
        <v>Xã Hoang Thèn</v>
      </c>
    </row>
    <row r="1531" spans="1:7" x14ac:dyDescent="0.25">
      <c r="A1531" s="2">
        <v>1530</v>
      </c>
      <c r="B1531" s="3" t="s">
        <v>10</v>
      </c>
      <c r="C1531" s="4" t="str">
        <f t="shared" si="129"/>
        <v>Lai Châu</v>
      </c>
      <c r="D1531" s="3" t="s">
        <v>155</v>
      </c>
      <c r="E1531" s="4" t="str">
        <f t="shared" si="128"/>
        <v>Huyện Phong Thổ</v>
      </c>
      <c r="F1531" s="3" t="s">
        <v>2295</v>
      </c>
      <c r="G1531" s="4" t="str">
        <f>HYPERLINK("https://diaocthongthai.com/xa-khong-lao-phong-tho/","Xã Khổng Lào")</f>
        <v>Xã Khổng Lào</v>
      </c>
    </row>
    <row r="1532" spans="1:7" x14ac:dyDescent="0.25">
      <c r="A1532" s="2">
        <v>1531</v>
      </c>
      <c r="B1532" s="3" t="s">
        <v>10</v>
      </c>
      <c r="C1532" s="4" t="str">
        <f t="shared" si="129"/>
        <v>Lai Châu</v>
      </c>
      <c r="D1532" s="3" t="s">
        <v>155</v>
      </c>
      <c r="E1532" s="4" t="str">
        <f t="shared" si="128"/>
        <v>Huyện Phong Thổ</v>
      </c>
      <c r="F1532" s="3" t="s">
        <v>2296</v>
      </c>
      <c r="G1532" s="4" t="str">
        <f>HYPERLINK("https://diaocthongthai.com/xa-nam-xe-phong-tho/","Xã Nậm Xe")</f>
        <v>Xã Nậm Xe</v>
      </c>
    </row>
    <row r="1533" spans="1:7" x14ac:dyDescent="0.25">
      <c r="A1533" s="2">
        <v>1532</v>
      </c>
      <c r="B1533" s="3" t="s">
        <v>10</v>
      </c>
      <c r="C1533" s="4" t="str">
        <f t="shared" si="129"/>
        <v>Lai Châu</v>
      </c>
      <c r="D1533" s="3" t="s">
        <v>155</v>
      </c>
      <c r="E1533" s="4" t="str">
        <f t="shared" si="128"/>
        <v>Huyện Phong Thổ</v>
      </c>
      <c r="F1533" s="3" t="s">
        <v>2297</v>
      </c>
      <c r="G1533" s="4" t="str">
        <f>HYPERLINK("https://diaocthongthai.com/xa-muong-so-phong-tho/","Xã Mường So")</f>
        <v>Xã Mường So</v>
      </c>
    </row>
    <row r="1534" spans="1:7" x14ac:dyDescent="0.25">
      <c r="A1534" s="2">
        <v>1533</v>
      </c>
      <c r="B1534" s="3" t="s">
        <v>10</v>
      </c>
      <c r="C1534" s="4" t="str">
        <f t="shared" si="129"/>
        <v>Lai Châu</v>
      </c>
      <c r="D1534" s="3" t="s">
        <v>155</v>
      </c>
      <c r="E1534" s="4" t="str">
        <f t="shared" si="128"/>
        <v>Huyện Phong Thổ</v>
      </c>
      <c r="F1534" s="3" t="s">
        <v>2298</v>
      </c>
      <c r="G1534" s="4" t="str">
        <f>HYPERLINK("https://diaocthongthai.com/xa-sin-sui-ho-phong-tho/","Xã Sin Suối Hồ")</f>
        <v>Xã Sin Suối Hồ</v>
      </c>
    </row>
    <row r="1535" spans="1:7" x14ac:dyDescent="0.25">
      <c r="A1535" s="2">
        <v>1534</v>
      </c>
      <c r="B1535" s="3" t="s">
        <v>10</v>
      </c>
      <c r="C1535" s="4" t="str">
        <f t="shared" si="129"/>
        <v>Lai Châu</v>
      </c>
      <c r="D1535" s="3" t="s">
        <v>156</v>
      </c>
      <c r="E1535" s="4" t="str">
        <f t="shared" ref="E1535:E1546" si="130">HYPERLINK("https://diaocthongthai.com/ban-do-huyen-than-uyen-lai-chau/","Huyện Than Uyên")</f>
        <v>Huyện Than Uyên</v>
      </c>
      <c r="F1535" s="3" t="s">
        <v>2299</v>
      </c>
      <c r="G1535" s="4" t="str">
        <f>HYPERLINK("https://diaocthongthai.com/thi-tran-than-uyen-than-uyen/","Thị trấn Than Uyên")</f>
        <v>Thị trấn Than Uyên</v>
      </c>
    </row>
    <row r="1536" spans="1:7" x14ac:dyDescent="0.25">
      <c r="A1536" s="2">
        <v>1535</v>
      </c>
      <c r="B1536" s="3" t="s">
        <v>10</v>
      </c>
      <c r="C1536" s="4" t="str">
        <f t="shared" si="129"/>
        <v>Lai Châu</v>
      </c>
      <c r="D1536" s="3" t="s">
        <v>156</v>
      </c>
      <c r="E1536" s="4" t="str">
        <f t="shared" si="130"/>
        <v>Huyện Than Uyên</v>
      </c>
      <c r="F1536" s="3" t="s">
        <v>2300</v>
      </c>
      <c r="G1536" s="4" t="str">
        <f>HYPERLINK("https://diaocthongthai.com/xa-phuc-than-than-uyen/","Xã Phúc Than")</f>
        <v>Xã Phúc Than</v>
      </c>
    </row>
    <row r="1537" spans="1:7" x14ac:dyDescent="0.25">
      <c r="A1537" s="2">
        <v>1536</v>
      </c>
      <c r="B1537" s="3" t="s">
        <v>10</v>
      </c>
      <c r="C1537" s="4" t="str">
        <f t="shared" si="129"/>
        <v>Lai Châu</v>
      </c>
      <c r="D1537" s="3" t="s">
        <v>156</v>
      </c>
      <c r="E1537" s="4" t="str">
        <f t="shared" si="130"/>
        <v>Huyện Than Uyên</v>
      </c>
      <c r="F1537" s="3" t="s">
        <v>2301</v>
      </c>
      <c r="G1537" s="4" t="str">
        <f>HYPERLINK("https://diaocthongthai.com/xa-muong-than-than-uyen/","Xã Mường Than")</f>
        <v>Xã Mường Than</v>
      </c>
    </row>
    <row r="1538" spans="1:7" x14ac:dyDescent="0.25">
      <c r="A1538" s="2">
        <v>1537</v>
      </c>
      <c r="B1538" s="3" t="s">
        <v>10</v>
      </c>
      <c r="C1538" s="4" t="str">
        <f t="shared" si="129"/>
        <v>Lai Châu</v>
      </c>
      <c r="D1538" s="3" t="s">
        <v>156</v>
      </c>
      <c r="E1538" s="4" t="str">
        <f t="shared" si="130"/>
        <v>Huyện Than Uyên</v>
      </c>
      <c r="F1538" s="3" t="s">
        <v>2302</v>
      </c>
      <c r="G1538" s="4" t="str">
        <f>HYPERLINK("https://diaocthongthai.com/xa-muong-mit-than-uyen/","Xã Mường Mít")</f>
        <v>Xã Mường Mít</v>
      </c>
    </row>
    <row r="1539" spans="1:7" x14ac:dyDescent="0.25">
      <c r="A1539" s="2">
        <v>1538</v>
      </c>
      <c r="B1539" s="3" t="s">
        <v>10</v>
      </c>
      <c r="C1539" s="4" t="str">
        <f t="shared" si="129"/>
        <v>Lai Châu</v>
      </c>
      <c r="D1539" s="3" t="s">
        <v>156</v>
      </c>
      <c r="E1539" s="4" t="str">
        <f t="shared" si="130"/>
        <v>Huyện Than Uyên</v>
      </c>
      <c r="F1539" s="3" t="s">
        <v>2303</v>
      </c>
      <c r="G1539" s="4" t="str">
        <f>HYPERLINK("https://diaocthongthai.com/xa-pha-mu-than-uyen/","Xã Pha Mu")</f>
        <v>Xã Pha Mu</v>
      </c>
    </row>
    <row r="1540" spans="1:7" x14ac:dyDescent="0.25">
      <c r="A1540" s="2">
        <v>1539</v>
      </c>
      <c r="B1540" s="3" t="s">
        <v>10</v>
      </c>
      <c r="C1540" s="4" t="str">
        <f t="shared" si="129"/>
        <v>Lai Châu</v>
      </c>
      <c r="D1540" s="3" t="s">
        <v>156</v>
      </c>
      <c r="E1540" s="4" t="str">
        <f t="shared" si="130"/>
        <v>Huyện Than Uyên</v>
      </c>
      <c r="F1540" s="3" t="s">
        <v>2304</v>
      </c>
      <c r="G1540" s="4" t="str">
        <f>HYPERLINK("https://diaocthongthai.com/xa-muong-cang-than-uyen/","Xã Mường Cang")</f>
        <v>Xã Mường Cang</v>
      </c>
    </row>
    <row r="1541" spans="1:7" x14ac:dyDescent="0.25">
      <c r="A1541" s="2">
        <v>1540</v>
      </c>
      <c r="B1541" s="3" t="s">
        <v>10</v>
      </c>
      <c r="C1541" s="4" t="str">
        <f t="shared" si="129"/>
        <v>Lai Châu</v>
      </c>
      <c r="D1541" s="3" t="s">
        <v>156</v>
      </c>
      <c r="E1541" s="4" t="str">
        <f t="shared" si="130"/>
        <v>Huyện Than Uyên</v>
      </c>
      <c r="F1541" s="3" t="s">
        <v>2305</v>
      </c>
      <c r="G1541" s="4" t="str">
        <f>HYPERLINK("https://diaocthongthai.com/xa-hua-na-than-uyen/","Xã Hua Nà")</f>
        <v>Xã Hua Nà</v>
      </c>
    </row>
    <row r="1542" spans="1:7" x14ac:dyDescent="0.25">
      <c r="A1542" s="2">
        <v>1541</v>
      </c>
      <c r="B1542" s="3" t="s">
        <v>10</v>
      </c>
      <c r="C1542" s="4" t="str">
        <f t="shared" si="129"/>
        <v>Lai Châu</v>
      </c>
      <c r="D1542" s="3" t="s">
        <v>156</v>
      </c>
      <c r="E1542" s="4" t="str">
        <f t="shared" si="130"/>
        <v>Huyện Than Uyên</v>
      </c>
      <c r="F1542" s="3" t="s">
        <v>2306</v>
      </c>
      <c r="G1542" s="4" t="str">
        <f>HYPERLINK("https://diaocthongthai.com/xa-ta-hua-than-uyen/","Xã Tà Hừa")</f>
        <v>Xã Tà Hừa</v>
      </c>
    </row>
    <row r="1543" spans="1:7" x14ac:dyDescent="0.25">
      <c r="A1543" s="2">
        <v>1542</v>
      </c>
      <c r="B1543" s="3" t="s">
        <v>10</v>
      </c>
      <c r="C1543" s="4" t="str">
        <f t="shared" si="129"/>
        <v>Lai Châu</v>
      </c>
      <c r="D1543" s="3" t="s">
        <v>156</v>
      </c>
      <c r="E1543" s="4" t="str">
        <f t="shared" si="130"/>
        <v>Huyện Than Uyên</v>
      </c>
      <c r="F1543" s="3" t="s">
        <v>2307</v>
      </c>
      <c r="G1543" s="4" t="str">
        <f>HYPERLINK("https://diaocthongthai.com/xa-muong-kim-than-uyen/","Xã Mường Kim")</f>
        <v>Xã Mường Kim</v>
      </c>
    </row>
    <row r="1544" spans="1:7" x14ac:dyDescent="0.25">
      <c r="A1544" s="2">
        <v>1543</v>
      </c>
      <c r="B1544" s="3" t="s">
        <v>10</v>
      </c>
      <c r="C1544" s="4" t="str">
        <f t="shared" si="129"/>
        <v>Lai Châu</v>
      </c>
      <c r="D1544" s="3" t="s">
        <v>156</v>
      </c>
      <c r="E1544" s="4" t="str">
        <f t="shared" si="130"/>
        <v>Huyện Than Uyên</v>
      </c>
      <c r="F1544" s="3" t="s">
        <v>2308</v>
      </c>
      <c r="G1544" s="4" t="str">
        <f>HYPERLINK("https://diaocthongthai.com/xa-ta-mung-than-uyen/","Xã Tà Mung")</f>
        <v>Xã Tà Mung</v>
      </c>
    </row>
    <row r="1545" spans="1:7" x14ac:dyDescent="0.25">
      <c r="A1545" s="2">
        <v>1544</v>
      </c>
      <c r="B1545" s="3" t="s">
        <v>10</v>
      </c>
      <c r="C1545" s="4" t="str">
        <f t="shared" si="129"/>
        <v>Lai Châu</v>
      </c>
      <c r="D1545" s="3" t="s">
        <v>156</v>
      </c>
      <c r="E1545" s="4" t="str">
        <f t="shared" si="130"/>
        <v>Huyện Than Uyên</v>
      </c>
      <c r="F1545" s="3" t="s">
        <v>2309</v>
      </c>
      <c r="G1545" s="4" t="str">
        <f>HYPERLINK("https://diaocthongthai.com/xa-ta-gia-than-uyen/","Xã Tà Gia")</f>
        <v>Xã Tà Gia</v>
      </c>
    </row>
    <row r="1546" spans="1:7" x14ac:dyDescent="0.25">
      <c r="A1546" s="2">
        <v>1545</v>
      </c>
      <c r="B1546" s="3" t="s">
        <v>10</v>
      </c>
      <c r="C1546" s="4" t="str">
        <f t="shared" si="129"/>
        <v>Lai Châu</v>
      </c>
      <c r="D1546" s="3" t="s">
        <v>156</v>
      </c>
      <c r="E1546" s="4" t="str">
        <f t="shared" si="130"/>
        <v>Huyện Than Uyên</v>
      </c>
      <c r="F1546" s="3" t="s">
        <v>2310</v>
      </c>
      <c r="G1546" s="4" t="str">
        <f>HYPERLINK("https://diaocthongthai.com/xa-khoen-on-than-uyen/","Xã Khoen On")</f>
        <v>Xã Khoen On</v>
      </c>
    </row>
    <row r="1547" spans="1:7" x14ac:dyDescent="0.25">
      <c r="A1547" s="2">
        <v>1546</v>
      </c>
      <c r="B1547" s="3" t="s">
        <v>10</v>
      </c>
      <c r="C1547" s="4" t="str">
        <f t="shared" si="129"/>
        <v>Lai Châu</v>
      </c>
      <c r="D1547" s="3" t="s">
        <v>157</v>
      </c>
      <c r="E1547" s="4" t="str">
        <f t="shared" ref="E1547:E1556" si="131">HYPERLINK("https://diaocthongthai.com/ban-do-huyen-tan-uyen-lai-chau/","Huyện Tân Uyên")</f>
        <v>Huyện Tân Uyên</v>
      </c>
      <c r="F1547" s="3" t="s">
        <v>2311</v>
      </c>
      <c r="G1547" s="4" t="str">
        <f>HYPERLINK("https://diaocthongthai.com/thi-tran-tan-uyen-tan-uyen-lai-chau/","Thị trấn Tân Uyên")</f>
        <v>Thị trấn Tân Uyên</v>
      </c>
    </row>
    <row r="1548" spans="1:7" x14ac:dyDescent="0.25">
      <c r="A1548" s="2">
        <v>1547</v>
      </c>
      <c r="B1548" s="3" t="s">
        <v>10</v>
      </c>
      <c r="C1548" s="4" t="str">
        <f t="shared" si="129"/>
        <v>Lai Châu</v>
      </c>
      <c r="D1548" s="3" t="s">
        <v>157</v>
      </c>
      <c r="E1548" s="4" t="str">
        <f t="shared" si="131"/>
        <v>Huyện Tân Uyên</v>
      </c>
      <c r="F1548" s="3" t="s">
        <v>2312</v>
      </c>
      <c r="G1548" s="4" t="str">
        <f>HYPERLINK("https://diaocthongthai.com/xa-muong-khoa-tan-uyen-lai-chau/","Xã Mường Khoa")</f>
        <v>Xã Mường Khoa</v>
      </c>
    </row>
    <row r="1549" spans="1:7" x14ac:dyDescent="0.25">
      <c r="A1549" s="2">
        <v>1548</v>
      </c>
      <c r="B1549" s="3" t="s">
        <v>10</v>
      </c>
      <c r="C1549" s="4" t="str">
        <f t="shared" si="129"/>
        <v>Lai Châu</v>
      </c>
      <c r="D1549" s="3" t="s">
        <v>157</v>
      </c>
      <c r="E1549" s="4" t="str">
        <f t="shared" si="131"/>
        <v>Huyện Tân Uyên</v>
      </c>
      <c r="F1549" s="3" t="s">
        <v>2313</v>
      </c>
      <c r="G1549" s="4" t="str">
        <f>HYPERLINK("https://diaocthongthai.com/xa-phuc-khoa-tan-uyen-lai-chau/","Xã Phúc Khoa")</f>
        <v>Xã Phúc Khoa</v>
      </c>
    </row>
    <row r="1550" spans="1:7" x14ac:dyDescent="0.25">
      <c r="A1550" s="2">
        <v>1549</v>
      </c>
      <c r="B1550" s="3" t="s">
        <v>10</v>
      </c>
      <c r="C1550" s="4" t="str">
        <f t="shared" si="129"/>
        <v>Lai Châu</v>
      </c>
      <c r="D1550" s="3" t="s">
        <v>157</v>
      </c>
      <c r="E1550" s="4" t="str">
        <f t="shared" si="131"/>
        <v>Huyện Tân Uyên</v>
      </c>
      <c r="F1550" s="3" t="s">
        <v>2314</v>
      </c>
      <c r="G1550" s="4" t="str">
        <f>HYPERLINK("https://diaocthongthai.com/xa-than-thuoc-tan-uyen-lai-chau/","Xã Thân Thuộc")</f>
        <v>Xã Thân Thuộc</v>
      </c>
    </row>
    <row r="1551" spans="1:7" x14ac:dyDescent="0.25">
      <c r="A1551" s="2">
        <v>1550</v>
      </c>
      <c r="B1551" s="3" t="s">
        <v>10</v>
      </c>
      <c r="C1551" s="4" t="str">
        <f t="shared" si="129"/>
        <v>Lai Châu</v>
      </c>
      <c r="D1551" s="3" t="s">
        <v>157</v>
      </c>
      <c r="E1551" s="4" t="str">
        <f t="shared" si="131"/>
        <v>Huyện Tân Uyên</v>
      </c>
      <c r="F1551" s="3" t="s">
        <v>2315</v>
      </c>
      <c r="G1551" s="4" t="str">
        <f>HYPERLINK("https://diaocthongthai.com/xa-trung-dong-tan-uyen-lai-chau/","Xã Trung Đồng")</f>
        <v>Xã Trung Đồng</v>
      </c>
    </row>
    <row r="1552" spans="1:7" x14ac:dyDescent="0.25">
      <c r="A1552" s="2">
        <v>1551</v>
      </c>
      <c r="B1552" s="3" t="s">
        <v>10</v>
      </c>
      <c r="C1552" s="4" t="str">
        <f t="shared" si="129"/>
        <v>Lai Châu</v>
      </c>
      <c r="D1552" s="3" t="s">
        <v>157</v>
      </c>
      <c r="E1552" s="4" t="str">
        <f t="shared" si="131"/>
        <v>Huyện Tân Uyên</v>
      </c>
      <c r="F1552" s="3" t="s">
        <v>2316</v>
      </c>
      <c r="G1552" s="4" t="str">
        <f>HYPERLINK("https://diaocthongthai.com/xa-ho-mit-tan-uyen-lai-chau/","Xã Hố Mít")</f>
        <v>Xã Hố Mít</v>
      </c>
    </row>
    <row r="1553" spans="1:7" x14ac:dyDescent="0.25">
      <c r="A1553" s="2">
        <v>1552</v>
      </c>
      <c r="B1553" s="3" t="s">
        <v>10</v>
      </c>
      <c r="C1553" s="4" t="str">
        <f t="shared" si="129"/>
        <v>Lai Châu</v>
      </c>
      <c r="D1553" s="3" t="s">
        <v>157</v>
      </c>
      <c r="E1553" s="4" t="str">
        <f t="shared" si="131"/>
        <v>Huyện Tân Uyên</v>
      </c>
      <c r="F1553" s="3" t="s">
        <v>2317</v>
      </c>
      <c r="G1553" s="4" t="str">
        <f>HYPERLINK("https://diaocthongthai.com/xa-nam-can-tan-uyen-lai-chau/","Xã Nậm Cần")</f>
        <v>Xã Nậm Cần</v>
      </c>
    </row>
    <row r="1554" spans="1:7" x14ac:dyDescent="0.25">
      <c r="A1554" s="2">
        <v>1553</v>
      </c>
      <c r="B1554" s="3" t="s">
        <v>10</v>
      </c>
      <c r="C1554" s="4" t="str">
        <f t="shared" si="129"/>
        <v>Lai Châu</v>
      </c>
      <c r="D1554" s="3" t="s">
        <v>157</v>
      </c>
      <c r="E1554" s="4" t="str">
        <f t="shared" si="131"/>
        <v>Huyện Tân Uyên</v>
      </c>
      <c r="F1554" s="3" t="s">
        <v>2318</v>
      </c>
      <c r="G1554" s="4" t="str">
        <f>HYPERLINK("https://diaocthongthai.com/xa-nam-so-tan-uyen-lai-chau/","Xã Nậm Sỏ")</f>
        <v>Xã Nậm Sỏ</v>
      </c>
    </row>
    <row r="1555" spans="1:7" x14ac:dyDescent="0.25">
      <c r="A1555" s="2">
        <v>1554</v>
      </c>
      <c r="B1555" s="3" t="s">
        <v>10</v>
      </c>
      <c r="C1555" s="4" t="str">
        <f t="shared" si="129"/>
        <v>Lai Châu</v>
      </c>
      <c r="D1555" s="3" t="s">
        <v>157</v>
      </c>
      <c r="E1555" s="4" t="str">
        <f t="shared" si="131"/>
        <v>Huyện Tân Uyên</v>
      </c>
      <c r="F1555" s="3" t="s">
        <v>2319</v>
      </c>
      <c r="G1555" s="4" t="str">
        <f>HYPERLINK("https://diaocthongthai.com/xa-pac-ta-tan-uyen-lai-chau/","Xã Pắc Ta")</f>
        <v>Xã Pắc Ta</v>
      </c>
    </row>
    <row r="1556" spans="1:7" x14ac:dyDescent="0.25">
      <c r="A1556" s="2">
        <v>1555</v>
      </c>
      <c r="B1556" s="3" t="s">
        <v>10</v>
      </c>
      <c r="C1556" s="4" t="str">
        <f t="shared" si="129"/>
        <v>Lai Châu</v>
      </c>
      <c r="D1556" s="3" t="s">
        <v>157</v>
      </c>
      <c r="E1556" s="4" t="str">
        <f t="shared" si="131"/>
        <v>Huyện Tân Uyên</v>
      </c>
      <c r="F1556" s="3" t="s">
        <v>2320</v>
      </c>
      <c r="G1556" s="4" t="str">
        <f>HYPERLINK("https://diaocthongthai.com/xa-ta-mit-tan-uyen-lai-chau/","Xã Tà Mít")</f>
        <v>Xã Tà Mít</v>
      </c>
    </row>
    <row r="1557" spans="1:7" x14ac:dyDescent="0.25">
      <c r="A1557" s="2">
        <v>1556</v>
      </c>
      <c r="B1557" s="3" t="s">
        <v>10</v>
      </c>
      <c r="C1557" s="4" t="str">
        <f t="shared" si="129"/>
        <v>Lai Châu</v>
      </c>
      <c r="D1557" s="3" t="s">
        <v>158</v>
      </c>
      <c r="E1557" s="4" t="str">
        <f t="shared" ref="E1557:E1567" si="132">HYPERLINK("https://diaocthongthai.com/ban-do-huyen-nam-nhun-lai-chau/","Huyện Nậm Nhùn")</f>
        <v>Huyện Nậm Nhùn</v>
      </c>
      <c r="F1557" s="3" t="s">
        <v>2321</v>
      </c>
      <c r="G1557" s="4" t="str">
        <f>HYPERLINK("https://diaocthongthai.com/thi-tran-nam-nhun-nam-nhun/","Thị trấn Nậm Nhùn")</f>
        <v>Thị trấn Nậm Nhùn</v>
      </c>
    </row>
    <row r="1558" spans="1:7" x14ac:dyDescent="0.25">
      <c r="A1558" s="2">
        <v>1557</v>
      </c>
      <c r="B1558" s="3" t="s">
        <v>10</v>
      </c>
      <c r="C1558" s="4" t="str">
        <f t="shared" ref="C1558:C1567" si="133">HYPERLINK("https://diaocthongthai.com/ban-do-lai-chau/","Lai Châu")</f>
        <v>Lai Châu</v>
      </c>
      <c r="D1558" s="3" t="s">
        <v>158</v>
      </c>
      <c r="E1558" s="4" t="str">
        <f t="shared" si="132"/>
        <v>Huyện Nậm Nhùn</v>
      </c>
      <c r="F1558" s="3" t="s">
        <v>2322</v>
      </c>
      <c r="G1558" s="4" t="str">
        <f>HYPERLINK("https://diaocthongthai.com/xa-hua-bum-nam-nhun/","Xã Hua Bun")</f>
        <v>Xã Hua Bun</v>
      </c>
    </row>
    <row r="1559" spans="1:7" x14ac:dyDescent="0.25">
      <c r="A1559" s="2">
        <v>1558</v>
      </c>
      <c r="B1559" s="3" t="s">
        <v>10</v>
      </c>
      <c r="C1559" s="4" t="str">
        <f t="shared" si="133"/>
        <v>Lai Châu</v>
      </c>
      <c r="D1559" s="3" t="s">
        <v>158</v>
      </c>
      <c r="E1559" s="4" t="str">
        <f t="shared" si="132"/>
        <v>Huyện Nậm Nhùn</v>
      </c>
      <c r="F1559" s="3" t="s">
        <v>2323</v>
      </c>
      <c r="G1559" s="4" t="str">
        <f>HYPERLINK("https://diaocthongthai.com/xa-muong-mo-nam-nhun/","Xã Mường Mô")</f>
        <v>Xã Mường Mô</v>
      </c>
    </row>
    <row r="1560" spans="1:7" x14ac:dyDescent="0.25">
      <c r="A1560" s="2">
        <v>1559</v>
      </c>
      <c r="B1560" s="3" t="s">
        <v>10</v>
      </c>
      <c r="C1560" s="4" t="str">
        <f t="shared" si="133"/>
        <v>Lai Châu</v>
      </c>
      <c r="D1560" s="3" t="s">
        <v>158</v>
      </c>
      <c r="E1560" s="4" t="str">
        <f t="shared" si="132"/>
        <v>Huyện Nậm Nhùn</v>
      </c>
      <c r="F1560" s="3" t="s">
        <v>2324</v>
      </c>
      <c r="G1560" s="4" t="str">
        <f>HYPERLINK("https://diaocthongthai.com/xa-nam-cha-nam-nhun/","Xã Nậm Chà")</f>
        <v>Xã Nậm Chà</v>
      </c>
    </row>
    <row r="1561" spans="1:7" x14ac:dyDescent="0.25">
      <c r="A1561" s="2">
        <v>1560</v>
      </c>
      <c r="B1561" s="3" t="s">
        <v>10</v>
      </c>
      <c r="C1561" s="4" t="str">
        <f t="shared" si="133"/>
        <v>Lai Châu</v>
      </c>
      <c r="D1561" s="3" t="s">
        <v>158</v>
      </c>
      <c r="E1561" s="4" t="str">
        <f t="shared" si="132"/>
        <v>Huyện Nậm Nhùn</v>
      </c>
      <c r="F1561" s="3" t="s">
        <v>2325</v>
      </c>
      <c r="G1561" s="4" t="str">
        <f>HYPERLINK("https://diaocthongthai.com/xa-nam-manh-nam-nhun/","Xã Nậm Manh")</f>
        <v>Xã Nậm Manh</v>
      </c>
    </row>
    <row r="1562" spans="1:7" x14ac:dyDescent="0.25">
      <c r="A1562" s="2">
        <v>1561</v>
      </c>
      <c r="B1562" s="3" t="s">
        <v>10</v>
      </c>
      <c r="C1562" s="4" t="str">
        <f t="shared" si="133"/>
        <v>Lai Châu</v>
      </c>
      <c r="D1562" s="3" t="s">
        <v>158</v>
      </c>
      <c r="E1562" s="4" t="str">
        <f t="shared" si="132"/>
        <v>Huyện Nậm Nhùn</v>
      </c>
      <c r="F1562" s="3" t="s">
        <v>2326</v>
      </c>
      <c r="G1562" s="4" t="str">
        <f>HYPERLINK("https://diaocthongthai.com/xa-nam-hang-nam-nhun/","Xã Nậm Hàng")</f>
        <v>Xã Nậm Hàng</v>
      </c>
    </row>
    <row r="1563" spans="1:7" x14ac:dyDescent="0.25">
      <c r="A1563" s="2">
        <v>1562</v>
      </c>
      <c r="B1563" s="3" t="s">
        <v>10</v>
      </c>
      <c r="C1563" s="4" t="str">
        <f t="shared" si="133"/>
        <v>Lai Châu</v>
      </c>
      <c r="D1563" s="3" t="s">
        <v>158</v>
      </c>
      <c r="E1563" s="4" t="str">
        <f t="shared" si="132"/>
        <v>Huyện Nậm Nhùn</v>
      </c>
      <c r="F1563" s="3" t="s">
        <v>2327</v>
      </c>
      <c r="G1563" s="4" t="str">
        <f>HYPERLINK("https://diaocthongthai.com/xa-le-loi-nam-nhun/","Xã Lê Lợi")</f>
        <v>Xã Lê Lợi</v>
      </c>
    </row>
    <row r="1564" spans="1:7" x14ac:dyDescent="0.25">
      <c r="A1564" s="2">
        <v>1563</v>
      </c>
      <c r="B1564" s="3" t="s">
        <v>10</v>
      </c>
      <c r="C1564" s="4" t="str">
        <f t="shared" si="133"/>
        <v>Lai Châu</v>
      </c>
      <c r="D1564" s="3" t="s">
        <v>158</v>
      </c>
      <c r="E1564" s="4" t="str">
        <f t="shared" si="132"/>
        <v>Huyện Nậm Nhùn</v>
      </c>
      <c r="F1564" s="3" t="s">
        <v>2328</v>
      </c>
      <c r="G1564" s="4" t="str">
        <f>HYPERLINK("https://diaocthongthai.com/xa-pu-dao-nam-nhun/","Xã Pú Đao")</f>
        <v>Xã Pú Đao</v>
      </c>
    </row>
    <row r="1565" spans="1:7" x14ac:dyDescent="0.25">
      <c r="A1565" s="2">
        <v>1564</v>
      </c>
      <c r="B1565" s="3" t="s">
        <v>10</v>
      </c>
      <c r="C1565" s="4" t="str">
        <f t="shared" si="133"/>
        <v>Lai Châu</v>
      </c>
      <c r="D1565" s="3" t="s">
        <v>158</v>
      </c>
      <c r="E1565" s="4" t="str">
        <f t="shared" si="132"/>
        <v>Huyện Nậm Nhùn</v>
      </c>
      <c r="F1565" s="3" t="s">
        <v>2329</v>
      </c>
      <c r="G1565" s="4" t="str">
        <f>HYPERLINK("https://diaocthongthai.com/xa-nam-pi-nam-nhun/","Xã Nậm Pì")</f>
        <v>Xã Nậm Pì</v>
      </c>
    </row>
    <row r="1566" spans="1:7" x14ac:dyDescent="0.25">
      <c r="A1566" s="2">
        <v>1565</v>
      </c>
      <c r="B1566" s="3" t="s">
        <v>10</v>
      </c>
      <c r="C1566" s="4" t="str">
        <f t="shared" si="133"/>
        <v>Lai Châu</v>
      </c>
      <c r="D1566" s="3" t="s">
        <v>158</v>
      </c>
      <c r="E1566" s="4" t="str">
        <f t="shared" si="132"/>
        <v>Huyện Nậm Nhùn</v>
      </c>
      <c r="F1566" s="3" t="s">
        <v>2330</v>
      </c>
      <c r="G1566" s="4" t="str">
        <f>HYPERLINK("https://diaocthongthai.com/xa-nam-ban-nam-nhun/","Xã Nậm Ban")</f>
        <v>Xã Nậm Ban</v>
      </c>
    </row>
    <row r="1567" spans="1:7" x14ac:dyDescent="0.25">
      <c r="A1567" s="2">
        <v>1566</v>
      </c>
      <c r="B1567" s="3" t="s">
        <v>10</v>
      </c>
      <c r="C1567" s="4" t="str">
        <f t="shared" si="133"/>
        <v>Lai Châu</v>
      </c>
      <c r="D1567" s="3" t="s">
        <v>158</v>
      </c>
      <c r="E1567" s="4" t="str">
        <f t="shared" si="132"/>
        <v>Huyện Nậm Nhùn</v>
      </c>
      <c r="F1567" s="3" t="s">
        <v>2331</v>
      </c>
      <c r="G1567" s="4" t="str">
        <f>HYPERLINK("https://diaocthongthai.com/xa-trung-chai-nam-nhun/","Xã Trung Chải")</f>
        <v>Xã Trung Chải</v>
      </c>
    </row>
    <row r="1568" spans="1:7" x14ac:dyDescent="0.25">
      <c r="A1568" s="2">
        <v>1567</v>
      </c>
      <c r="B1568" s="3" t="s">
        <v>11</v>
      </c>
      <c r="C1568" s="4" t="str">
        <f t="shared" ref="C1568:C1631" si="134">HYPERLINK("https://diaocthongthai.com/ban-do-son-la/","Sơn La")</f>
        <v>Sơn La</v>
      </c>
      <c r="D1568" s="3" t="s">
        <v>159</v>
      </c>
      <c r="E1568" s="4" t="str">
        <f t="shared" ref="E1568:E1579" si="135">HYPERLINK("https://diaocthongthai.com/ban-do-tp-son-la-son-la/","Thành phố Sơn La")</f>
        <v>Thành phố Sơn La</v>
      </c>
      <c r="F1568" s="3" t="s">
        <v>2332</v>
      </c>
      <c r="G1568" s="4" t="str">
        <f>HYPERLINK("https://diaocthongthai.com/phuong-chieng-le-tp-son-la/","Phường Chiềng Lề")</f>
        <v>Phường Chiềng Lề</v>
      </c>
    </row>
    <row r="1569" spans="1:7" x14ac:dyDescent="0.25">
      <c r="A1569" s="2">
        <v>1568</v>
      </c>
      <c r="B1569" s="3" t="s">
        <v>11</v>
      </c>
      <c r="C1569" s="4" t="str">
        <f t="shared" si="134"/>
        <v>Sơn La</v>
      </c>
      <c r="D1569" s="3" t="s">
        <v>159</v>
      </c>
      <c r="E1569" s="4" t="str">
        <f t="shared" si="135"/>
        <v>Thành phố Sơn La</v>
      </c>
      <c r="F1569" s="3" t="s">
        <v>2333</v>
      </c>
      <c r="G1569" s="4" t="str">
        <f>HYPERLINK("https://diaocthongthai.com/phuong-to-hieu-tp-son-la/","Phường Tô Hiệu")</f>
        <v>Phường Tô Hiệu</v>
      </c>
    </row>
    <row r="1570" spans="1:7" x14ac:dyDescent="0.25">
      <c r="A1570" s="2">
        <v>1569</v>
      </c>
      <c r="B1570" s="3" t="s">
        <v>11</v>
      </c>
      <c r="C1570" s="4" t="str">
        <f t="shared" si="134"/>
        <v>Sơn La</v>
      </c>
      <c r="D1570" s="3" t="s">
        <v>159</v>
      </c>
      <c r="E1570" s="4" t="str">
        <f t="shared" si="135"/>
        <v>Thành phố Sơn La</v>
      </c>
      <c r="F1570" s="3" t="s">
        <v>2334</v>
      </c>
      <c r="G1570" s="4" t="str">
        <f>HYPERLINK("https://diaocthongthai.com/phuong-quyet-thang-tp-son-la/","Phường Quyết Thắng")</f>
        <v>Phường Quyết Thắng</v>
      </c>
    </row>
    <row r="1571" spans="1:7" x14ac:dyDescent="0.25">
      <c r="A1571" s="2">
        <v>1570</v>
      </c>
      <c r="B1571" s="3" t="s">
        <v>11</v>
      </c>
      <c r="C1571" s="4" t="str">
        <f t="shared" si="134"/>
        <v>Sơn La</v>
      </c>
      <c r="D1571" s="3" t="s">
        <v>159</v>
      </c>
      <c r="E1571" s="4" t="str">
        <f t="shared" si="135"/>
        <v>Thành phố Sơn La</v>
      </c>
      <c r="F1571" s="3" t="s">
        <v>2335</v>
      </c>
      <c r="G1571" s="4" t="str">
        <f>HYPERLINK("https://diaocthongthai.com/phuong-quyet-tam-tp-son-la/","Phường Quyết Tâm")</f>
        <v>Phường Quyết Tâm</v>
      </c>
    </row>
    <row r="1572" spans="1:7" x14ac:dyDescent="0.25">
      <c r="A1572" s="2">
        <v>1571</v>
      </c>
      <c r="B1572" s="3" t="s">
        <v>11</v>
      </c>
      <c r="C1572" s="4" t="str">
        <f t="shared" si="134"/>
        <v>Sơn La</v>
      </c>
      <c r="D1572" s="3" t="s">
        <v>159</v>
      </c>
      <c r="E1572" s="4" t="str">
        <f t="shared" si="135"/>
        <v>Thành phố Sơn La</v>
      </c>
      <c r="F1572" s="3" t="s">
        <v>2336</v>
      </c>
      <c r="G1572" s="4" t="str">
        <f>HYPERLINK("https://diaocthongthai.com/xa-chieng-co-tp-son-la/","Xã Chiềng Cọ")</f>
        <v>Xã Chiềng Cọ</v>
      </c>
    </row>
    <row r="1573" spans="1:7" x14ac:dyDescent="0.25">
      <c r="A1573" s="2">
        <v>1572</v>
      </c>
      <c r="B1573" s="3" t="s">
        <v>11</v>
      </c>
      <c r="C1573" s="4" t="str">
        <f t="shared" si="134"/>
        <v>Sơn La</v>
      </c>
      <c r="D1573" s="3" t="s">
        <v>159</v>
      </c>
      <c r="E1573" s="4" t="str">
        <f t="shared" si="135"/>
        <v>Thành phố Sơn La</v>
      </c>
      <c r="F1573" s="3" t="s">
        <v>2337</v>
      </c>
      <c r="G1573" s="4" t="str">
        <f>HYPERLINK("https://diaocthongthai.com/xa-chieng-den-tp-son-la/","Xã Chiềng Đen")</f>
        <v>Xã Chiềng Đen</v>
      </c>
    </row>
    <row r="1574" spans="1:7" x14ac:dyDescent="0.25">
      <c r="A1574" s="2">
        <v>1573</v>
      </c>
      <c r="B1574" s="3" t="s">
        <v>11</v>
      </c>
      <c r="C1574" s="4" t="str">
        <f t="shared" si="134"/>
        <v>Sơn La</v>
      </c>
      <c r="D1574" s="3" t="s">
        <v>159</v>
      </c>
      <c r="E1574" s="4" t="str">
        <f t="shared" si="135"/>
        <v>Thành phố Sơn La</v>
      </c>
      <c r="F1574" s="3" t="s">
        <v>2338</v>
      </c>
      <c r="G1574" s="4" t="str">
        <f>HYPERLINK("https://diaocthongthai.com/xa-chieng-xom-tp-son-la/","Xã Chiềng Xôm")</f>
        <v>Xã Chiềng Xôm</v>
      </c>
    </row>
    <row r="1575" spans="1:7" x14ac:dyDescent="0.25">
      <c r="A1575" s="2">
        <v>1574</v>
      </c>
      <c r="B1575" s="3" t="s">
        <v>11</v>
      </c>
      <c r="C1575" s="4" t="str">
        <f t="shared" si="134"/>
        <v>Sơn La</v>
      </c>
      <c r="D1575" s="3" t="s">
        <v>159</v>
      </c>
      <c r="E1575" s="4" t="str">
        <f t="shared" si="135"/>
        <v>Thành phố Sơn La</v>
      </c>
      <c r="F1575" s="3" t="s">
        <v>2339</v>
      </c>
      <c r="G1575" s="4" t="str">
        <f>HYPERLINK("https://diaocthongthai.com/phuong-chieng-an-tp-son-la/","Phường Chiềng An")</f>
        <v>Phường Chiềng An</v>
      </c>
    </row>
    <row r="1576" spans="1:7" x14ac:dyDescent="0.25">
      <c r="A1576" s="2">
        <v>1575</v>
      </c>
      <c r="B1576" s="3" t="s">
        <v>11</v>
      </c>
      <c r="C1576" s="4" t="str">
        <f t="shared" si="134"/>
        <v>Sơn La</v>
      </c>
      <c r="D1576" s="3" t="s">
        <v>159</v>
      </c>
      <c r="E1576" s="4" t="str">
        <f t="shared" si="135"/>
        <v>Thành phố Sơn La</v>
      </c>
      <c r="F1576" s="3" t="s">
        <v>2340</v>
      </c>
      <c r="G1576" s="4" t="str">
        <f>HYPERLINK("https://diaocthongthai.com/phuong-chieng-coi-tp-son-la/","Phường Chiềng Cơi")</f>
        <v>Phường Chiềng Cơi</v>
      </c>
    </row>
    <row r="1577" spans="1:7" x14ac:dyDescent="0.25">
      <c r="A1577" s="2">
        <v>1576</v>
      </c>
      <c r="B1577" s="3" t="s">
        <v>11</v>
      </c>
      <c r="C1577" s="4" t="str">
        <f t="shared" si="134"/>
        <v>Sơn La</v>
      </c>
      <c r="D1577" s="3" t="s">
        <v>159</v>
      </c>
      <c r="E1577" s="4" t="str">
        <f t="shared" si="135"/>
        <v>Thành phố Sơn La</v>
      </c>
      <c r="F1577" s="3" t="s">
        <v>2341</v>
      </c>
      <c r="G1577" s="4" t="str">
        <f>HYPERLINK("https://diaocthongthai.com/xa-chieng-ngan-tp-son-la/","Xã Chiềng Ngần")</f>
        <v>Xã Chiềng Ngần</v>
      </c>
    </row>
    <row r="1578" spans="1:7" x14ac:dyDescent="0.25">
      <c r="A1578" s="2">
        <v>1577</v>
      </c>
      <c r="B1578" s="3" t="s">
        <v>11</v>
      </c>
      <c r="C1578" s="4" t="str">
        <f t="shared" si="134"/>
        <v>Sơn La</v>
      </c>
      <c r="D1578" s="3" t="s">
        <v>159</v>
      </c>
      <c r="E1578" s="4" t="str">
        <f t="shared" si="135"/>
        <v>Thành phố Sơn La</v>
      </c>
      <c r="F1578" s="3" t="s">
        <v>2342</v>
      </c>
      <c r="G1578" s="4" t="str">
        <f>HYPERLINK("https://diaocthongthai.com/xa-hua-la-tp-son-la/","Xã Hua La")</f>
        <v>Xã Hua La</v>
      </c>
    </row>
    <row r="1579" spans="1:7" x14ac:dyDescent="0.25">
      <c r="A1579" s="2">
        <v>1578</v>
      </c>
      <c r="B1579" s="3" t="s">
        <v>11</v>
      </c>
      <c r="C1579" s="4" t="str">
        <f t="shared" si="134"/>
        <v>Sơn La</v>
      </c>
      <c r="D1579" s="3" t="s">
        <v>159</v>
      </c>
      <c r="E1579" s="4" t="str">
        <f t="shared" si="135"/>
        <v>Thành phố Sơn La</v>
      </c>
      <c r="F1579" s="3" t="s">
        <v>2343</v>
      </c>
      <c r="G1579" s="4" t="str">
        <f>HYPERLINK("https://diaocthongthai.com/phuong-chieng-sinh-tp-son-la/","Phường Chiềng Sinh")</f>
        <v>Phường Chiềng Sinh</v>
      </c>
    </row>
    <row r="1580" spans="1:7" x14ac:dyDescent="0.25">
      <c r="A1580" s="2">
        <v>1579</v>
      </c>
      <c r="B1580" s="3" t="s">
        <v>11</v>
      </c>
      <c r="C1580" s="4" t="str">
        <f t="shared" si="134"/>
        <v>Sơn La</v>
      </c>
      <c r="D1580" s="3" t="s">
        <v>160</v>
      </c>
      <c r="E1580" s="4" t="str">
        <f t="shared" ref="E1580:E1590" si="136">HYPERLINK("https://diaocthongthai.com/ban-do-huyen-quynh-nhai-son-la/","Huyện Quỳnh Nhai")</f>
        <v>Huyện Quỳnh Nhai</v>
      </c>
      <c r="F1580" s="3" t="s">
        <v>2344</v>
      </c>
      <c r="G1580" s="4" t="str">
        <f>HYPERLINK("https://diaocthongthai.com/xa-muong-chien-quynh-nhai/","Xã Mường Chiên")</f>
        <v>Xã Mường Chiên</v>
      </c>
    </row>
    <row r="1581" spans="1:7" x14ac:dyDescent="0.25">
      <c r="A1581" s="2">
        <v>1580</v>
      </c>
      <c r="B1581" s="3" t="s">
        <v>11</v>
      </c>
      <c r="C1581" s="4" t="str">
        <f t="shared" si="134"/>
        <v>Sơn La</v>
      </c>
      <c r="D1581" s="3" t="s">
        <v>160</v>
      </c>
      <c r="E1581" s="4" t="str">
        <f t="shared" si="136"/>
        <v>Huyện Quỳnh Nhai</v>
      </c>
      <c r="F1581" s="3" t="s">
        <v>2345</v>
      </c>
      <c r="G1581" s="4" t="str">
        <f>HYPERLINK("https://diaocthongthai.com/xa-ca-nang-quynh-nhai/","Xã Cà Nàng")</f>
        <v>Xã Cà Nàng</v>
      </c>
    </row>
    <row r="1582" spans="1:7" x14ac:dyDescent="0.25">
      <c r="A1582" s="2">
        <v>1581</v>
      </c>
      <c r="B1582" s="3" t="s">
        <v>11</v>
      </c>
      <c r="C1582" s="4" t="str">
        <f t="shared" si="134"/>
        <v>Sơn La</v>
      </c>
      <c r="D1582" s="3" t="s">
        <v>160</v>
      </c>
      <c r="E1582" s="4" t="str">
        <f t="shared" si="136"/>
        <v>Huyện Quỳnh Nhai</v>
      </c>
      <c r="F1582" s="3" t="s">
        <v>2346</v>
      </c>
      <c r="G1582" s="4" t="str">
        <f>HYPERLINK("https://diaocthongthai.com/xa-chieng-khay-quynh-nhai/","Xã Chiềng Khay")</f>
        <v>Xã Chiềng Khay</v>
      </c>
    </row>
    <row r="1583" spans="1:7" x14ac:dyDescent="0.25">
      <c r="A1583" s="2">
        <v>1582</v>
      </c>
      <c r="B1583" s="3" t="s">
        <v>11</v>
      </c>
      <c r="C1583" s="4" t="str">
        <f t="shared" si="134"/>
        <v>Sơn La</v>
      </c>
      <c r="D1583" s="3" t="s">
        <v>160</v>
      </c>
      <c r="E1583" s="4" t="str">
        <f t="shared" si="136"/>
        <v>Huyện Quỳnh Nhai</v>
      </c>
      <c r="F1583" s="3" t="s">
        <v>2347</v>
      </c>
      <c r="G1583" s="4" t="str">
        <f>HYPERLINK("https://diaocthongthai.com/xa-muong-gion-quynh-nhai/","Xã Mường Giôn")</f>
        <v>Xã Mường Giôn</v>
      </c>
    </row>
    <row r="1584" spans="1:7" x14ac:dyDescent="0.25">
      <c r="A1584" s="2">
        <v>1583</v>
      </c>
      <c r="B1584" s="3" t="s">
        <v>11</v>
      </c>
      <c r="C1584" s="4" t="str">
        <f t="shared" si="134"/>
        <v>Sơn La</v>
      </c>
      <c r="D1584" s="3" t="s">
        <v>160</v>
      </c>
      <c r="E1584" s="4" t="str">
        <f t="shared" si="136"/>
        <v>Huyện Quỳnh Nhai</v>
      </c>
      <c r="F1584" s="3" t="s">
        <v>2348</v>
      </c>
      <c r="G1584" s="4" t="str">
        <f>HYPERLINK("https://diaocthongthai.com/xa-pa-ma-pha-khinh-quynh-nhai/","Xã Pá Ma Pha Khinh")</f>
        <v>Xã Pá Ma Pha Khinh</v>
      </c>
    </row>
    <row r="1585" spans="1:7" x14ac:dyDescent="0.25">
      <c r="A1585" s="2">
        <v>1584</v>
      </c>
      <c r="B1585" s="3" t="s">
        <v>11</v>
      </c>
      <c r="C1585" s="4" t="str">
        <f t="shared" si="134"/>
        <v>Sơn La</v>
      </c>
      <c r="D1585" s="3" t="s">
        <v>160</v>
      </c>
      <c r="E1585" s="4" t="str">
        <f t="shared" si="136"/>
        <v>Huyện Quỳnh Nhai</v>
      </c>
      <c r="F1585" s="3" t="s">
        <v>2349</v>
      </c>
      <c r="G1585" s="4" t="str">
        <f>HYPERLINK("https://diaocthongthai.com/xa-chieng-on-quynh-nhai/","Xã Chiềng Ơn")</f>
        <v>Xã Chiềng Ơn</v>
      </c>
    </row>
    <row r="1586" spans="1:7" x14ac:dyDescent="0.25">
      <c r="A1586" s="2">
        <v>1585</v>
      </c>
      <c r="B1586" s="3" t="s">
        <v>11</v>
      </c>
      <c r="C1586" s="4" t="str">
        <f t="shared" si="134"/>
        <v>Sơn La</v>
      </c>
      <c r="D1586" s="3" t="s">
        <v>160</v>
      </c>
      <c r="E1586" s="4" t="str">
        <f t="shared" si="136"/>
        <v>Huyện Quỳnh Nhai</v>
      </c>
      <c r="F1586" s="3" t="s">
        <v>2350</v>
      </c>
      <c r="G1586" s="4" t="str">
        <f>HYPERLINK("https://diaocthongthai.com/xa-muong-giang-quynh-nhai/","Xã Mường Giàng")</f>
        <v>Xã Mường Giàng</v>
      </c>
    </row>
    <row r="1587" spans="1:7" x14ac:dyDescent="0.25">
      <c r="A1587" s="2">
        <v>1586</v>
      </c>
      <c r="B1587" s="3" t="s">
        <v>11</v>
      </c>
      <c r="C1587" s="4" t="str">
        <f t="shared" si="134"/>
        <v>Sơn La</v>
      </c>
      <c r="D1587" s="3" t="s">
        <v>160</v>
      </c>
      <c r="E1587" s="4" t="str">
        <f t="shared" si="136"/>
        <v>Huyện Quỳnh Nhai</v>
      </c>
      <c r="F1587" s="3" t="s">
        <v>2351</v>
      </c>
      <c r="G1587" s="4" t="str">
        <f>HYPERLINK("https://diaocthongthai.com/xa-chieng-bang-quynh-nhai/","Xã Chiềng Bằng")</f>
        <v>Xã Chiềng Bằng</v>
      </c>
    </row>
    <row r="1588" spans="1:7" x14ac:dyDescent="0.25">
      <c r="A1588" s="2">
        <v>1587</v>
      </c>
      <c r="B1588" s="3" t="s">
        <v>11</v>
      </c>
      <c r="C1588" s="4" t="str">
        <f t="shared" si="134"/>
        <v>Sơn La</v>
      </c>
      <c r="D1588" s="3" t="s">
        <v>160</v>
      </c>
      <c r="E1588" s="4" t="str">
        <f t="shared" si="136"/>
        <v>Huyện Quỳnh Nhai</v>
      </c>
      <c r="F1588" s="3" t="s">
        <v>2352</v>
      </c>
      <c r="G1588" s="4" t="str">
        <f>HYPERLINK("https://diaocthongthai.com/xa-muong-sai-quynh-nhai/","Xã Mường Sại")</f>
        <v>Xã Mường Sại</v>
      </c>
    </row>
    <row r="1589" spans="1:7" x14ac:dyDescent="0.25">
      <c r="A1589" s="2">
        <v>1588</v>
      </c>
      <c r="B1589" s="3" t="s">
        <v>11</v>
      </c>
      <c r="C1589" s="4" t="str">
        <f t="shared" si="134"/>
        <v>Sơn La</v>
      </c>
      <c r="D1589" s="3" t="s">
        <v>160</v>
      </c>
      <c r="E1589" s="4" t="str">
        <f t="shared" si="136"/>
        <v>Huyện Quỳnh Nhai</v>
      </c>
      <c r="F1589" s="3" t="s">
        <v>2353</v>
      </c>
      <c r="G1589" s="4" t="str">
        <f>HYPERLINK("https://diaocthongthai.com/xa-nam-et-quynh-nhai/","Xã Nậm ét")</f>
        <v>Xã Nậm ét</v>
      </c>
    </row>
    <row r="1590" spans="1:7" x14ac:dyDescent="0.25">
      <c r="A1590" s="2">
        <v>1589</v>
      </c>
      <c r="B1590" s="3" t="s">
        <v>11</v>
      </c>
      <c r="C1590" s="4" t="str">
        <f t="shared" si="134"/>
        <v>Sơn La</v>
      </c>
      <c r="D1590" s="3" t="s">
        <v>160</v>
      </c>
      <c r="E1590" s="4" t="str">
        <f t="shared" si="136"/>
        <v>Huyện Quỳnh Nhai</v>
      </c>
      <c r="F1590" s="3" t="s">
        <v>2354</v>
      </c>
      <c r="G1590" s="4" t="str">
        <f>HYPERLINK("https://diaocthongthai.com/xa-chieng-khoang-quynh-nhai/","Xã Chiềng Khoang")</f>
        <v>Xã Chiềng Khoang</v>
      </c>
    </row>
    <row r="1591" spans="1:7" x14ac:dyDescent="0.25">
      <c r="A1591" s="2">
        <v>1590</v>
      </c>
      <c r="B1591" s="3" t="s">
        <v>11</v>
      </c>
      <c r="C1591" s="4" t="str">
        <f t="shared" si="134"/>
        <v>Sơn La</v>
      </c>
      <c r="D1591" s="3" t="s">
        <v>161</v>
      </c>
      <c r="E1591" s="4" t="str">
        <f t="shared" ref="E1591:E1619" si="137">HYPERLINK("https://diaocthongthai.com/ban-do-huyen-thuan-chau-son-la/","Huyện Thuận Châu")</f>
        <v>Huyện Thuận Châu</v>
      </c>
      <c r="F1591" s="3" t="s">
        <v>2355</v>
      </c>
      <c r="G1591" s="4" t="str">
        <f>HYPERLINK("https://diaocthongthai.com/thi-tran-thuan-chau-thuan-chau/","Thị trấn Thuận Châu")</f>
        <v>Thị trấn Thuận Châu</v>
      </c>
    </row>
    <row r="1592" spans="1:7" x14ac:dyDescent="0.25">
      <c r="A1592" s="2">
        <v>1591</v>
      </c>
      <c r="B1592" s="3" t="s">
        <v>11</v>
      </c>
      <c r="C1592" s="4" t="str">
        <f t="shared" si="134"/>
        <v>Sơn La</v>
      </c>
      <c r="D1592" s="3" t="s">
        <v>161</v>
      </c>
      <c r="E1592" s="4" t="str">
        <f t="shared" si="137"/>
        <v>Huyện Thuận Châu</v>
      </c>
      <c r="F1592" s="3" t="s">
        <v>2356</v>
      </c>
      <c r="G1592" s="4" t="str">
        <f>HYPERLINK("https://diaocthongthai.com/xa-phong-lai-thuan-chau/","Xã Phổng Lái")</f>
        <v>Xã Phổng Lái</v>
      </c>
    </row>
    <row r="1593" spans="1:7" x14ac:dyDescent="0.25">
      <c r="A1593" s="2">
        <v>1592</v>
      </c>
      <c r="B1593" s="3" t="s">
        <v>11</v>
      </c>
      <c r="C1593" s="4" t="str">
        <f t="shared" si="134"/>
        <v>Sơn La</v>
      </c>
      <c r="D1593" s="3" t="s">
        <v>161</v>
      </c>
      <c r="E1593" s="4" t="str">
        <f t="shared" si="137"/>
        <v>Huyện Thuận Châu</v>
      </c>
      <c r="F1593" s="3" t="s">
        <v>2357</v>
      </c>
      <c r="G1593" s="4" t="str">
        <f>HYPERLINK("https://diaocthongthai.com/xa-muong-e-thuan-chau/","Xã Mường é")</f>
        <v>Xã Mường é</v>
      </c>
    </row>
    <row r="1594" spans="1:7" x14ac:dyDescent="0.25">
      <c r="A1594" s="2">
        <v>1593</v>
      </c>
      <c r="B1594" s="3" t="s">
        <v>11</v>
      </c>
      <c r="C1594" s="4" t="str">
        <f t="shared" si="134"/>
        <v>Sơn La</v>
      </c>
      <c r="D1594" s="3" t="s">
        <v>161</v>
      </c>
      <c r="E1594" s="4" t="str">
        <f t="shared" si="137"/>
        <v>Huyện Thuận Châu</v>
      </c>
      <c r="F1594" s="3" t="s">
        <v>2358</v>
      </c>
      <c r="G1594" s="4" t="str">
        <f>HYPERLINK("https://diaocthongthai.com/xa-chieng-pha-thuan-chau/","Xã Chiềng Pha")</f>
        <v>Xã Chiềng Pha</v>
      </c>
    </row>
    <row r="1595" spans="1:7" x14ac:dyDescent="0.25">
      <c r="A1595" s="2">
        <v>1594</v>
      </c>
      <c r="B1595" s="3" t="s">
        <v>11</v>
      </c>
      <c r="C1595" s="4" t="str">
        <f t="shared" si="134"/>
        <v>Sơn La</v>
      </c>
      <c r="D1595" s="3" t="s">
        <v>161</v>
      </c>
      <c r="E1595" s="4" t="str">
        <f t="shared" si="137"/>
        <v>Huyện Thuận Châu</v>
      </c>
      <c r="F1595" s="3" t="s">
        <v>2359</v>
      </c>
      <c r="G1595" s="4" t="str">
        <f>HYPERLINK("https://diaocthongthai.com/xa-chieng-la-thuan-chau/","Xã Chiềng La")</f>
        <v>Xã Chiềng La</v>
      </c>
    </row>
    <row r="1596" spans="1:7" x14ac:dyDescent="0.25">
      <c r="A1596" s="2">
        <v>1595</v>
      </c>
      <c r="B1596" s="3" t="s">
        <v>11</v>
      </c>
      <c r="C1596" s="4" t="str">
        <f t="shared" si="134"/>
        <v>Sơn La</v>
      </c>
      <c r="D1596" s="3" t="s">
        <v>161</v>
      </c>
      <c r="E1596" s="4" t="str">
        <f t="shared" si="137"/>
        <v>Huyện Thuận Châu</v>
      </c>
      <c r="F1596" s="3" t="s">
        <v>2360</v>
      </c>
      <c r="G1596" s="4" t="str">
        <f>HYPERLINK("https://diaocthongthai.com/xa-chieng-ngam-thuan-chau/","Xã Chiềng Ngàm")</f>
        <v>Xã Chiềng Ngàm</v>
      </c>
    </row>
    <row r="1597" spans="1:7" x14ac:dyDescent="0.25">
      <c r="A1597" s="2">
        <v>1596</v>
      </c>
      <c r="B1597" s="3" t="s">
        <v>11</v>
      </c>
      <c r="C1597" s="4" t="str">
        <f t="shared" si="134"/>
        <v>Sơn La</v>
      </c>
      <c r="D1597" s="3" t="s">
        <v>161</v>
      </c>
      <c r="E1597" s="4" t="str">
        <f t="shared" si="137"/>
        <v>Huyện Thuận Châu</v>
      </c>
      <c r="F1597" s="3" t="s">
        <v>2361</v>
      </c>
      <c r="G1597" s="4" t="str">
        <f>HYPERLINK("https://diaocthongthai.com/xa-liep-te-thuan-chau/","Xã Liệp Tè")</f>
        <v>Xã Liệp Tè</v>
      </c>
    </row>
    <row r="1598" spans="1:7" x14ac:dyDescent="0.25">
      <c r="A1598" s="2">
        <v>1597</v>
      </c>
      <c r="B1598" s="3" t="s">
        <v>11</v>
      </c>
      <c r="C1598" s="4" t="str">
        <f t="shared" si="134"/>
        <v>Sơn La</v>
      </c>
      <c r="D1598" s="3" t="s">
        <v>161</v>
      </c>
      <c r="E1598" s="4" t="str">
        <f t="shared" si="137"/>
        <v>Huyện Thuận Châu</v>
      </c>
      <c r="F1598" s="3" t="s">
        <v>2362</v>
      </c>
      <c r="G1598" s="4" t="str">
        <f>HYPERLINK("https://diaocthongthai.com/xa-e-tong-thuan-chau/","Xã é Tòng")</f>
        <v>Xã é Tòng</v>
      </c>
    </row>
    <row r="1599" spans="1:7" x14ac:dyDescent="0.25">
      <c r="A1599" s="2">
        <v>1598</v>
      </c>
      <c r="B1599" s="3" t="s">
        <v>11</v>
      </c>
      <c r="C1599" s="4" t="str">
        <f t="shared" si="134"/>
        <v>Sơn La</v>
      </c>
      <c r="D1599" s="3" t="s">
        <v>161</v>
      </c>
      <c r="E1599" s="4" t="str">
        <f t="shared" si="137"/>
        <v>Huyện Thuận Châu</v>
      </c>
      <c r="F1599" s="3" t="s">
        <v>2363</v>
      </c>
      <c r="G1599" s="4" t="str">
        <f>HYPERLINK("https://diaocthongthai.com/xa-phong-lap-thuan-chau/","Xã Phổng Lập")</f>
        <v>Xã Phổng Lập</v>
      </c>
    </row>
    <row r="1600" spans="1:7" x14ac:dyDescent="0.25">
      <c r="A1600" s="2">
        <v>1599</v>
      </c>
      <c r="B1600" s="3" t="s">
        <v>11</v>
      </c>
      <c r="C1600" s="4" t="str">
        <f t="shared" si="134"/>
        <v>Sơn La</v>
      </c>
      <c r="D1600" s="3" t="s">
        <v>161</v>
      </c>
      <c r="E1600" s="4" t="str">
        <f t="shared" si="137"/>
        <v>Huyện Thuận Châu</v>
      </c>
      <c r="F1600" s="3" t="s">
        <v>2364</v>
      </c>
      <c r="G1600" s="4" t="str">
        <f>HYPERLINK("https://diaocthongthai.com/xa-phong-lang-thuan-chau/","Xã Phổng Lăng")</f>
        <v>Xã Phổng Lăng</v>
      </c>
    </row>
    <row r="1601" spans="1:7" x14ac:dyDescent="0.25">
      <c r="A1601" s="2">
        <v>1600</v>
      </c>
      <c r="B1601" s="3" t="s">
        <v>11</v>
      </c>
      <c r="C1601" s="4" t="str">
        <f t="shared" si="134"/>
        <v>Sơn La</v>
      </c>
      <c r="D1601" s="3" t="s">
        <v>161</v>
      </c>
      <c r="E1601" s="4" t="str">
        <f t="shared" si="137"/>
        <v>Huyện Thuận Châu</v>
      </c>
      <c r="F1601" s="3" t="s">
        <v>2365</v>
      </c>
      <c r="G1601" s="4" t="str">
        <f>HYPERLINK("https://diaocthongthai.com/xa-chieng-ly-thuan-chau/","Xã Chiềng Ly")</f>
        <v>Xã Chiềng Ly</v>
      </c>
    </row>
    <row r="1602" spans="1:7" x14ac:dyDescent="0.25">
      <c r="A1602" s="2">
        <v>1601</v>
      </c>
      <c r="B1602" s="3" t="s">
        <v>11</v>
      </c>
      <c r="C1602" s="4" t="str">
        <f t="shared" si="134"/>
        <v>Sơn La</v>
      </c>
      <c r="D1602" s="3" t="s">
        <v>161</v>
      </c>
      <c r="E1602" s="4" t="str">
        <f t="shared" si="137"/>
        <v>Huyện Thuận Châu</v>
      </c>
      <c r="F1602" s="3" t="s">
        <v>2366</v>
      </c>
      <c r="G1602" s="4" t="str">
        <f>HYPERLINK("https://diaocthongthai.com/xa-nong-lay-thuan-chau/","Xã Noong Lay")</f>
        <v>Xã Noong Lay</v>
      </c>
    </row>
    <row r="1603" spans="1:7" x14ac:dyDescent="0.25">
      <c r="A1603" s="2">
        <v>1602</v>
      </c>
      <c r="B1603" s="3" t="s">
        <v>11</v>
      </c>
      <c r="C1603" s="4" t="str">
        <f t="shared" si="134"/>
        <v>Sơn La</v>
      </c>
      <c r="D1603" s="3" t="s">
        <v>161</v>
      </c>
      <c r="E1603" s="4" t="str">
        <f t="shared" si="137"/>
        <v>Huyện Thuận Châu</v>
      </c>
      <c r="F1603" s="3" t="s">
        <v>2367</v>
      </c>
      <c r="G1603" s="4" t="str">
        <f>HYPERLINK("https://diaocthongthai.com/xa-muong-khieng-thuan-chau/","Xã Mường Khiêng")</f>
        <v>Xã Mường Khiêng</v>
      </c>
    </row>
    <row r="1604" spans="1:7" x14ac:dyDescent="0.25">
      <c r="A1604" s="2">
        <v>1603</v>
      </c>
      <c r="B1604" s="3" t="s">
        <v>11</v>
      </c>
      <c r="C1604" s="4" t="str">
        <f t="shared" si="134"/>
        <v>Sơn La</v>
      </c>
      <c r="D1604" s="3" t="s">
        <v>161</v>
      </c>
      <c r="E1604" s="4" t="str">
        <f t="shared" si="137"/>
        <v>Huyện Thuận Châu</v>
      </c>
      <c r="F1604" s="3" t="s">
        <v>2368</v>
      </c>
      <c r="G1604" s="4" t="str">
        <f>HYPERLINK("https://diaocthongthai.com/xa-muong-bam-thuan-chau/","Xã Mường Bám")</f>
        <v>Xã Mường Bám</v>
      </c>
    </row>
    <row r="1605" spans="1:7" x14ac:dyDescent="0.25">
      <c r="A1605" s="2">
        <v>1604</v>
      </c>
      <c r="B1605" s="3" t="s">
        <v>11</v>
      </c>
      <c r="C1605" s="4" t="str">
        <f t="shared" si="134"/>
        <v>Sơn La</v>
      </c>
      <c r="D1605" s="3" t="s">
        <v>161</v>
      </c>
      <c r="E1605" s="4" t="str">
        <f t="shared" si="137"/>
        <v>Huyện Thuận Châu</v>
      </c>
      <c r="F1605" s="3" t="s">
        <v>2369</v>
      </c>
      <c r="G1605" s="4" t="str">
        <f>HYPERLINK("https://diaocthongthai.com/xa-long-he-thuan-chau/","Xã Long Hẹ")</f>
        <v>Xã Long Hẹ</v>
      </c>
    </row>
    <row r="1606" spans="1:7" x14ac:dyDescent="0.25">
      <c r="A1606" s="2">
        <v>1605</v>
      </c>
      <c r="B1606" s="3" t="s">
        <v>11</v>
      </c>
      <c r="C1606" s="4" t="str">
        <f t="shared" si="134"/>
        <v>Sơn La</v>
      </c>
      <c r="D1606" s="3" t="s">
        <v>161</v>
      </c>
      <c r="E1606" s="4" t="str">
        <f t="shared" si="137"/>
        <v>Huyện Thuận Châu</v>
      </c>
      <c r="F1606" s="3" t="s">
        <v>2370</v>
      </c>
      <c r="G1606" s="4" t="str">
        <f>HYPERLINK("https://diaocthongthai.com/xa-chieng-bom-thuan-chau/","Xã Chiềng Bôm")</f>
        <v>Xã Chiềng Bôm</v>
      </c>
    </row>
    <row r="1607" spans="1:7" x14ac:dyDescent="0.25">
      <c r="A1607" s="2">
        <v>1606</v>
      </c>
      <c r="B1607" s="3" t="s">
        <v>11</v>
      </c>
      <c r="C1607" s="4" t="str">
        <f t="shared" si="134"/>
        <v>Sơn La</v>
      </c>
      <c r="D1607" s="3" t="s">
        <v>161</v>
      </c>
      <c r="E1607" s="4" t="str">
        <f t="shared" si="137"/>
        <v>Huyện Thuận Châu</v>
      </c>
      <c r="F1607" s="3" t="s">
        <v>2371</v>
      </c>
      <c r="G1607" s="4" t="str">
        <f>HYPERLINK("https://diaocthongthai.com/xa-thom-mon-thuan-chau/","Xã Thôm Mòn")</f>
        <v>Xã Thôm Mòn</v>
      </c>
    </row>
    <row r="1608" spans="1:7" x14ac:dyDescent="0.25">
      <c r="A1608" s="2">
        <v>1607</v>
      </c>
      <c r="B1608" s="3" t="s">
        <v>11</v>
      </c>
      <c r="C1608" s="4" t="str">
        <f t="shared" si="134"/>
        <v>Sơn La</v>
      </c>
      <c r="D1608" s="3" t="s">
        <v>161</v>
      </c>
      <c r="E1608" s="4" t="str">
        <f t="shared" si="137"/>
        <v>Huyện Thuận Châu</v>
      </c>
      <c r="F1608" s="3" t="s">
        <v>2372</v>
      </c>
      <c r="G1608" s="4" t="str">
        <f>HYPERLINK("https://diaocthongthai.com/xa-tong-lanh-thuan-chau/","Xã Tông Lạnh")</f>
        <v>Xã Tông Lạnh</v>
      </c>
    </row>
    <row r="1609" spans="1:7" x14ac:dyDescent="0.25">
      <c r="A1609" s="2">
        <v>1608</v>
      </c>
      <c r="B1609" s="3" t="s">
        <v>11</v>
      </c>
      <c r="C1609" s="4" t="str">
        <f t="shared" si="134"/>
        <v>Sơn La</v>
      </c>
      <c r="D1609" s="3" t="s">
        <v>161</v>
      </c>
      <c r="E1609" s="4" t="str">
        <f t="shared" si="137"/>
        <v>Huyện Thuận Châu</v>
      </c>
      <c r="F1609" s="3" t="s">
        <v>2373</v>
      </c>
      <c r="G1609" s="4" t="str">
        <f>HYPERLINK("https://diaocthongthai.com/xa-tong-co-thuan-chau/","Xã Tông Cọ")</f>
        <v>Xã Tông Cọ</v>
      </c>
    </row>
    <row r="1610" spans="1:7" x14ac:dyDescent="0.25">
      <c r="A1610" s="2">
        <v>1609</v>
      </c>
      <c r="B1610" s="3" t="s">
        <v>11</v>
      </c>
      <c r="C1610" s="4" t="str">
        <f t="shared" si="134"/>
        <v>Sơn La</v>
      </c>
      <c r="D1610" s="3" t="s">
        <v>161</v>
      </c>
      <c r="E1610" s="4" t="str">
        <f t="shared" si="137"/>
        <v>Huyện Thuận Châu</v>
      </c>
      <c r="F1610" s="3" t="s">
        <v>2374</v>
      </c>
      <c r="G1610" s="4" t="str">
        <f>HYPERLINK("https://diaocthongthai.com/xa-bo-muoi-thuan-chau/","Xã Bó Mười")</f>
        <v>Xã Bó Mười</v>
      </c>
    </row>
    <row r="1611" spans="1:7" x14ac:dyDescent="0.25">
      <c r="A1611" s="2">
        <v>1610</v>
      </c>
      <c r="B1611" s="3" t="s">
        <v>11</v>
      </c>
      <c r="C1611" s="4" t="str">
        <f t="shared" si="134"/>
        <v>Sơn La</v>
      </c>
      <c r="D1611" s="3" t="s">
        <v>161</v>
      </c>
      <c r="E1611" s="4" t="str">
        <f t="shared" si="137"/>
        <v>Huyện Thuận Châu</v>
      </c>
      <c r="F1611" s="3" t="s">
        <v>2375</v>
      </c>
      <c r="G1611" s="4" t="str">
        <f>HYPERLINK("https://diaocthongthai.com/xa-co-ma-thuan-chau/","Xã Co Mạ")</f>
        <v>Xã Co Mạ</v>
      </c>
    </row>
    <row r="1612" spans="1:7" x14ac:dyDescent="0.25">
      <c r="A1612" s="2">
        <v>1611</v>
      </c>
      <c r="B1612" s="3" t="s">
        <v>11</v>
      </c>
      <c r="C1612" s="4" t="str">
        <f t="shared" si="134"/>
        <v>Sơn La</v>
      </c>
      <c r="D1612" s="3" t="s">
        <v>161</v>
      </c>
      <c r="E1612" s="4" t="str">
        <f t="shared" si="137"/>
        <v>Huyện Thuận Châu</v>
      </c>
      <c r="F1612" s="3" t="s">
        <v>2376</v>
      </c>
      <c r="G1612" s="4" t="str">
        <f>HYPERLINK("https://diaocthongthai.com/xa-pung-tra-thuan-chau/","Xã Púng Tra")</f>
        <v>Xã Púng Tra</v>
      </c>
    </row>
    <row r="1613" spans="1:7" x14ac:dyDescent="0.25">
      <c r="A1613" s="2">
        <v>1612</v>
      </c>
      <c r="B1613" s="3" t="s">
        <v>11</v>
      </c>
      <c r="C1613" s="4" t="str">
        <f t="shared" si="134"/>
        <v>Sơn La</v>
      </c>
      <c r="D1613" s="3" t="s">
        <v>161</v>
      </c>
      <c r="E1613" s="4" t="str">
        <f t="shared" si="137"/>
        <v>Huyện Thuận Châu</v>
      </c>
      <c r="F1613" s="3" t="s">
        <v>2377</v>
      </c>
      <c r="G1613" s="4" t="str">
        <f>HYPERLINK("https://diaocthongthai.com/xa-chieng-pac-thuan-chau/","Xã Chiềng Pấc")</f>
        <v>Xã Chiềng Pấc</v>
      </c>
    </row>
    <row r="1614" spans="1:7" x14ac:dyDescent="0.25">
      <c r="A1614" s="2">
        <v>1613</v>
      </c>
      <c r="B1614" s="3" t="s">
        <v>11</v>
      </c>
      <c r="C1614" s="4" t="str">
        <f t="shared" si="134"/>
        <v>Sơn La</v>
      </c>
      <c r="D1614" s="3" t="s">
        <v>161</v>
      </c>
      <c r="E1614" s="4" t="str">
        <f t="shared" si="137"/>
        <v>Huyện Thuận Châu</v>
      </c>
      <c r="F1614" s="3" t="s">
        <v>2378</v>
      </c>
      <c r="G1614" s="4" t="str">
        <f>HYPERLINK("https://diaocthongthai.com/xa-nam-lau-thuan-chau/","Xã Nậm Lầu")</f>
        <v>Xã Nậm Lầu</v>
      </c>
    </row>
    <row r="1615" spans="1:7" x14ac:dyDescent="0.25">
      <c r="A1615" s="2">
        <v>1614</v>
      </c>
      <c r="B1615" s="3" t="s">
        <v>11</v>
      </c>
      <c r="C1615" s="4" t="str">
        <f t="shared" si="134"/>
        <v>Sơn La</v>
      </c>
      <c r="D1615" s="3" t="s">
        <v>161</v>
      </c>
      <c r="E1615" s="4" t="str">
        <f t="shared" si="137"/>
        <v>Huyện Thuận Châu</v>
      </c>
      <c r="F1615" s="3" t="s">
        <v>2379</v>
      </c>
      <c r="G1615" s="4" t="str">
        <f>HYPERLINK("https://diaocthongthai.com/xa-bon-phang-thuan-chau/","Xã Bon Phặng")</f>
        <v>Xã Bon Phặng</v>
      </c>
    </row>
    <row r="1616" spans="1:7" x14ac:dyDescent="0.25">
      <c r="A1616" s="2">
        <v>1615</v>
      </c>
      <c r="B1616" s="3" t="s">
        <v>11</v>
      </c>
      <c r="C1616" s="4" t="str">
        <f t="shared" si="134"/>
        <v>Sơn La</v>
      </c>
      <c r="D1616" s="3" t="s">
        <v>161</v>
      </c>
      <c r="E1616" s="4" t="str">
        <f t="shared" si="137"/>
        <v>Huyện Thuận Châu</v>
      </c>
      <c r="F1616" s="3" t="s">
        <v>2380</v>
      </c>
      <c r="G1616" s="4" t="str">
        <f>HYPERLINK("https://diaocthongthai.com/xa-co-tong-thuan-chau/","Xã Co Tòng")</f>
        <v>Xã Co Tòng</v>
      </c>
    </row>
    <row r="1617" spans="1:7" x14ac:dyDescent="0.25">
      <c r="A1617" s="2">
        <v>1616</v>
      </c>
      <c r="B1617" s="3" t="s">
        <v>11</v>
      </c>
      <c r="C1617" s="4" t="str">
        <f t="shared" si="134"/>
        <v>Sơn La</v>
      </c>
      <c r="D1617" s="3" t="s">
        <v>161</v>
      </c>
      <c r="E1617" s="4" t="str">
        <f t="shared" si="137"/>
        <v>Huyện Thuận Châu</v>
      </c>
      <c r="F1617" s="3" t="s">
        <v>2381</v>
      </c>
      <c r="G1617" s="4" t="str">
        <f>HYPERLINK("https://diaocthongthai.com/xa-muoi-noi-thuan-chau/","Xã Muổi Nọi")</f>
        <v>Xã Muổi Nọi</v>
      </c>
    </row>
    <row r="1618" spans="1:7" x14ac:dyDescent="0.25">
      <c r="A1618" s="2">
        <v>1617</v>
      </c>
      <c r="B1618" s="3" t="s">
        <v>11</v>
      </c>
      <c r="C1618" s="4" t="str">
        <f t="shared" si="134"/>
        <v>Sơn La</v>
      </c>
      <c r="D1618" s="3" t="s">
        <v>161</v>
      </c>
      <c r="E1618" s="4" t="str">
        <f t="shared" si="137"/>
        <v>Huyện Thuận Châu</v>
      </c>
      <c r="F1618" s="3" t="s">
        <v>2382</v>
      </c>
      <c r="G1618" s="4" t="str">
        <f>HYPERLINK("https://diaocthongthai.com/xa-pa-long-thuan-chau/","Xã Pá Lông")</f>
        <v>Xã Pá Lông</v>
      </c>
    </row>
    <row r="1619" spans="1:7" x14ac:dyDescent="0.25">
      <c r="A1619" s="2">
        <v>1618</v>
      </c>
      <c r="B1619" s="3" t="s">
        <v>11</v>
      </c>
      <c r="C1619" s="4" t="str">
        <f t="shared" si="134"/>
        <v>Sơn La</v>
      </c>
      <c r="D1619" s="3" t="s">
        <v>161</v>
      </c>
      <c r="E1619" s="4" t="str">
        <f t="shared" si="137"/>
        <v>Huyện Thuận Châu</v>
      </c>
      <c r="F1619" s="3" t="s">
        <v>2383</v>
      </c>
      <c r="G1619" s="4" t="str">
        <f>HYPERLINK("https://diaocthongthai.com/xa-ban-lam-thuan-chau/","Xã Bản Lầm")</f>
        <v>Xã Bản Lầm</v>
      </c>
    </row>
    <row r="1620" spans="1:7" x14ac:dyDescent="0.25">
      <c r="A1620" s="2">
        <v>1619</v>
      </c>
      <c r="B1620" s="3" t="s">
        <v>11</v>
      </c>
      <c r="C1620" s="4" t="str">
        <f t="shared" si="134"/>
        <v>Sơn La</v>
      </c>
      <c r="D1620" s="3" t="s">
        <v>162</v>
      </c>
      <c r="E1620" s="4" t="str">
        <f t="shared" ref="E1620:E1635" si="138">HYPERLINK("https://diaocthongthai.com/ban-do-huyen-muong-la-son-la/","Huyện Mường La")</f>
        <v>Huyện Mường La</v>
      </c>
      <c r="F1620" s="3" t="s">
        <v>2384</v>
      </c>
      <c r="G1620" s="4" t="str">
        <f>HYPERLINK("https://diaocthongthai.com/thi-tran-it-ong-muong-la/","Thị trấn Ít Ong")</f>
        <v>Thị trấn Ít Ong</v>
      </c>
    </row>
    <row r="1621" spans="1:7" x14ac:dyDescent="0.25">
      <c r="A1621" s="2">
        <v>1620</v>
      </c>
      <c r="B1621" s="3" t="s">
        <v>11</v>
      </c>
      <c r="C1621" s="4" t="str">
        <f t="shared" si="134"/>
        <v>Sơn La</v>
      </c>
      <c r="D1621" s="3" t="s">
        <v>162</v>
      </c>
      <c r="E1621" s="4" t="str">
        <f t="shared" si="138"/>
        <v>Huyện Mường La</v>
      </c>
      <c r="F1621" s="3" t="s">
        <v>2385</v>
      </c>
      <c r="G1621" s="4" t="str">
        <f>HYPERLINK("https://diaocthongthai.com/xa-nam-gion-muong-la/","Xã Nậm Giôn")</f>
        <v>Xã Nậm Giôn</v>
      </c>
    </row>
    <row r="1622" spans="1:7" x14ac:dyDescent="0.25">
      <c r="A1622" s="2">
        <v>1621</v>
      </c>
      <c r="B1622" s="3" t="s">
        <v>11</v>
      </c>
      <c r="C1622" s="4" t="str">
        <f t="shared" si="134"/>
        <v>Sơn La</v>
      </c>
      <c r="D1622" s="3" t="s">
        <v>162</v>
      </c>
      <c r="E1622" s="4" t="str">
        <f t="shared" si="138"/>
        <v>Huyện Mường La</v>
      </c>
      <c r="F1622" s="3" t="s">
        <v>2386</v>
      </c>
      <c r="G1622" s="4" t="str">
        <f>HYPERLINK("https://diaocthongthai.com/xa-chieng-lao-muong-la/","Xã Chiềng Lao")</f>
        <v>Xã Chiềng Lao</v>
      </c>
    </row>
    <row r="1623" spans="1:7" x14ac:dyDescent="0.25">
      <c r="A1623" s="2">
        <v>1622</v>
      </c>
      <c r="B1623" s="3" t="s">
        <v>11</v>
      </c>
      <c r="C1623" s="4" t="str">
        <f t="shared" si="134"/>
        <v>Sơn La</v>
      </c>
      <c r="D1623" s="3" t="s">
        <v>162</v>
      </c>
      <c r="E1623" s="4" t="str">
        <f t="shared" si="138"/>
        <v>Huyện Mường La</v>
      </c>
      <c r="F1623" s="3" t="s">
        <v>2387</v>
      </c>
      <c r="G1623" s="4" t="str">
        <f>HYPERLINK("https://diaocthongthai.com/xa-hua-trai-muong-la/","Xã Hua Trai")</f>
        <v>Xã Hua Trai</v>
      </c>
    </row>
    <row r="1624" spans="1:7" x14ac:dyDescent="0.25">
      <c r="A1624" s="2">
        <v>1623</v>
      </c>
      <c r="B1624" s="3" t="s">
        <v>11</v>
      </c>
      <c r="C1624" s="4" t="str">
        <f t="shared" si="134"/>
        <v>Sơn La</v>
      </c>
      <c r="D1624" s="3" t="s">
        <v>162</v>
      </c>
      <c r="E1624" s="4" t="str">
        <f t="shared" si="138"/>
        <v>Huyện Mường La</v>
      </c>
      <c r="F1624" s="3" t="s">
        <v>2388</v>
      </c>
      <c r="G1624" s="4" t="str">
        <f>HYPERLINK("https://diaocthongthai.com/xa-ngoc-chien-muong-la/","Xã Ngọc Chiến")</f>
        <v>Xã Ngọc Chiến</v>
      </c>
    </row>
    <row r="1625" spans="1:7" x14ac:dyDescent="0.25">
      <c r="A1625" s="2">
        <v>1624</v>
      </c>
      <c r="B1625" s="3" t="s">
        <v>11</v>
      </c>
      <c r="C1625" s="4" t="str">
        <f t="shared" si="134"/>
        <v>Sơn La</v>
      </c>
      <c r="D1625" s="3" t="s">
        <v>162</v>
      </c>
      <c r="E1625" s="4" t="str">
        <f t="shared" si="138"/>
        <v>Huyện Mường La</v>
      </c>
      <c r="F1625" s="3" t="s">
        <v>2389</v>
      </c>
      <c r="G1625" s="4" t="str">
        <f>HYPERLINK("https://diaocthongthai.com/xa-muong-trai-muong-la/","Xã Mường Trai")</f>
        <v>Xã Mường Trai</v>
      </c>
    </row>
    <row r="1626" spans="1:7" x14ac:dyDescent="0.25">
      <c r="A1626" s="2">
        <v>1625</v>
      </c>
      <c r="B1626" s="3" t="s">
        <v>11</v>
      </c>
      <c r="C1626" s="4" t="str">
        <f t="shared" si="134"/>
        <v>Sơn La</v>
      </c>
      <c r="D1626" s="3" t="s">
        <v>162</v>
      </c>
      <c r="E1626" s="4" t="str">
        <f t="shared" si="138"/>
        <v>Huyện Mường La</v>
      </c>
      <c r="F1626" s="3" t="s">
        <v>2390</v>
      </c>
      <c r="G1626" s="4" t="str">
        <f>HYPERLINK("https://diaocthongthai.com/xa-nam-pam-muong-la/","Xã Nậm Păm")</f>
        <v>Xã Nậm Păm</v>
      </c>
    </row>
    <row r="1627" spans="1:7" x14ac:dyDescent="0.25">
      <c r="A1627" s="2">
        <v>1626</v>
      </c>
      <c r="B1627" s="3" t="s">
        <v>11</v>
      </c>
      <c r="C1627" s="4" t="str">
        <f t="shared" si="134"/>
        <v>Sơn La</v>
      </c>
      <c r="D1627" s="3" t="s">
        <v>162</v>
      </c>
      <c r="E1627" s="4" t="str">
        <f t="shared" si="138"/>
        <v>Huyện Mường La</v>
      </c>
      <c r="F1627" s="3" t="s">
        <v>2391</v>
      </c>
      <c r="G1627" s="4" t="str">
        <f>HYPERLINK("https://diaocthongthai.com/xa-chieng-muon-muong-la/","Xã Chiềng Muôn")</f>
        <v>Xã Chiềng Muôn</v>
      </c>
    </row>
    <row r="1628" spans="1:7" x14ac:dyDescent="0.25">
      <c r="A1628" s="2">
        <v>1627</v>
      </c>
      <c r="B1628" s="3" t="s">
        <v>11</v>
      </c>
      <c r="C1628" s="4" t="str">
        <f t="shared" si="134"/>
        <v>Sơn La</v>
      </c>
      <c r="D1628" s="3" t="s">
        <v>162</v>
      </c>
      <c r="E1628" s="4" t="str">
        <f t="shared" si="138"/>
        <v>Huyện Mường La</v>
      </c>
      <c r="F1628" s="3" t="s">
        <v>2392</v>
      </c>
      <c r="G1628" s="4" t="str">
        <f>HYPERLINK("https://diaocthongthai.com/xa-chieng-an-muong-la/","Xã Chiềng Ân")</f>
        <v>Xã Chiềng Ân</v>
      </c>
    </row>
    <row r="1629" spans="1:7" x14ac:dyDescent="0.25">
      <c r="A1629" s="2">
        <v>1628</v>
      </c>
      <c r="B1629" s="3" t="s">
        <v>11</v>
      </c>
      <c r="C1629" s="4" t="str">
        <f t="shared" si="134"/>
        <v>Sơn La</v>
      </c>
      <c r="D1629" s="3" t="s">
        <v>162</v>
      </c>
      <c r="E1629" s="4" t="str">
        <f t="shared" si="138"/>
        <v>Huyện Mường La</v>
      </c>
      <c r="F1629" s="3" t="s">
        <v>2393</v>
      </c>
      <c r="G1629" s="4" t="str">
        <f>HYPERLINK("https://diaocthongthai.com/xa-pi-toong-muong-la/","Xã Pi Toong")</f>
        <v>Xã Pi Toong</v>
      </c>
    </row>
    <row r="1630" spans="1:7" x14ac:dyDescent="0.25">
      <c r="A1630" s="2">
        <v>1629</v>
      </c>
      <c r="B1630" s="3" t="s">
        <v>11</v>
      </c>
      <c r="C1630" s="4" t="str">
        <f t="shared" si="134"/>
        <v>Sơn La</v>
      </c>
      <c r="D1630" s="3" t="s">
        <v>162</v>
      </c>
      <c r="E1630" s="4" t="str">
        <f t="shared" si="138"/>
        <v>Huyện Mường La</v>
      </c>
      <c r="F1630" s="3" t="s">
        <v>2394</v>
      </c>
      <c r="G1630" s="4" t="str">
        <f>HYPERLINK("https://diaocthongthai.com/xa-chieng-cong-muong-la/","Xã Chiềng Công")</f>
        <v>Xã Chiềng Công</v>
      </c>
    </row>
    <row r="1631" spans="1:7" x14ac:dyDescent="0.25">
      <c r="A1631" s="2">
        <v>1630</v>
      </c>
      <c r="B1631" s="3" t="s">
        <v>11</v>
      </c>
      <c r="C1631" s="4" t="str">
        <f t="shared" si="134"/>
        <v>Sơn La</v>
      </c>
      <c r="D1631" s="3" t="s">
        <v>162</v>
      </c>
      <c r="E1631" s="4" t="str">
        <f t="shared" si="138"/>
        <v>Huyện Mường La</v>
      </c>
      <c r="F1631" s="3" t="s">
        <v>2395</v>
      </c>
      <c r="G1631" s="4" t="str">
        <f>HYPERLINK("https://diaocthongthai.com/xa-ta-bu-muong-la/","Xã Tạ Bú")</f>
        <v>Xã Tạ Bú</v>
      </c>
    </row>
    <row r="1632" spans="1:7" x14ac:dyDescent="0.25">
      <c r="A1632" s="2">
        <v>1631</v>
      </c>
      <c r="B1632" s="3" t="s">
        <v>11</v>
      </c>
      <c r="C1632" s="4" t="str">
        <f t="shared" ref="C1632:C1695" si="139">HYPERLINK("https://diaocthongthai.com/ban-do-son-la/","Sơn La")</f>
        <v>Sơn La</v>
      </c>
      <c r="D1632" s="3" t="s">
        <v>162</v>
      </c>
      <c r="E1632" s="4" t="str">
        <f t="shared" si="138"/>
        <v>Huyện Mường La</v>
      </c>
      <c r="F1632" s="3" t="s">
        <v>2396</v>
      </c>
      <c r="G1632" s="4" t="str">
        <f>HYPERLINK("https://diaocthongthai.com/xa-chieng-san-muong-la/","Xã Chiềng San")</f>
        <v>Xã Chiềng San</v>
      </c>
    </row>
    <row r="1633" spans="1:7" x14ac:dyDescent="0.25">
      <c r="A1633" s="2">
        <v>1632</v>
      </c>
      <c r="B1633" s="3" t="s">
        <v>11</v>
      </c>
      <c r="C1633" s="4" t="str">
        <f t="shared" si="139"/>
        <v>Sơn La</v>
      </c>
      <c r="D1633" s="3" t="s">
        <v>162</v>
      </c>
      <c r="E1633" s="4" t="str">
        <f t="shared" si="138"/>
        <v>Huyện Mường La</v>
      </c>
      <c r="F1633" s="3" t="s">
        <v>2397</v>
      </c>
      <c r="G1633" s="4" t="str">
        <f>HYPERLINK("https://diaocthongthai.com/xa-muong-bu-muong-la/","Xã Mường Bú")</f>
        <v>Xã Mường Bú</v>
      </c>
    </row>
    <row r="1634" spans="1:7" x14ac:dyDescent="0.25">
      <c r="A1634" s="2">
        <v>1633</v>
      </c>
      <c r="B1634" s="3" t="s">
        <v>11</v>
      </c>
      <c r="C1634" s="4" t="str">
        <f t="shared" si="139"/>
        <v>Sơn La</v>
      </c>
      <c r="D1634" s="3" t="s">
        <v>162</v>
      </c>
      <c r="E1634" s="4" t="str">
        <f t="shared" si="138"/>
        <v>Huyện Mường La</v>
      </c>
      <c r="F1634" s="3" t="s">
        <v>2398</v>
      </c>
      <c r="G1634" s="4" t="str">
        <f>HYPERLINK("https://diaocthongthai.com/xa-chieng-hoa-muong-la/","Xã Chiềng Hoa")</f>
        <v>Xã Chiềng Hoa</v>
      </c>
    </row>
    <row r="1635" spans="1:7" x14ac:dyDescent="0.25">
      <c r="A1635" s="2">
        <v>1634</v>
      </c>
      <c r="B1635" s="3" t="s">
        <v>11</v>
      </c>
      <c r="C1635" s="4" t="str">
        <f t="shared" si="139"/>
        <v>Sơn La</v>
      </c>
      <c r="D1635" s="3" t="s">
        <v>162</v>
      </c>
      <c r="E1635" s="4" t="str">
        <f t="shared" si="138"/>
        <v>Huyện Mường La</v>
      </c>
      <c r="F1635" s="3" t="s">
        <v>2399</v>
      </c>
      <c r="G1635" s="4" t="str">
        <f>HYPERLINK("https://diaocthongthai.com/xa-muong-chum-muong-la/","Xã Mường Chùm")</f>
        <v>Xã Mường Chùm</v>
      </c>
    </row>
    <row r="1636" spans="1:7" x14ac:dyDescent="0.25">
      <c r="A1636" s="2">
        <v>1635</v>
      </c>
      <c r="B1636" s="3" t="s">
        <v>11</v>
      </c>
      <c r="C1636" s="4" t="str">
        <f t="shared" si="139"/>
        <v>Sơn La</v>
      </c>
      <c r="D1636" s="3" t="s">
        <v>163</v>
      </c>
      <c r="E1636" s="4" t="str">
        <f t="shared" ref="E1636:E1651" si="140">HYPERLINK("https://diaocthongthai.com/ban-do-huyen-bac-yen-son-la/","Huyện Bắc Yên")</f>
        <v>Huyện Bắc Yên</v>
      </c>
      <c r="F1636" s="3" t="s">
        <v>2400</v>
      </c>
      <c r="G1636" s="4" t="str">
        <f>HYPERLINK("https://diaocthongthai.com/thi-tran-bac-yen-bac-yen/","Thị trấn Bắc Yên")</f>
        <v>Thị trấn Bắc Yên</v>
      </c>
    </row>
    <row r="1637" spans="1:7" x14ac:dyDescent="0.25">
      <c r="A1637" s="2">
        <v>1636</v>
      </c>
      <c r="B1637" s="3" t="s">
        <v>11</v>
      </c>
      <c r="C1637" s="4" t="str">
        <f t="shared" si="139"/>
        <v>Sơn La</v>
      </c>
      <c r="D1637" s="3" t="s">
        <v>163</v>
      </c>
      <c r="E1637" s="4" t="str">
        <f t="shared" si="140"/>
        <v>Huyện Bắc Yên</v>
      </c>
      <c r="F1637" s="3" t="s">
        <v>2401</v>
      </c>
      <c r="G1637" s="4" t="str">
        <f>HYPERLINK("https://diaocthongthai.com/xa-phieng-ban-bac-yen/","Xã Phiêng Ban")</f>
        <v>Xã Phiêng Ban</v>
      </c>
    </row>
    <row r="1638" spans="1:7" x14ac:dyDescent="0.25">
      <c r="A1638" s="2">
        <v>1637</v>
      </c>
      <c r="B1638" s="3" t="s">
        <v>11</v>
      </c>
      <c r="C1638" s="4" t="str">
        <f t="shared" si="139"/>
        <v>Sơn La</v>
      </c>
      <c r="D1638" s="3" t="s">
        <v>163</v>
      </c>
      <c r="E1638" s="4" t="str">
        <f t="shared" si="140"/>
        <v>Huyện Bắc Yên</v>
      </c>
      <c r="F1638" s="3" t="s">
        <v>2402</v>
      </c>
      <c r="G1638" s="4" t="str">
        <f>HYPERLINK("https://diaocthongthai.com/xa-hang-chu-bac-yen/","Xã Hang Chú")</f>
        <v>Xã Hang Chú</v>
      </c>
    </row>
    <row r="1639" spans="1:7" x14ac:dyDescent="0.25">
      <c r="A1639" s="2">
        <v>1638</v>
      </c>
      <c r="B1639" s="3" t="s">
        <v>11</v>
      </c>
      <c r="C1639" s="4" t="str">
        <f t="shared" si="139"/>
        <v>Sơn La</v>
      </c>
      <c r="D1639" s="3" t="s">
        <v>163</v>
      </c>
      <c r="E1639" s="4" t="str">
        <f t="shared" si="140"/>
        <v>Huyện Bắc Yên</v>
      </c>
      <c r="F1639" s="3" t="s">
        <v>2403</v>
      </c>
      <c r="G1639" s="4" t="str">
        <f>HYPERLINK("https://diaocthongthai.com/xa-xim-vang-bac-yen/","Xã Xím Vàng")</f>
        <v>Xã Xím Vàng</v>
      </c>
    </row>
    <row r="1640" spans="1:7" x14ac:dyDescent="0.25">
      <c r="A1640" s="2">
        <v>1639</v>
      </c>
      <c r="B1640" s="3" t="s">
        <v>11</v>
      </c>
      <c r="C1640" s="4" t="str">
        <f t="shared" si="139"/>
        <v>Sơn La</v>
      </c>
      <c r="D1640" s="3" t="s">
        <v>163</v>
      </c>
      <c r="E1640" s="4" t="str">
        <f t="shared" si="140"/>
        <v>Huyện Bắc Yên</v>
      </c>
      <c r="F1640" s="3" t="s">
        <v>2404</v>
      </c>
      <c r="G1640" s="4" t="str">
        <f>HYPERLINK("https://diaocthongthai.com/xa-ta-xua-bac-yen/","Xã Tà Xùa")</f>
        <v>Xã Tà Xùa</v>
      </c>
    </row>
    <row r="1641" spans="1:7" x14ac:dyDescent="0.25">
      <c r="A1641" s="2">
        <v>1640</v>
      </c>
      <c r="B1641" s="3" t="s">
        <v>11</v>
      </c>
      <c r="C1641" s="4" t="str">
        <f t="shared" si="139"/>
        <v>Sơn La</v>
      </c>
      <c r="D1641" s="3" t="s">
        <v>163</v>
      </c>
      <c r="E1641" s="4" t="str">
        <f t="shared" si="140"/>
        <v>Huyện Bắc Yên</v>
      </c>
      <c r="F1641" s="3" t="s">
        <v>2405</v>
      </c>
      <c r="G1641" s="4" t="str">
        <f>HYPERLINK("https://diaocthongthai.com/xa-hang-dong-bac-yen/","Xã Háng Đồng")</f>
        <v>Xã Háng Đồng</v>
      </c>
    </row>
    <row r="1642" spans="1:7" x14ac:dyDescent="0.25">
      <c r="A1642" s="2">
        <v>1641</v>
      </c>
      <c r="B1642" s="3" t="s">
        <v>11</v>
      </c>
      <c r="C1642" s="4" t="str">
        <f t="shared" si="139"/>
        <v>Sơn La</v>
      </c>
      <c r="D1642" s="3" t="s">
        <v>163</v>
      </c>
      <c r="E1642" s="4" t="str">
        <f t="shared" si="140"/>
        <v>Huyện Bắc Yên</v>
      </c>
      <c r="F1642" s="3" t="s">
        <v>2406</v>
      </c>
      <c r="G1642" s="4" t="str">
        <f>HYPERLINK("https://diaocthongthai.com/xa-pac-nga-bac-yen/","Xã Pắc Ngà")</f>
        <v>Xã Pắc Ngà</v>
      </c>
    </row>
    <row r="1643" spans="1:7" x14ac:dyDescent="0.25">
      <c r="A1643" s="2">
        <v>1642</v>
      </c>
      <c r="B1643" s="3" t="s">
        <v>11</v>
      </c>
      <c r="C1643" s="4" t="str">
        <f t="shared" si="139"/>
        <v>Sơn La</v>
      </c>
      <c r="D1643" s="3" t="s">
        <v>163</v>
      </c>
      <c r="E1643" s="4" t="str">
        <f t="shared" si="140"/>
        <v>Huyện Bắc Yên</v>
      </c>
      <c r="F1643" s="3" t="s">
        <v>2407</v>
      </c>
      <c r="G1643" s="4" t="str">
        <f>HYPERLINK("https://diaocthongthai.com/xa-lang-cheu-bac-yen/","Xã Làng Chếu")</f>
        <v>Xã Làng Chếu</v>
      </c>
    </row>
    <row r="1644" spans="1:7" x14ac:dyDescent="0.25">
      <c r="A1644" s="2">
        <v>1643</v>
      </c>
      <c r="B1644" s="3" t="s">
        <v>11</v>
      </c>
      <c r="C1644" s="4" t="str">
        <f t="shared" si="139"/>
        <v>Sơn La</v>
      </c>
      <c r="D1644" s="3" t="s">
        <v>163</v>
      </c>
      <c r="E1644" s="4" t="str">
        <f t="shared" si="140"/>
        <v>Huyện Bắc Yên</v>
      </c>
      <c r="F1644" s="3" t="s">
        <v>2408</v>
      </c>
      <c r="G1644" s="4" t="str">
        <f>HYPERLINK("https://diaocthongthai.com/xa-chim-van-bac-yen/","Xã Chim Vàn")</f>
        <v>Xã Chim Vàn</v>
      </c>
    </row>
    <row r="1645" spans="1:7" x14ac:dyDescent="0.25">
      <c r="A1645" s="2">
        <v>1644</v>
      </c>
      <c r="B1645" s="3" t="s">
        <v>11</v>
      </c>
      <c r="C1645" s="4" t="str">
        <f t="shared" si="139"/>
        <v>Sơn La</v>
      </c>
      <c r="D1645" s="3" t="s">
        <v>163</v>
      </c>
      <c r="E1645" s="4" t="str">
        <f t="shared" si="140"/>
        <v>Huyện Bắc Yên</v>
      </c>
      <c r="F1645" s="3" t="s">
        <v>2409</v>
      </c>
      <c r="G1645" s="4" t="str">
        <f>HYPERLINK("https://diaocthongthai.com/xa-muong-khoa-bac-yen/","Xã Mường Khoa")</f>
        <v>Xã Mường Khoa</v>
      </c>
    </row>
    <row r="1646" spans="1:7" x14ac:dyDescent="0.25">
      <c r="A1646" s="2">
        <v>1645</v>
      </c>
      <c r="B1646" s="3" t="s">
        <v>11</v>
      </c>
      <c r="C1646" s="4" t="str">
        <f t="shared" si="139"/>
        <v>Sơn La</v>
      </c>
      <c r="D1646" s="3" t="s">
        <v>163</v>
      </c>
      <c r="E1646" s="4" t="str">
        <f t="shared" si="140"/>
        <v>Huyện Bắc Yên</v>
      </c>
      <c r="F1646" s="3" t="s">
        <v>2410</v>
      </c>
      <c r="G1646" s="4" t="str">
        <f>HYPERLINK("https://diaocthongthai.com/xa-song-pe-bac-yen/","Xã Song Pe")</f>
        <v>Xã Song Pe</v>
      </c>
    </row>
    <row r="1647" spans="1:7" x14ac:dyDescent="0.25">
      <c r="A1647" s="2">
        <v>1646</v>
      </c>
      <c r="B1647" s="3" t="s">
        <v>11</v>
      </c>
      <c r="C1647" s="4" t="str">
        <f t="shared" si="139"/>
        <v>Sơn La</v>
      </c>
      <c r="D1647" s="3" t="s">
        <v>163</v>
      </c>
      <c r="E1647" s="4" t="str">
        <f t="shared" si="140"/>
        <v>Huyện Bắc Yên</v>
      </c>
      <c r="F1647" s="3" t="s">
        <v>2411</v>
      </c>
      <c r="G1647" s="4" t="str">
        <f>HYPERLINK("https://diaocthongthai.com/xa-hong-ngai-bac-yen/","Xã Hồng Ngài")</f>
        <v>Xã Hồng Ngài</v>
      </c>
    </row>
    <row r="1648" spans="1:7" x14ac:dyDescent="0.25">
      <c r="A1648" s="2">
        <v>1647</v>
      </c>
      <c r="B1648" s="3" t="s">
        <v>11</v>
      </c>
      <c r="C1648" s="4" t="str">
        <f t="shared" si="139"/>
        <v>Sơn La</v>
      </c>
      <c r="D1648" s="3" t="s">
        <v>163</v>
      </c>
      <c r="E1648" s="4" t="str">
        <f t="shared" si="140"/>
        <v>Huyện Bắc Yên</v>
      </c>
      <c r="F1648" s="3" t="s">
        <v>2412</v>
      </c>
      <c r="G1648" s="4" t="str">
        <f>HYPERLINK("https://diaocthongthai.com/xa-ta-khoa-bac-yen/","Xã Tạ Khoa")</f>
        <v>Xã Tạ Khoa</v>
      </c>
    </row>
    <row r="1649" spans="1:7" x14ac:dyDescent="0.25">
      <c r="A1649" s="2">
        <v>1648</v>
      </c>
      <c r="B1649" s="3" t="s">
        <v>11</v>
      </c>
      <c r="C1649" s="4" t="str">
        <f t="shared" si="139"/>
        <v>Sơn La</v>
      </c>
      <c r="D1649" s="3" t="s">
        <v>163</v>
      </c>
      <c r="E1649" s="4" t="str">
        <f t="shared" si="140"/>
        <v>Huyện Bắc Yên</v>
      </c>
      <c r="F1649" s="3" t="s">
        <v>2413</v>
      </c>
      <c r="G1649" s="4" t="str">
        <f>HYPERLINK("https://diaocthongthai.com/xa-hua-nhan-bac-yen/","Xã Hua Nhàn")</f>
        <v>Xã Hua Nhàn</v>
      </c>
    </row>
    <row r="1650" spans="1:7" x14ac:dyDescent="0.25">
      <c r="A1650" s="2">
        <v>1649</v>
      </c>
      <c r="B1650" s="3" t="s">
        <v>11</v>
      </c>
      <c r="C1650" s="4" t="str">
        <f t="shared" si="139"/>
        <v>Sơn La</v>
      </c>
      <c r="D1650" s="3" t="s">
        <v>163</v>
      </c>
      <c r="E1650" s="4" t="str">
        <f t="shared" si="140"/>
        <v>Huyện Bắc Yên</v>
      </c>
      <c r="F1650" s="3" t="s">
        <v>2414</v>
      </c>
      <c r="G1650" s="4" t="str">
        <f>HYPERLINK("https://diaocthongthai.com/xa-phieng-con-bac-yen/","Xã Phiêng Côn")</f>
        <v>Xã Phiêng Côn</v>
      </c>
    </row>
    <row r="1651" spans="1:7" x14ac:dyDescent="0.25">
      <c r="A1651" s="2">
        <v>1650</v>
      </c>
      <c r="B1651" s="3" t="s">
        <v>11</v>
      </c>
      <c r="C1651" s="4" t="str">
        <f t="shared" si="139"/>
        <v>Sơn La</v>
      </c>
      <c r="D1651" s="3" t="s">
        <v>163</v>
      </c>
      <c r="E1651" s="4" t="str">
        <f t="shared" si="140"/>
        <v>Huyện Bắc Yên</v>
      </c>
      <c r="F1651" s="3" t="s">
        <v>2415</v>
      </c>
      <c r="G1651" s="4" t="str">
        <f>HYPERLINK("https://diaocthongthai.com/xa-chieng-sai-bac-yen/","Xã Chiềng Sại")</f>
        <v>Xã Chiềng Sại</v>
      </c>
    </row>
    <row r="1652" spans="1:7" x14ac:dyDescent="0.25">
      <c r="A1652" s="2">
        <v>1651</v>
      </c>
      <c r="B1652" s="3" t="s">
        <v>11</v>
      </c>
      <c r="C1652" s="4" t="str">
        <f t="shared" si="139"/>
        <v>Sơn La</v>
      </c>
      <c r="D1652" s="3" t="s">
        <v>164</v>
      </c>
      <c r="E1652" s="4" t="str">
        <f t="shared" ref="E1652:E1678" si="141">HYPERLINK("https://diaocthongthai.com/ban-do-huyen-phu-yen-son-la/","Huyện Phù Yên")</f>
        <v>Huyện Phù Yên</v>
      </c>
      <c r="F1652" s="3" t="s">
        <v>2416</v>
      </c>
      <c r="G1652" s="4" t="str">
        <f>HYPERLINK("https://diaocthongthai.com/thi-tran-phu-yen-phu-yen/","Thị trấn Phù Yên")</f>
        <v>Thị trấn Phù Yên</v>
      </c>
    </row>
    <row r="1653" spans="1:7" x14ac:dyDescent="0.25">
      <c r="A1653" s="2">
        <v>1652</v>
      </c>
      <c r="B1653" s="3" t="s">
        <v>11</v>
      </c>
      <c r="C1653" s="4" t="str">
        <f t="shared" si="139"/>
        <v>Sơn La</v>
      </c>
      <c r="D1653" s="3" t="s">
        <v>164</v>
      </c>
      <c r="E1653" s="4" t="str">
        <f t="shared" si="141"/>
        <v>Huyện Phù Yên</v>
      </c>
      <c r="F1653" s="3" t="s">
        <v>2417</v>
      </c>
      <c r="G1653" s="4" t="str">
        <f>HYPERLINK("https://diaocthongthai.com/xa-suoi-to-phu-yen/","Xã Suối Tọ")</f>
        <v>Xã Suối Tọ</v>
      </c>
    </row>
    <row r="1654" spans="1:7" x14ac:dyDescent="0.25">
      <c r="A1654" s="2">
        <v>1653</v>
      </c>
      <c r="B1654" s="3" t="s">
        <v>11</v>
      </c>
      <c r="C1654" s="4" t="str">
        <f t="shared" si="139"/>
        <v>Sơn La</v>
      </c>
      <c r="D1654" s="3" t="s">
        <v>164</v>
      </c>
      <c r="E1654" s="4" t="str">
        <f t="shared" si="141"/>
        <v>Huyện Phù Yên</v>
      </c>
      <c r="F1654" s="3" t="s">
        <v>2418</v>
      </c>
      <c r="G1654" s="4" t="str">
        <f>HYPERLINK("https://diaocthongthai.com/xa-muong-thai-phu-yen/","Xã Mường Thải")</f>
        <v>Xã Mường Thải</v>
      </c>
    </row>
    <row r="1655" spans="1:7" x14ac:dyDescent="0.25">
      <c r="A1655" s="2">
        <v>1654</v>
      </c>
      <c r="B1655" s="3" t="s">
        <v>11</v>
      </c>
      <c r="C1655" s="4" t="str">
        <f t="shared" si="139"/>
        <v>Sơn La</v>
      </c>
      <c r="D1655" s="3" t="s">
        <v>164</v>
      </c>
      <c r="E1655" s="4" t="str">
        <f t="shared" si="141"/>
        <v>Huyện Phù Yên</v>
      </c>
      <c r="F1655" s="3" t="s">
        <v>2419</v>
      </c>
      <c r="G1655" s="4" t="str">
        <f>HYPERLINK("https://diaocthongthai.com/xa-muong-coi-phu-yen/","Xã Mường Cơi")</f>
        <v>Xã Mường Cơi</v>
      </c>
    </row>
    <row r="1656" spans="1:7" x14ac:dyDescent="0.25">
      <c r="A1656" s="2">
        <v>1655</v>
      </c>
      <c r="B1656" s="3" t="s">
        <v>11</v>
      </c>
      <c r="C1656" s="4" t="str">
        <f t="shared" si="139"/>
        <v>Sơn La</v>
      </c>
      <c r="D1656" s="3" t="s">
        <v>164</v>
      </c>
      <c r="E1656" s="4" t="str">
        <f t="shared" si="141"/>
        <v>Huyện Phù Yên</v>
      </c>
      <c r="F1656" s="3" t="s">
        <v>2420</v>
      </c>
      <c r="G1656" s="4" t="str">
        <f>HYPERLINK("https://diaocthongthai.com/xa-quang-huy-phu-yen/","Xã Quang Huy")</f>
        <v>Xã Quang Huy</v>
      </c>
    </row>
    <row r="1657" spans="1:7" x14ac:dyDescent="0.25">
      <c r="A1657" s="2">
        <v>1656</v>
      </c>
      <c r="B1657" s="3" t="s">
        <v>11</v>
      </c>
      <c r="C1657" s="4" t="str">
        <f t="shared" si="139"/>
        <v>Sơn La</v>
      </c>
      <c r="D1657" s="3" t="s">
        <v>164</v>
      </c>
      <c r="E1657" s="4" t="str">
        <f t="shared" si="141"/>
        <v>Huyện Phù Yên</v>
      </c>
      <c r="F1657" s="3" t="s">
        <v>2421</v>
      </c>
      <c r="G1657" s="4" t="str">
        <f>HYPERLINK("https://diaocthongthai.com/xa-huy-bac-phu-yen/","Xã Huy Bắc")</f>
        <v>Xã Huy Bắc</v>
      </c>
    </row>
    <row r="1658" spans="1:7" x14ac:dyDescent="0.25">
      <c r="A1658" s="2">
        <v>1657</v>
      </c>
      <c r="B1658" s="3" t="s">
        <v>11</v>
      </c>
      <c r="C1658" s="4" t="str">
        <f t="shared" si="139"/>
        <v>Sơn La</v>
      </c>
      <c r="D1658" s="3" t="s">
        <v>164</v>
      </c>
      <c r="E1658" s="4" t="str">
        <f t="shared" si="141"/>
        <v>Huyện Phù Yên</v>
      </c>
      <c r="F1658" s="3" t="s">
        <v>2422</v>
      </c>
      <c r="G1658" s="4" t="str">
        <f>HYPERLINK("https://diaocthongthai.com/xa-huy-thuong-phu-yen/","Xã Huy Thượng")</f>
        <v>Xã Huy Thượng</v>
      </c>
    </row>
    <row r="1659" spans="1:7" x14ac:dyDescent="0.25">
      <c r="A1659" s="2">
        <v>1658</v>
      </c>
      <c r="B1659" s="3" t="s">
        <v>11</v>
      </c>
      <c r="C1659" s="4" t="str">
        <f t="shared" si="139"/>
        <v>Sơn La</v>
      </c>
      <c r="D1659" s="3" t="s">
        <v>164</v>
      </c>
      <c r="E1659" s="4" t="str">
        <f t="shared" si="141"/>
        <v>Huyện Phù Yên</v>
      </c>
      <c r="F1659" s="3" t="s">
        <v>2423</v>
      </c>
      <c r="G1659" s="4" t="str">
        <f>HYPERLINK("https://diaocthongthai.com/xa-tan-lang-phu-yen/","Xã Tân Lang")</f>
        <v>Xã Tân Lang</v>
      </c>
    </row>
    <row r="1660" spans="1:7" x14ac:dyDescent="0.25">
      <c r="A1660" s="2">
        <v>1659</v>
      </c>
      <c r="B1660" s="3" t="s">
        <v>11</v>
      </c>
      <c r="C1660" s="4" t="str">
        <f t="shared" si="139"/>
        <v>Sơn La</v>
      </c>
      <c r="D1660" s="3" t="s">
        <v>164</v>
      </c>
      <c r="E1660" s="4" t="str">
        <f t="shared" si="141"/>
        <v>Huyện Phù Yên</v>
      </c>
      <c r="F1660" s="3" t="s">
        <v>2424</v>
      </c>
      <c r="G1660" s="4" t="str">
        <f>HYPERLINK("https://diaocthongthai.com/xa-gia-phu-phu-yen/","Xã Gia Phù")</f>
        <v>Xã Gia Phù</v>
      </c>
    </row>
    <row r="1661" spans="1:7" x14ac:dyDescent="0.25">
      <c r="A1661" s="2">
        <v>1660</v>
      </c>
      <c r="B1661" s="3" t="s">
        <v>11</v>
      </c>
      <c r="C1661" s="4" t="str">
        <f t="shared" si="139"/>
        <v>Sơn La</v>
      </c>
      <c r="D1661" s="3" t="s">
        <v>164</v>
      </c>
      <c r="E1661" s="4" t="str">
        <f t="shared" si="141"/>
        <v>Huyện Phù Yên</v>
      </c>
      <c r="F1661" s="3" t="s">
        <v>2425</v>
      </c>
      <c r="G1661" s="4" t="str">
        <f>HYPERLINK("https://diaocthongthai.com/xa-tuong-phu-phu-yen/","Xã Tường Phù")</f>
        <v>Xã Tường Phù</v>
      </c>
    </row>
    <row r="1662" spans="1:7" x14ac:dyDescent="0.25">
      <c r="A1662" s="2">
        <v>1661</v>
      </c>
      <c r="B1662" s="3" t="s">
        <v>11</v>
      </c>
      <c r="C1662" s="4" t="str">
        <f t="shared" si="139"/>
        <v>Sơn La</v>
      </c>
      <c r="D1662" s="3" t="s">
        <v>164</v>
      </c>
      <c r="E1662" s="4" t="str">
        <f t="shared" si="141"/>
        <v>Huyện Phù Yên</v>
      </c>
      <c r="F1662" s="3" t="s">
        <v>2426</v>
      </c>
      <c r="G1662" s="4" t="str">
        <f>HYPERLINK("https://diaocthongthai.com/xa-huy-ha-phu-yen/","Xã Huy Hạ")</f>
        <v>Xã Huy Hạ</v>
      </c>
    </row>
    <row r="1663" spans="1:7" x14ac:dyDescent="0.25">
      <c r="A1663" s="2">
        <v>1662</v>
      </c>
      <c r="B1663" s="3" t="s">
        <v>11</v>
      </c>
      <c r="C1663" s="4" t="str">
        <f t="shared" si="139"/>
        <v>Sơn La</v>
      </c>
      <c r="D1663" s="3" t="s">
        <v>164</v>
      </c>
      <c r="E1663" s="4" t="str">
        <f t="shared" si="141"/>
        <v>Huyện Phù Yên</v>
      </c>
      <c r="F1663" s="3" t="s">
        <v>2427</v>
      </c>
      <c r="G1663" s="4" t="str">
        <f>HYPERLINK("https://diaocthongthai.com/xa-huy-tan-phu-yen/","Xã Huy Tân")</f>
        <v>Xã Huy Tân</v>
      </c>
    </row>
    <row r="1664" spans="1:7" x14ac:dyDescent="0.25">
      <c r="A1664" s="2">
        <v>1663</v>
      </c>
      <c r="B1664" s="3" t="s">
        <v>11</v>
      </c>
      <c r="C1664" s="4" t="str">
        <f t="shared" si="139"/>
        <v>Sơn La</v>
      </c>
      <c r="D1664" s="3" t="s">
        <v>164</v>
      </c>
      <c r="E1664" s="4" t="str">
        <f t="shared" si="141"/>
        <v>Huyện Phù Yên</v>
      </c>
      <c r="F1664" s="3" t="s">
        <v>2428</v>
      </c>
      <c r="G1664" s="4" t="str">
        <f>HYPERLINK("https://diaocthongthai.com/xa-muong-lang-phu-yen/","Xã Mường Lang")</f>
        <v>Xã Mường Lang</v>
      </c>
    </row>
    <row r="1665" spans="1:7" x14ac:dyDescent="0.25">
      <c r="A1665" s="2">
        <v>1664</v>
      </c>
      <c r="B1665" s="3" t="s">
        <v>11</v>
      </c>
      <c r="C1665" s="4" t="str">
        <f t="shared" si="139"/>
        <v>Sơn La</v>
      </c>
      <c r="D1665" s="3" t="s">
        <v>164</v>
      </c>
      <c r="E1665" s="4" t="str">
        <f t="shared" si="141"/>
        <v>Huyện Phù Yên</v>
      </c>
      <c r="F1665" s="3" t="s">
        <v>2429</v>
      </c>
      <c r="G1665" s="4" t="str">
        <f>HYPERLINK("https://diaocthongthai.com/xa-suoi-bau-phu-yen/","Xã Suối Bau")</f>
        <v>Xã Suối Bau</v>
      </c>
    </row>
    <row r="1666" spans="1:7" x14ac:dyDescent="0.25">
      <c r="A1666" s="2">
        <v>1665</v>
      </c>
      <c r="B1666" s="3" t="s">
        <v>11</v>
      </c>
      <c r="C1666" s="4" t="str">
        <f t="shared" si="139"/>
        <v>Sơn La</v>
      </c>
      <c r="D1666" s="3" t="s">
        <v>164</v>
      </c>
      <c r="E1666" s="4" t="str">
        <f t="shared" si="141"/>
        <v>Huyện Phù Yên</v>
      </c>
      <c r="F1666" s="3" t="s">
        <v>2430</v>
      </c>
      <c r="G1666" s="4" t="str">
        <f>HYPERLINK("https://diaocthongthai.com/xa-huy-tuong-phu-yen/","Xã Huy Tường")</f>
        <v>Xã Huy Tường</v>
      </c>
    </row>
    <row r="1667" spans="1:7" x14ac:dyDescent="0.25">
      <c r="A1667" s="2">
        <v>1666</v>
      </c>
      <c r="B1667" s="3" t="s">
        <v>11</v>
      </c>
      <c r="C1667" s="4" t="str">
        <f t="shared" si="139"/>
        <v>Sơn La</v>
      </c>
      <c r="D1667" s="3" t="s">
        <v>164</v>
      </c>
      <c r="E1667" s="4" t="str">
        <f t="shared" si="141"/>
        <v>Huyện Phù Yên</v>
      </c>
      <c r="F1667" s="3" t="s">
        <v>2431</v>
      </c>
      <c r="G1667" s="4" t="str">
        <f>HYPERLINK("https://diaocthongthai.com/xa-muong-do-phu-yen/","Xã Mường Do")</f>
        <v>Xã Mường Do</v>
      </c>
    </row>
    <row r="1668" spans="1:7" x14ac:dyDescent="0.25">
      <c r="A1668" s="2">
        <v>1667</v>
      </c>
      <c r="B1668" s="3" t="s">
        <v>11</v>
      </c>
      <c r="C1668" s="4" t="str">
        <f t="shared" si="139"/>
        <v>Sơn La</v>
      </c>
      <c r="D1668" s="3" t="s">
        <v>164</v>
      </c>
      <c r="E1668" s="4" t="str">
        <f t="shared" si="141"/>
        <v>Huyện Phù Yên</v>
      </c>
      <c r="F1668" s="3" t="s">
        <v>2432</v>
      </c>
      <c r="G1668" s="4" t="str">
        <f>HYPERLINK("https://diaocthongthai.com/xa-sap-xa-phu-yen/","Xã Sập Xa")</f>
        <v>Xã Sập Xa</v>
      </c>
    </row>
    <row r="1669" spans="1:7" x14ac:dyDescent="0.25">
      <c r="A1669" s="2">
        <v>1668</v>
      </c>
      <c r="B1669" s="3" t="s">
        <v>11</v>
      </c>
      <c r="C1669" s="4" t="str">
        <f t="shared" si="139"/>
        <v>Sơn La</v>
      </c>
      <c r="D1669" s="3" t="s">
        <v>164</v>
      </c>
      <c r="E1669" s="4" t="str">
        <f t="shared" si="141"/>
        <v>Huyện Phù Yên</v>
      </c>
      <c r="F1669" s="3" t="s">
        <v>2433</v>
      </c>
      <c r="G1669" s="4" t="str">
        <f>HYPERLINK("https://diaocthongthai.com/xa-tuong-thuong-phu-yen/","Xã Tường Thượng")</f>
        <v>Xã Tường Thượng</v>
      </c>
    </row>
    <row r="1670" spans="1:7" x14ac:dyDescent="0.25">
      <c r="A1670" s="2">
        <v>1669</v>
      </c>
      <c r="B1670" s="3" t="s">
        <v>11</v>
      </c>
      <c r="C1670" s="4" t="str">
        <f t="shared" si="139"/>
        <v>Sơn La</v>
      </c>
      <c r="D1670" s="3" t="s">
        <v>164</v>
      </c>
      <c r="E1670" s="4" t="str">
        <f t="shared" si="141"/>
        <v>Huyện Phù Yên</v>
      </c>
      <c r="F1670" s="3" t="s">
        <v>2434</v>
      </c>
      <c r="G1670" s="4" t="str">
        <f>HYPERLINK("https://diaocthongthai.com/xa-tuong-tien-phu-yen/","Xã Tường Tiến")</f>
        <v>Xã Tường Tiến</v>
      </c>
    </row>
    <row r="1671" spans="1:7" x14ac:dyDescent="0.25">
      <c r="A1671" s="2">
        <v>1670</v>
      </c>
      <c r="B1671" s="3" t="s">
        <v>11</v>
      </c>
      <c r="C1671" s="4" t="str">
        <f t="shared" si="139"/>
        <v>Sơn La</v>
      </c>
      <c r="D1671" s="3" t="s">
        <v>164</v>
      </c>
      <c r="E1671" s="4" t="str">
        <f t="shared" si="141"/>
        <v>Huyện Phù Yên</v>
      </c>
      <c r="F1671" s="3" t="s">
        <v>2435</v>
      </c>
      <c r="G1671" s="4" t="str">
        <f>HYPERLINK("https://diaocthongthai.com/xa-tuong-phong-phu-yen/","Xã Tường Phong")</f>
        <v>Xã Tường Phong</v>
      </c>
    </row>
    <row r="1672" spans="1:7" x14ac:dyDescent="0.25">
      <c r="A1672" s="2">
        <v>1671</v>
      </c>
      <c r="B1672" s="3" t="s">
        <v>11</v>
      </c>
      <c r="C1672" s="4" t="str">
        <f t="shared" si="139"/>
        <v>Sơn La</v>
      </c>
      <c r="D1672" s="3" t="s">
        <v>164</v>
      </c>
      <c r="E1672" s="4" t="str">
        <f t="shared" si="141"/>
        <v>Huyện Phù Yên</v>
      </c>
      <c r="F1672" s="3" t="s">
        <v>2436</v>
      </c>
      <c r="G1672" s="4" t="str">
        <f>HYPERLINK("https://diaocthongthai.com/xa-tuong-ha-phu-yen/","Xã Tường Hạ")</f>
        <v>Xã Tường Hạ</v>
      </c>
    </row>
    <row r="1673" spans="1:7" x14ac:dyDescent="0.25">
      <c r="A1673" s="2">
        <v>1672</v>
      </c>
      <c r="B1673" s="3" t="s">
        <v>11</v>
      </c>
      <c r="C1673" s="4" t="str">
        <f t="shared" si="139"/>
        <v>Sơn La</v>
      </c>
      <c r="D1673" s="3" t="s">
        <v>164</v>
      </c>
      <c r="E1673" s="4" t="str">
        <f t="shared" si="141"/>
        <v>Huyện Phù Yên</v>
      </c>
      <c r="F1673" s="3" t="s">
        <v>2437</v>
      </c>
      <c r="G1673" s="4" t="str">
        <f>HYPERLINK("https://diaocthongthai.com/xa-kim-bon-phu-yen/","Xã Kim Bon")</f>
        <v>Xã Kim Bon</v>
      </c>
    </row>
    <row r="1674" spans="1:7" x14ac:dyDescent="0.25">
      <c r="A1674" s="2">
        <v>1673</v>
      </c>
      <c r="B1674" s="3" t="s">
        <v>11</v>
      </c>
      <c r="C1674" s="4" t="str">
        <f t="shared" si="139"/>
        <v>Sơn La</v>
      </c>
      <c r="D1674" s="3" t="s">
        <v>164</v>
      </c>
      <c r="E1674" s="4" t="str">
        <f t="shared" si="141"/>
        <v>Huyện Phù Yên</v>
      </c>
      <c r="F1674" s="3" t="s">
        <v>2438</v>
      </c>
      <c r="G1674" s="4" t="str">
        <f>HYPERLINK("https://diaocthongthai.com/xa-muong-bang-phu-yen/","Xã Mường Bang")</f>
        <v>Xã Mường Bang</v>
      </c>
    </row>
    <row r="1675" spans="1:7" x14ac:dyDescent="0.25">
      <c r="A1675" s="2">
        <v>1674</v>
      </c>
      <c r="B1675" s="3" t="s">
        <v>11</v>
      </c>
      <c r="C1675" s="4" t="str">
        <f t="shared" si="139"/>
        <v>Sơn La</v>
      </c>
      <c r="D1675" s="3" t="s">
        <v>164</v>
      </c>
      <c r="E1675" s="4" t="str">
        <f t="shared" si="141"/>
        <v>Huyện Phù Yên</v>
      </c>
      <c r="F1675" s="3" t="s">
        <v>2439</v>
      </c>
      <c r="G1675" s="4" t="str">
        <f>HYPERLINK("https://diaocthongthai.com/xa-da-do-phu-yen/","Xã Đá Đỏ")</f>
        <v>Xã Đá Đỏ</v>
      </c>
    </row>
    <row r="1676" spans="1:7" x14ac:dyDescent="0.25">
      <c r="A1676" s="2">
        <v>1675</v>
      </c>
      <c r="B1676" s="3" t="s">
        <v>11</v>
      </c>
      <c r="C1676" s="4" t="str">
        <f t="shared" si="139"/>
        <v>Sơn La</v>
      </c>
      <c r="D1676" s="3" t="s">
        <v>164</v>
      </c>
      <c r="E1676" s="4" t="str">
        <f t="shared" si="141"/>
        <v>Huyện Phù Yên</v>
      </c>
      <c r="F1676" s="3" t="s">
        <v>2440</v>
      </c>
      <c r="G1676" s="4" t="str">
        <f>HYPERLINK("https://diaocthongthai.com/xa-tan-phong-phu-yen/","Xã Tân Phong")</f>
        <v>Xã Tân Phong</v>
      </c>
    </row>
    <row r="1677" spans="1:7" x14ac:dyDescent="0.25">
      <c r="A1677" s="2">
        <v>1676</v>
      </c>
      <c r="B1677" s="3" t="s">
        <v>11</v>
      </c>
      <c r="C1677" s="4" t="str">
        <f t="shared" si="139"/>
        <v>Sơn La</v>
      </c>
      <c r="D1677" s="3" t="s">
        <v>164</v>
      </c>
      <c r="E1677" s="4" t="str">
        <f t="shared" si="141"/>
        <v>Huyện Phù Yên</v>
      </c>
      <c r="F1677" s="3" t="s">
        <v>2441</v>
      </c>
      <c r="G1677" s="4" t="str">
        <f>HYPERLINK("https://diaocthongthai.com/xa-nam-phong-phu-yen/","Xã Nam Phong")</f>
        <v>Xã Nam Phong</v>
      </c>
    </row>
    <row r="1678" spans="1:7" x14ac:dyDescent="0.25">
      <c r="A1678" s="2">
        <v>1677</v>
      </c>
      <c r="B1678" s="3" t="s">
        <v>11</v>
      </c>
      <c r="C1678" s="4" t="str">
        <f t="shared" si="139"/>
        <v>Sơn La</v>
      </c>
      <c r="D1678" s="3" t="s">
        <v>164</v>
      </c>
      <c r="E1678" s="4" t="str">
        <f t="shared" si="141"/>
        <v>Huyện Phù Yên</v>
      </c>
      <c r="F1678" s="3" t="s">
        <v>2442</v>
      </c>
      <c r="G1678" s="4" t="str">
        <f>HYPERLINK("https://diaocthongthai.com/xa-bac-phong-phu-yen/","Xã Bắc Phong")</f>
        <v>Xã Bắc Phong</v>
      </c>
    </row>
    <row r="1679" spans="1:7" x14ac:dyDescent="0.25">
      <c r="A1679" s="2">
        <v>1678</v>
      </c>
      <c r="B1679" s="3" t="s">
        <v>11</v>
      </c>
      <c r="C1679" s="4" t="str">
        <f t="shared" si="139"/>
        <v>Sơn La</v>
      </c>
      <c r="D1679" s="3" t="s">
        <v>165</v>
      </c>
      <c r="E1679" s="4" t="str">
        <f t="shared" ref="E1679:E1693" si="142">HYPERLINK("https://diaocthongthai.com/ban-do-huyen-moc-chau-son-la/","Huyện Mộc Châu")</f>
        <v>Huyện Mộc Châu</v>
      </c>
      <c r="F1679" s="3" t="s">
        <v>2443</v>
      </c>
      <c r="G1679" s="4" t="str">
        <f>HYPERLINK("https://diaocthongthai.com/thi-tran-moc-chau-moc-chau/","Thị trấn Mộc Châu")</f>
        <v>Thị trấn Mộc Châu</v>
      </c>
    </row>
    <row r="1680" spans="1:7" x14ac:dyDescent="0.25">
      <c r="A1680" s="2">
        <v>1679</v>
      </c>
      <c r="B1680" s="3" t="s">
        <v>11</v>
      </c>
      <c r="C1680" s="4" t="str">
        <f t="shared" si="139"/>
        <v>Sơn La</v>
      </c>
      <c r="D1680" s="3" t="s">
        <v>165</v>
      </c>
      <c r="E1680" s="4" t="str">
        <f t="shared" si="142"/>
        <v>Huyện Mộc Châu</v>
      </c>
      <c r="F1680" s="3" t="s">
        <v>2444</v>
      </c>
      <c r="G1680" s="4" t="str">
        <f>HYPERLINK("https://diaocthongthai.com/thi-tran-nong-truong-moc-chau-moc-chau/","Thị trấn NT Mộc Châu")</f>
        <v>Thị trấn NT Mộc Châu</v>
      </c>
    </row>
    <row r="1681" spans="1:7" x14ac:dyDescent="0.25">
      <c r="A1681" s="2">
        <v>1680</v>
      </c>
      <c r="B1681" s="3" t="s">
        <v>11</v>
      </c>
      <c r="C1681" s="4" t="str">
        <f t="shared" si="139"/>
        <v>Sơn La</v>
      </c>
      <c r="D1681" s="3" t="s">
        <v>165</v>
      </c>
      <c r="E1681" s="4" t="str">
        <f t="shared" si="142"/>
        <v>Huyện Mộc Châu</v>
      </c>
      <c r="F1681" s="3" t="s">
        <v>2445</v>
      </c>
      <c r="G1681" s="4" t="str">
        <f>HYPERLINK("https://diaocthongthai.com/xa-chieng-son-moc-chau/","Xã Chiềng Sơn")</f>
        <v>Xã Chiềng Sơn</v>
      </c>
    </row>
    <row r="1682" spans="1:7" x14ac:dyDescent="0.25">
      <c r="A1682" s="2">
        <v>1681</v>
      </c>
      <c r="B1682" s="3" t="s">
        <v>11</v>
      </c>
      <c r="C1682" s="4" t="str">
        <f t="shared" si="139"/>
        <v>Sơn La</v>
      </c>
      <c r="D1682" s="3" t="s">
        <v>165</v>
      </c>
      <c r="E1682" s="4" t="str">
        <f t="shared" si="142"/>
        <v>Huyện Mộc Châu</v>
      </c>
      <c r="F1682" s="3" t="s">
        <v>2446</v>
      </c>
      <c r="G1682" s="4" t="str">
        <f>HYPERLINK("https://diaocthongthai.com/xa-tan-hop-moc-chau/","Xã Tân Hợp")</f>
        <v>Xã Tân Hợp</v>
      </c>
    </row>
    <row r="1683" spans="1:7" x14ac:dyDescent="0.25">
      <c r="A1683" s="2">
        <v>1682</v>
      </c>
      <c r="B1683" s="3" t="s">
        <v>11</v>
      </c>
      <c r="C1683" s="4" t="str">
        <f t="shared" si="139"/>
        <v>Sơn La</v>
      </c>
      <c r="D1683" s="3" t="s">
        <v>165</v>
      </c>
      <c r="E1683" s="4" t="str">
        <f t="shared" si="142"/>
        <v>Huyện Mộc Châu</v>
      </c>
      <c r="F1683" s="3" t="s">
        <v>2447</v>
      </c>
      <c r="G1683" s="4" t="str">
        <f>HYPERLINK("https://diaocthongthai.com/xa-quy-huong-moc-chau/","Xã Qui Hướng")</f>
        <v>Xã Qui Hướng</v>
      </c>
    </row>
    <row r="1684" spans="1:7" x14ac:dyDescent="0.25">
      <c r="A1684" s="2">
        <v>1683</v>
      </c>
      <c r="B1684" s="3" t="s">
        <v>11</v>
      </c>
      <c r="C1684" s="4" t="str">
        <f t="shared" si="139"/>
        <v>Sơn La</v>
      </c>
      <c r="D1684" s="3" t="s">
        <v>165</v>
      </c>
      <c r="E1684" s="4" t="str">
        <f t="shared" si="142"/>
        <v>Huyện Mộc Châu</v>
      </c>
      <c r="F1684" s="3" t="s">
        <v>2448</v>
      </c>
      <c r="G1684" s="4" t="str">
        <f>HYPERLINK("https://diaocthongthai.com/xa-tan-lap-moc-chau/","Xã Tân Lập")</f>
        <v>Xã Tân Lập</v>
      </c>
    </row>
    <row r="1685" spans="1:7" x14ac:dyDescent="0.25">
      <c r="A1685" s="2">
        <v>1684</v>
      </c>
      <c r="B1685" s="3" t="s">
        <v>11</v>
      </c>
      <c r="C1685" s="4" t="str">
        <f t="shared" si="139"/>
        <v>Sơn La</v>
      </c>
      <c r="D1685" s="3" t="s">
        <v>165</v>
      </c>
      <c r="E1685" s="4" t="str">
        <f t="shared" si="142"/>
        <v>Huyện Mộc Châu</v>
      </c>
      <c r="F1685" s="3" t="s">
        <v>2449</v>
      </c>
      <c r="G1685" s="4" t="str">
        <f>HYPERLINK("https://diaocthongthai.com/xa-na-muong-moc-chau/","Xã Nà Mường")</f>
        <v>Xã Nà Mường</v>
      </c>
    </row>
    <row r="1686" spans="1:7" x14ac:dyDescent="0.25">
      <c r="A1686" s="2">
        <v>1685</v>
      </c>
      <c r="B1686" s="3" t="s">
        <v>11</v>
      </c>
      <c r="C1686" s="4" t="str">
        <f t="shared" si="139"/>
        <v>Sơn La</v>
      </c>
      <c r="D1686" s="3" t="s">
        <v>165</v>
      </c>
      <c r="E1686" s="4" t="str">
        <f t="shared" si="142"/>
        <v>Huyện Mộc Châu</v>
      </c>
      <c r="F1686" s="3" t="s">
        <v>2450</v>
      </c>
      <c r="G1686" s="4" t="str">
        <f>HYPERLINK("https://diaocthongthai.com/xa-ta-lai-moc-chau/","Xã Tà Lai")</f>
        <v>Xã Tà Lai</v>
      </c>
    </row>
    <row r="1687" spans="1:7" x14ac:dyDescent="0.25">
      <c r="A1687" s="2">
        <v>1686</v>
      </c>
      <c r="B1687" s="3" t="s">
        <v>11</v>
      </c>
      <c r="C1687" s="4" t="str">
        <f t="shared" si="139"/>
        <v>Sơn La</v>
      </c>
      <c r="D1687" s="3" t="s">
        <v>165</v>
      </c>
      <c r="E1687" s="4" t="str">
        <f t="shared" si="142"/>
        <v>Huyện Mộc Châu</v>
      </c>
      <c r="F1687" s="3" t="s">
        <v>2451</v>
      </c>
      <c r="G1687" s="4" t="str">
        <f>HYPERLINK("https://diaocthongthai.com/xa-chieng-hac-moc-chau/","Xã Chiềng Hắc")</f>
        <v>Xã Chiềng Hắc</v>
      </c>
    </row>
    <row r="1688" spans="1:7" x14ac:dyDescent="0.25">
      <c r="A1688" s="2">
        <v>1687</v>
      </c>
      <c r="B1688" s="3" t="s">
        <v>11</v>
      </c>
      <c r="C1688" s="4" t="str">
        <f t="shared" si="139"/>
        <v>Sơn La</v>
      </c>
      <c r="D1688" s="3" t="s">
        <v>165</v>
      </c>
      <c r="E1688" s="4" t="str">
        <f t="shared" si="142"/>
        <v>Huyện Mộc Châu</v>
      </c>
      <c r="F1688" s="3" t="s">
        <v>2452</v>
      </c>
      <c r="G1688" s="4" t="str">
        <f>HYPERLINK("https://diaocthongthai.com/xa-hua-pang-moc-chau/","Xã Hua Păng")</f>
        <v>Xã Hua Păng</v>
      </c>
    </row>
    <row r="1689" spans="1:7" x14ac:dyDescent="0.25">
      <c r="A1689" s="2">
        <v>1688</v>
      </c>
      <c r="B1689" s="3" t="s">
        <v>11</v>
      </c>
      <c r="C1689" s="4" t="str">
        <f t="shared" si="139"/>
        <v>Sơn La</v>
      </c>
      <c r="D1689" s="3" t="s">
        <v>165</v>
      </c>
      <c r="E1689" s="4" t="str">
        <f t="shared" si="142"/>
        <v>Huyện Mộc Châu</v>
      </c>
      <c r="F1689" s="3" t="s">
        <v>2453</v>
      </c>
      <c r="G1689" s="4" t="str">
        <f>HYPERLINK("https://diaocthongthai.com/xa-chieng-khua-moc-chau/","Xã Chiềng Khừa")</f>
        <v>Xã Chiềng Khừa</v>
      </c>
    </row>
    <row r="1690" spans="1:7" x14ac:dyDescent="0.25">
      <c r="A1690" s="2">
        <v>1689</v>
      </c>
      <c r="B1690" s="3" t="s">
        <v>11</v>
      </c>
      <c r="C1690" s="4" t="str">
        <f t="shared" si="139"/>
        <v>Sơn La</v>
      </c>
      <c r="D1690" s="3" t="s">
        <v>165</v>
      </c>
      <c r="E1690" s="4" t="str">
        <f t="shared" si="142"/>
        <v>Huyện Mộc Châu</v>
      </c>
      <c r="F1690" s="3" t="s">
        <v>2454</v>
      </c>
      <c r="G1690" s="4" t="str">
        <f>HYPERLINK("https://diaocthongthai.com/xa-muong-sang-moc-chau/","Xã Mường Sang")</f>
        <v>Xã Mường Sang</v>
      </c>
    </row>
    <row r="1691" spans="1:7" x14ac:dyDescent="0.25">
      <c r="A1691" s="2">
        <v>1690</v>
      </c>
      <c r="B1691" s="3" t="s">
        <v>11</v>
      </c>
      <c r="C1691" s="4" t="str">
        <f t="shared" si="139"/>
        <v>Sơn La</v>
      </c>
      <c r="D1691" s="3" t="s">
        <v>165</v>
      </c>
      <c r="E1691" s="4" t="str">
        <f t="shared" si="142"/>
        <v>Huyện Mộc Châu</v>
      </c>
      <c r="F1691" s="3" t="s">
        <v>2455</v>
      </c>
      <c r="G1691" s="4" t="str">
        <f>HYPERLINK("https://diaocthongthai.com/xa-dong-sang-moc-chau/","Xã Đông Sang")</f>
        <v>Xã Đông Sang</v>
      </c>
    </row>
    <row r="1692" spans="1:7" x14ac:dyDescent="0.25">
      <c r="A1692" s="2">
        <v>1691</v>
      </c>
      <c r="B1692" s="3" t="s">
        <v>11</v>
      </c>
      <c r="C1692" s="4" t="str">
        <f t="shared" si="139"/>
        <v>Sơn La</v>
      </c>
      <c r="D1692" s="3" t="s">
        <v>165</v>
      </c>
      <c r="E1692" s="4" t="str">
        <f t="shared" si="142"/>
        <v>Huyện Mộc Châu</v>
      </c>
      <c r="F1692" s="3" t="s">
        <v>2456</v>
      </c>
      <c r="G1692" s="4" t="str">
        <f>HYPERLINK("https://diaocthongthai.com/xa-phieng-luong-moc-chau/","Xã Phiêng Luông")</f>
        <v>Xã Phiêng Luông</v>
      </c>
    </row>
    <row r="1693" spans="1:7" x14ac:dyDescent="0.25">
      <c r="A1693" s="2">
        <v>1692</v>
      </c>
      <c r="B1693" s="3" t="s">
        <v>11</v>
      </c>
      <c r="C1693" s="4" t="str">
        <f t="shared" si="139"/>
        <v>Sơn La</v>
      </c>
      <c r="D1693" s="3" t="s">
        <v>165</v>
      </c>
      <c r="E1693" s="4" t="str">
        <f t="shared" si="142"/>
        <v>Huyện Mộc Châu</v>
      </c>
      <c r="F1693" s="3" t="s">
        <v>2457</v>
      </c>
      <c r="G1693" s="4" t="str">
        <f>HYPERLINK("https://diaocthongthai.com/xa-long-sap-moc-chau/","Xã Lóng Sập")</f>
        <v>Xã Lóng Sập</v>
      </c>
    </row>
    <row r="1694" spans="1:7" x14ac:dyDescent="0.25">
      <c r="A1694" s="2">
        <v>1693</v>
      </c>
      <c r="B1694" s="3" t="s">
        <v>11</v>
      </c>
      <c r="C1694" s="4" t="str">
        <f t="shared" si="139"/>
        <v>Sơn La</v>
      </c>
      <c r="D1694" s="3" t="s">
        <v>166</v>
      </c>
      <c r="E1694" s="4" t="str">
        <f t="shared" ref="E1694:E1708" si="143">HYPERLINK("https://diaocthongthai.com/ban-do-huyen-yen-chau-son-la/","Huyện Yên Châu")</f>
        <v>Huyện Yên Châu</v>
      </c>
      <c r="F1694" s="3" t="s">
        <v>2458</v>
      </c>
      <c r="G1694" s="4" t="str">
        <f>HYPERLINK("https://diaocthongthai.com/thi-tran-yen-chau-yen-chau/","Thị trấn Yên Châu")</f>
        <v>Thị trấn Yên Châu</v>
      </c>
    </row>
    <row r="1695" spans="1:7" x14ac:dyDescent="0.25">
      <c r="A1695" s="2">
        <v>1694</v>
      </c>
      <c r="B1695" s="3" t="s">
        <v>11</v>
      </c>
      <c r="C1695" s="4" t="str">
        <f t="shared" si="139"/>
        <v>Sơn La</v>
      </c>
      <c r="D1695" s="3" t="s">
        <v>166</v>
      </c>
      <c r="E1695" s="4" t="str">
        <f t="shared" si="143"/>
        <v>Huyện Yên Châu</v>
      </c>
      <c r="F1695" s="3" t="s">
        <v>2459</v>
      </c>
      <c r="G1695" s="4" t="str">
        <f>HYPERLINK("https://diaocthongthai.com/xa-chieng-dong-yen-chau/","Xã Chiềng Đông")</f>
        <v>Xã Chiềng Đông</v>
      </c>
    </row>
    <row r="1696" spans="1:7" x14ac:dyDescent="0.25">
      <c r="A1696" s="2">
        <v>1695</v>
      </c>
      <c r="B1696" s="3" t="s">
        <v>11</v>
      </c>
      <c r="C1696" s="4" t="str">
        <f t="shared" ref="C1696:C1759" si="144">HYPERLINK("https://diaocthongthai.com/ban-do-son-la/","Sơn La")</f>
        <v>Sơn La</v>
      </c>
      <c r="D1696" s="3" t="s">
        <v>166</v>
      </c>
      <c r="E1696" s="4" t="str">
        <f t="shared" si="143"/>
        <v>Huyện Yên Châu</v>
      </c>
      <c r="F1696" s="3" t="s">
        <v>2460</v>
      </c>
      <c r="G1696" s="4" t="str">
        <f>HYPERLINK("https://diaocthongthai.com/xa-sap-vat-yen-chau/","Xã Sập Vạt")</f>
        <v>Xã Sập Vạt</v>
      </c>
    </row>
    <row r="1697" spans="1:7" x14ac:dyDescent="0.25">
      <c r="A1697" s="2">
        <v>1696</v>
      </c>
      <c r="B1697" s="3" t="s">
        <v>11</v>
      </c>
      <c r="C1697" s="4" t="str">
        <f t="shared" si="144"/>
        <v>Sơn La</v>
      </c>
      <c r="D1697" s="3" t="s">
        <v>166</v>
      </c>
      <c r="E1697" s="4" t="str">
        <f t="shared" si="143"/>
        <v>Huyện Yên Châu</v>
      </c>
      <c r="F1697" s="3" t="s">
        <v>2461</v>
      </c>
      <c r="G1697" s="4" t="str">
        <f>HYPERLINK("https://diaocthongthai.com/xa-chieng-sang-yen-chau/","Xã Chiềng Sàng")</f>
        <v>Xã Chiềng Sàng</v>
      </c>
    </row>
    <row r="1698" spans="1:7" x14ac:dyDescent="0.25">
      <c r="A1698" s="2">
        <v>1697</v>
      </c>
      <c r="B1698" s="3" t="s">
        <v>11</v>
      </c>
      <c r="C1698" s="4" t="str">
        <f t="shared" si="144"/>
        <v>Sơn La</v>
      </c>
      <c r="D1698" s="3" t="s">
        <v>166</v>
      </c>
      <c r="E1698" s="4" t="str">
        <f t="shared" si="143"/>
        <v>Huyện Yên Châu</v>
      </c>
      <c r="F1698" s="3" t="s">
        <v>2462</v>
      </c>
      <c r="G1698" s="4" t="str">
        <f>HYPERLINK("https://diaocthongthai.com/xa-chieng-pan-yen-chau/","Xã Chiềng Pằn")</f>
        <v>Xã Chiềng Pằn</v>
      </c>
    </row>
    <row r="1699" spans="1:7" x14ac:dyDescent="0.25">
      <c r="A1699" s="2">
        <v>1698</v>
      </c>
      <c r="B1699" s="3" t="s">
        <v>11</v>
      </c>
      <c r="C1699" s="4" t="str">
        <f t="shared" si="144"/>
        <v>Sơn La</v>
      </c>
      <c r="D1699" s="3" t="s">
        <v>166</v>
      </c>
      <c r="E1699" s="4" t="str">
        <f t="shared" si="143"/>
        <v>Huyện Yên Châu</v>
      </c>
      <c r="F1699" s="3" t="s">
        <v>2463</v>
      </c>
      <c r="G1699" s="4" t="str">
        <f>HYPERLINK("https://diaocthongthai.com/xa-vieng-lan-yen-chau/","Xã Viêng Lán")</f>
        <v>Xã Viêng Lán</v>
      </c>
    </row>
    <row r="1700" spans="1:7" x14ac:dyDescent="0.25">
      <c r="A1700" s="2">
        <v>1699</v>
      </c>
      <c r="B1700" s="3" t="s">
        <v>11</v>
      </c>
      <c r="C1700" s="4" t="str">
        <f t="shared" si="144"/>
        <v>Sơn La</v>
      </c>
      <c r="D1700" s="3" t="s">
        <v>166</v>
      </c>
      <c r="E1700" s="4" t="str">
        <f t="shared" si="143"/>
        <v>Huyện Yên Châu</v>
      </c>
      <c r="F1700" s="3" t="s">
        <v>2464</v>
      </c>
      <c r="G1700" s="4" t="str">
        <f>HYPERLINK("https://diaocthongthai.com/xa-chieng-hac-yen-chau/","Xã Chiềng Hặc")</f>
        <v>Xã Chiềng Hặc</v>
      </c>
    </row>
    <row r="1701" spans="1:7" x14ac:dyDescent="0.25">
      <c r="A1701" s="2">
        <v>1700</v>
      </c>
      <c r="B1701" s="3" t="s">
        <v>11</v>
      </c>
      <c r="C1701" s="4" t="str">
        <f t="shared" si="144"/>
        <v>Sơn La</v>
      </c>
      <c r="D1701" s="3" t="s">
        <v>166</v>
      </c>
      <c r="E1701" s="4" t="str">
        <f t="shared" si="143"/>
        <v>Huyện Yên Châu</v>
      </c>
      <c r="F1701" s="3" t="s">
        <v>2465</v>
      </c>
      <c r="G1701" s="4" t="str">
        <f>HYPERLINK("https://diaocthongthai.com/xa-muong-lum-yen-chau/","Xã Mường Lựm")</f>
        <v>Xã Mường Lựm</v>
      </c>
    </row>
    <row r="1702" spans="1:7" x14ac:dyDescent="0.25">
      <c r="A1702" s="2">
        <v>1701</v>
      </c>
      <c r="B1702" s="3" t="s">
        <v>11</v>
      </c>
      <c r="C1702" s="4" t="str">
        <f t="shared" si="144"/>
        <v>Sơn La</v>
      </c>
      <c r="D1702" s="3" t="s">
        <v>166</v>
      </c>
      <c r="E1702" s="4" t="str">
        <f t="shared" si="143"/>
        <v>Huyện Yên Châu</v>
      </c>
      <c r="F1702" s="3" t="s">
        <v>2466</v>
      </c>
      <c r="G1702" s="4" t="str">
        <f>HYPERLINK("https://diaocthongthai.com/xa-chieng-on-yen-chau/","Xã Chiềng On")</f>
        <v>Xã Chiềng On</v>
      </c>
    </row>
    <row r="1703" spans="1:7" x14ac:dyDescent="0.25">
      <c r="A1703" s="2">
        <v>1702</v>
      </c>
      <c r="B1703" s="3" t="s">
        <v>11</v>
      </c>
      <c r="C1703" s="4" t="str">
        <f t="shared" si="144"/>
        <v>Sơn La</v>
      </c>
      <c r="D1703" s="3" t="s">
        <v>166</v>
      </c>
      <c r="E1703" s="4" t="str">
        <f t="shared" si="143"/>
        <v>Huyện Yên Châu</v>
      </c>
      <c r="F1703" s="3" t="s">
        <v>2467</v>
      </c>
      <c r="G1703" s="4" t="str">
        <f>HYPERLINK("https://diaocthongthai.com/xa-yen-son-yen-chau/","Xã Yên Sơn")</f>
        <v>Xã Yên Sơn</v>
      </c>
    </row>
    <row r="1704" spans="1:7" x14ac:dyDescent="0.25">
      <c r="A1704" s="2">
        <v>1703</v>
      </c>
      <c r="B1704" s="3" t="s">
        <v>11</v>
      </c>
      <c r="C1704" s="4" t="str">
        <f t="shared" si="144"/>
        <v>Sơn La</v>
      </c>
      <c r="D1704" s="3" t="s">
        <v>166</v>
      </c>
      <c r="E1704" s="4" t="str">
        <f t="shared" si="143"/>
        <v>Huyện Yên Châu</v>
      </c>
      <c r="F1704" s="3" t="s">
        <v>2468</v>
      </c>
      <c r="G1704" s="4" t="str">
        <f>HYPERLINK("https://diaocthongthai.com/xa-chieng-khoi-yen-chau/","Xã Chiềng Khoi")</f>
        <v>Xã Chiềng Khoi</v>
      </c>
    </row>
    <row r="1705" spans="1:7" x14ac:dyDescent="0.25">
      <c r="A1705" s="2">
        <v>1704</v>
      </c>
      <c r="B1705" s="3" t="s">
        <v>11</v>
      </c>
      <c r="C1705" s="4" t="str">
        <f t="shared" si="144"/>
        <v>Sơn La</v>
      </c>
      <c r="D1705" s="3" t="s">
        <v>166</v>
      </c>
      <c r="E1705" s="4" t="str">
        <f t="shared" si="143"/>
        <v>Huyện Yên Châu</v>
      </c>
      <c r="F1705" s="3" t="s">
        <v>2469</v>
      </c>
      <c r="G1705" s="4" t="str">
        <f>HYPERLINK("https://diaocthongthai.com/xa-tu-nang-yen-chau/","Xã Tú Nang")</f>
        <v>Xã Tú Nang</v>
      </c>
    </row>
    <row r="1706" spans="1:7" x14ac:dyDescent="0.25">
      <c r="A1706" s="2">
        <v>1705</v>
      </c>
      <c r="B1706" s="3" t="s">
        <v>11</v>
      </c>
      <c r="C1706" s="4" t="str">
        <f t="shared" si="144"/>
        <v>Sơn La</v>
      </c>
      <c r="D1706" s="3" t="s">
        <v>166</v>
      </c>
      <c r="E1706" s="4" t="str">
        <f t="shared" si="143"/>
        <v>Huyện Yên Châu</v>
      </c>
      <c r="F1706" s="3" t="s">
        <v>2470</v>
      </c>
      <c r="G1706" s="4" t="str">
        <f>HYPERLINK("https://diaocthongthai.com/xa-long-phieng-yen-chau/","Xã Lóng Phiêng")</f>
        <v>Xã Lóng Phiêng</v>
      </c>
    </row>
    <row r="1707" spans="1:7" x14ac:dyDescent="0.25">
      <c r="A1707" s="2">
        <v>1706</v>
      </c>
      <c r="B1707" s="3" t="s">
        <v>11</v>
      </c>
      <c r="C1707" s="4" t="str">
        <f t="shared" si="144"/>
        <v>Sơn La</v>
      </c>
      <c r="D1707" s="3" t="s">
        <v>166</v>
      </c>
      <c r="E1707" s="4" t="str">
        <f t="shared" si="143"/>
        <v>Huyện Yên Châu</v>
      </c>
      <c r="F1707" s="3" t="s">
        <v>2471</v>
      </c>
      <c r="G1707" s="4" t="str">
        <f>HYPERLINK("https://diaocthongthai.com/xa-phieng-khoai-yen-chau/","Xã Phiêng Khoài")</f>
        <v>Xã Phiêng Khoài</v>
      </c>
    </row>
    <row r="1708" spans="1:7" x14ac:dyDescent="0.25">
      <c r="A1708" s="2">
        <v>1707</v>
      </c>
      <c r="B1708" s="3" t="s">
        <v>11</v>
      </c>
      <c r="C1708" s="4" t="str">
        <f t="shared" si="144"/>
        <v>Sơn La</v>
      </c>
      <c r="D1708" s="3" t="s">
        <v>166</v>
      </c>
      <c r="E1708" s="4" t="str">
        <f t="shared" si="143"/>
        <v>Huyện Yên Châu</v>
      </c>
      <c r="F1708" s="3" t="s">
        <v>2472</v>
      </c>
      <c r="G1708" s="4" t="str">
        <f>HYPERLINK("https://diaocthongthai.com/xa-chieng-tuong-yen-chau/","Xã Chiềng Tương")</f>
        <v>Xã Chiềng Tương</v>
      </c>
    </row>
    <row r="1709" spans="1:7" x14ac:dyDescent="0.25">
      <c r="A1709" s="2">
        <v>1708</v>
      </c>
      <c r="B1709" s="3" t="s">
        <v>11</v>
      </c>
      <c r="C1709" s="4" t="str">
        <f t="shared" si="144"/>
        <v>Sơn La</v>
      </c>
      <c r="D1709" s="3" t="s">
        <v>167</v>
      </c>
      <c r="E1709" s="4" t="str">
        <f t="shared" ref="E1709:E1730" si="145">HYPERLINK("https://diaocthongthai.com/ban-do-huyen-mai-son-son-la/","Huyện Mai Sơn")</f>
        <v>Huyện Mai Sơn</v>
      </c>
      <c r="F1709" s="3" t="s">
        <v>2473</v>
      </c>
      <c r="G1709" s="4" t="str">
        <f>HYPERLINK("https://diaocthongthai.com/thi-tran-hat-lot-mai-son/","Thị trấn Hát Lót")</f>
        <v>Thị trấn Hát Lót</v>
      </c>
    </row>
    <row r="1710" spans="1:7" x14ac:dyDescent="0.25">
      <c r="A1710" s="2">
        <v>1709</v>
      </c>
      <c r="B1710" s="3" t="s">
        <v>11</v>
      </c>
      <c r="C1710" s="4" t="str">
        <f t="shared" si="144"/>
        <v>Sơn La</v>
      </c>
      <c r="D1710" s="3" t="s">
        <v>167</v>
      </c>
      <c r="E1710" s="4" t="str">
        <f t="shared" si="145"/>
        <v>Huyện Mai Sơn</v>
      </c>
      <c r="F1710" s="3" t="s">
        <v>2474</v>
      </c>
      <c r="G1710" s="4" t="str">
        <f>HYPERLINK("https://diaocthongthai.com/xa-chieng-sung-mai-son/","Xã Chiềng Sung")</f>
        <v>Xã Chiềng Sung</v>
      </c>
    </row>
    <row r="1711" spans="1:7" x14ac:dyDescent="0.25">
      <c r="A1711" s="2">
        <v>1710</v>
      </c>
      <c r="B1711" s="3" t="s">
        <v>11</v>
      </c>
      <c r="C1711" s="4" t="str">
        <f t="shared" si="144"/>
        <v>Sơn La</v>
      </c>
      <c r="D1711" s="3" t="s">
        <v>167</v>
      </c>
      <c r="E1711" s="4" t="str">
        <f t="shared" si="145"/>
        <v>Huyện Mai Sơn</v>
      </c>
      <c r="F1711" s="3" t="s">
        <v>2475</v>
      </c>
      <c r="G1711" s="4" t="str">
        <f>HYPERLINK("https://diaocthongthai.com/xa-muong-bang-mai-son/","Xã Mường Bằng")</f>
        <v>Xã Mường Bằng</v>
      </c>
    </row>
    <row r="1712" spans="1:7" x14ac:dyDescent="0.25">
      <c r="A1712" s="2">
        <v>1711</v>
      </c>
      <c r="B1712" s="3" t="s">
        <v>11</v>
      </c>
      <c r="C1712" s="4" t="str">
        <f t="shared" si="144"/>
        <v>Sơn La</v>
      </c>
      <c r="D1712" s="3" t="s">
        <v>167</v>
      </c>
      <c r="E1712" s="4" t="str">
        <f t="shared" si="145"/>
        <v>Huyện Mai Sơn</v>
      </c>
      <c r="F1712" s="3" t="s">
        <v>2476</v>
      </c>
      <c r="G1712" s="4" t="str">
        <f>HYPERLINK("https://diaocthongthai.com/xa-chieng-chan-mai-son/","Xã Chiềng Chăn")</f>
        <v>Xã Chiềng Chăn</v>
      </c>
    </row>
    <row r="1713" spans="1:7" x14ac:dyDescent="0.25">
      <c r="A1713" s="2">
        <v>1712</v>
      </c>
      <c r="B1713" s="3" t="s">
        <v>11</v>
      </c>
      <c r="C1713" s="4" t="str">
        <f t="shared" si="144"/>
        <v>Sơn La</v>
      </c>
      <c r="D1713" s="3" t="s">
        <v>167</v>
      </c>
      <c r="E1713" s="4" t="str">
        <f t="shared" si="145"/>
        <v>Huyện Mai Sơn</v>
      </c>
      <c r="F1713" s="3" t="s">
        <v>2477</v>
      </c>
      <c r="G1713" s="4" t="str">
        <f>HYPERLINK("https://diaocthongthai.com/xa-muong-chanh-mai-son/","Xã Mương Chanh")</f>
        <v>Xã Mương Chanh</v>
      </c>
    </row>
    <row r="1714" spans="1:7" x14ac:dyDescent="0.25">
      <c r="A1714" s="2">
        <v>1713</v>
      </c>
      <c r="B1714" s="3" t="s">
        <v>11</v>
      </c>
      <c r="C1714" s="4" t="str">
        <f t="shared" si="144"/>
        <v>Sơn La</v>
      </c>
      <c r="D1714" s="3" t="s">
        <v>167</v>
      </c>
      <c r="E1714" s="4" t="str">
        <f t="shared" si="145"/>
        <v>Huyện Mai Sơn</v>
      </c>
      <c r="F1714" s="3" t="s">
        <v>2478</v>
      </c>
      <c r="G1714" s="4" t="str">
        <f>HYPERLINK("https://diaocthongthai.com/xa-chieng-ban-mai-son/","Xã Chiềng Ban")</f>
        <v>Xã Chiềng Ban</v>
      </c>
    </row>
    <row r="1715" spans="1:7" x14ac:dyDescent="0.25">
      <c r="A1715" s="2">
        <v>1714</v>
      </c>
      <c r="B1715" s="3" t="s">
        <v>11</v>
      </c>
      <c r="C1715" s="4" t="str">
        <f t="shared" si="144"/>
        <v>Sơn La</v>
      </c>
      <c r="D1715" s="3" t="s">
        <v>167</v>
      </c>
      <c r="E1715" s="4" t="str">
        <f t="shared" si="145"/>
        <v>Huyện Mai Sơn</v>
      </c>
      <c r="F1715" s="3" t="s">
        <v>2479</v>
      </c>
      <c r="G1715" s="4" t="str">
        <f>HYPERLINK("https://diaocthongthai.com/xa-chieng-mung-mai-son/","Xã Chiềng Mung")</f>
        <v>Xã Chiềng Mung</v>
      </c>
    </row>
    <row r="1716" spans="1:7" x14ac:dyDescent="0.25">
      <c r="A1716" s="2">
        <v>1715</v>
      </c>
      <c r="B1716" s="3" t="s">
        <v>11</v>
      </c>
      <c r="C1716" s="4" t="str">
        <f t="shared" si="144"/>
        <v>Sơn La</v>
      </c>
      <c r="D1716" s="3" t="s">
        <v>167</v>
      </c>
      <c r="E1716" s="4" t="str">
        <f t="shared" si="145"/>
        <v>Huyện Mai Sơn</v>
      </c>
      <c r="F1716" s="3" t="s">
        <v>2480</v>
      </c>
      <c r="G1716" s="4" t="str">
        <f>HYPERLINK("https://diaocthongthai.com/xa-muong-bon-mai-son/","Xã Mường Bon")</f>
        <v>Xã Mường Bon</v>
      </c>
    </row>
    <row r="1717" spans="1:7" x14ac:dyDescent="0.25">
      <c r="A1717" s="2">
        <v>1716</v>
      </c>
      <c r="B1717" s="3" t="s">
        <v>11</v>
      </c>
      <c r="C1717" s="4" t="str">
        <f t="shared" si="144"/>
        <v>Sơn La</v>
      </c>
      <c r="D1717" s="3" t="s">
        <v>167</v>
      </c>
      <c r="E1717" s="4" t="str">
        <f t="shared" si="145"/>
        <v>Huyện Mai Sơn</v>
      </c>
      <c r="F1717" s="3" t="s">
        <v>2481</v>
      </c>
      <c r="G1717" s="4" t="str">
        <f>HYPERLINK("https://diaocthongthai.com/xa-chieng-chung-mai-son/","Xã Chiềng Chung")</f>
        <v>Xã Chiềng Chung</v>
      </c>
    </row>
    <row r="1718" spans="1:7" x14ac:dyDescent="0.25">
      <c r="A1718" s="2">
        <v>1717</v>
      </c>
      <c r="B1718" s="3" t="s">
        <v>11</v>
      </c>
      <c r="C1718" s="4" t="str">
        <f t="shared" si="144"/>
        <v>Sơn La</v>
      </c>
      <c r="D1718" s="3" t="s">
        <v>167</v>
      </c>
      <c r="E1718" s="4" t="str">
        <f t="shared" si="145"/>
        <v>Huyện Mai Sơn</v>
      </c>
      <c r="F1718" s="3" t="s">
        <v>2482</v>
      </c>
      <c r="G1718" s="4" t="str">
        <f>HYPERLINK("https://diaocthongthai.com/xa-chieng-mai-mai-son/","Xã Chiềng Mai")</f>
        <v>Xã Chiềng Mai</v>
      </c>
    </row>
    <row r="1719" spans="1:7" x14ac:dyDescent="0.25">
      <c r="A1719" s="2">
        <v>1718</v>
      </c>
      <c r="B1719" s="3" t="s">
        <v>11</v>
      </c>
      <c r="C1719" s="4" t="str">
        <f t="shared" si="144"/>
        <v>Sơn La</v>
      </c>
      <c r="D1719" s="3" t="s">
        <v>167</v>
      </c>
      <c r="E1719" s="4" t="str">
        <f t="shared" si="145"/>
        <v>Huyện Mai Sơn</v>
      </c>
      <c r="F1719" s="3" t="s">
        <v>2483</v>
      </c>
      <c r="G1719" s="4" t="str">
        <f>HYPERLINK("https://diaocthongthai.com/xa-hat-lot-mai-son/","Xã Hát Lót")</f>
        <v>Xã Hát Lót</v>
      </c>
    </row>
    <row r="1720" spans="1:7" x14ac:dyDescent="0.25">
      <c r="A1720" s="2">
        <v>1719</v>
      </c>
      <c r="B1720" s="3" t="s">
        <v>11</v>
      </c>
      <c r="C1720" s="4" t="str">
        <f t="shared" si="144"/>
        <v>Sơn La</v>
      </c>
      <c r="D1720" s="3" t="s">
        <v>167</v>
      </c>
      <c r="E1720" s="4" t="str">
        <f t="shared" si="145"/>
        <v>Huyện Mai Sơn</v>
      </c>
      <c r="F1720" s="3" t="s">
        <v>2484</v>
      </c>
      <c r="G1720" s="4" t="str">
        <f>HYPERLINK("https://diaocthongthai.com/xa-na-bo-mai-son/","Xã Nà Pó")</f>
        <v>Xã Nà Pó</v>
      </c>
    </row>
    <row r="1721" spans="1:7" x14ac:dyDescent="0.25">
      <c r="A1721" s="2">
        <v>1720</v>
      </c>
      <c r="B1721" s="3" t="s">
        <v>11</v>
      </c>
      <c r="C1721" s="4" t="str">
        <f t="shared" si="144"/>
        <v>Sơn La</v>
      </c>
      <c r="D1721" s="3" t="s">
        <v>167</v>
      </c>
      <c r="E1721" s="4" t="str">
        <f t="shared" si="145"/>
        <v>Huyện Mai Sơn</v>
      </c>
      <c r="F1721" s="3" t="s">
        <v>2485</v>
      </c>
      <c r="G1721" s="4" t="str">
        <f>HYPERLINK("https://diaocthongthai.com/xa-co-noi-mai-son/","Xã Cò  Nòi")</f>
        <v>Xã Cò  Nòi</v>
      </c>
    </row>
    <row r="1722" spans="1:7" x14ac:dyDescent="0.25">
      <c r="A1722" s="2">
        <v>1721</v>
      </c>
      <c r="B1722" s="3" t="s">
        <v>11</v>
      </c>
      <c r="C1722" s="4" t="str">
        <f t="shared" si="144"/>
        <v>Sơn La</v>
      </c>
      <c r="D1722" s="3" t="s">
        <v>167</v>
      </c>
      <c r="E1722" s="4" t="str">
        <f t="shared" si="145"/>
        <v>Huyện Mai Sơn</v>
      </c>
      <c r="F1722" s="3" t="s">
        <v>2486</v>
      </c>
      <c r="G1722" s="4" t="str">
        <f>HYPERLINK("https://diaocthongthai.com/xa-chieng-noi-mai-son/","Xã Chiềng Nơi")</f>
        <v>Xã Chiềng Nơi</v>
      </c>
    </row>
    <row r="1723" spans="1:7" x14ac:dyDescent="0.25">
      <c r="A1723" s="2">
        <v>1722</v>
      </c>
      <c r="B1723" s="3" t="s">
        <v>11</v>
      </c>
      <c r="C1723" s="4" t="str">
        <f t="shared" si="144"/>
        <v>Sơn La</v>
      </c>
      <c r="D1723" s="3" t="s">
        <v>167</v>
      </c>
      <c r="E1723" s="4" t="str">
        <f t="shared" si="145"/>
        <v>Huyện Mai Sơn</v>
      </c>
      <c r="F1723" s="3" t="s">
        <v>2487</v>
      </c>
      <c r="G1723" s="4" t="str">
        <f>HYPERLINK("https://diaocthongthai.com/xa-phieng-cam-mai-son/","Xã Phiêng Cằm")</f>
        <v>Xã Phiêng Cằm</v>
      </c>
    </row>
    <row r="1724" spans="1:7" x14ac:dyDescent="0.25">
      <c r="A1724" s="2">
        <v>1723</v>
      </c>
      <c r="B1724" s="3" t="s">
        <v>11</v>
      </c>
      <c r="C1724" s="4" t="str">
        <f t="shared" si="144"/>
        <v>Sơn La</v>
      </c>
      <c r="D1724" s="3" t="s">
        <v>167</v>
      </c>
      <c r="E1724" s="4" t="str">
        <f t="shared" si="145"/>
        <v>Huyện Mai Sơn</v>
      </c>
      <c r="F1724" s="3" t="s">
        <v>2488</v>
      </c>
      <c r="G1724" s="4" t="str">
        <f>HYPERLINK("https://diaocthongthai.com/xa-chieng-dong-mai-son/","Xã Chiềng Dong")</f>
        <v>Xã Chiềng Dong</v>
      </c>
    </row>
    <row r="1725" spans="1:7" x14ac:dyDescent="0.25">
      <c r="A1725" s="2">
        <v>1724</v>
      </c>
      <c r="B1725" s="3" t="s">
        <v>11</v>
      </c>
      <c r="C1725" s="4" t="str">
        <f t="shared" si="144"/>
        <v>Sơn La</v>
      </c>
      <c r="D1725" s="3" t="s">
        <v>167</v>
      </c>
      <c r="E1725" s="4" t="str">
        <f t="shared" si="145"/>
        <v>Huyện Mai Sơn</v>
      </c>
      <c r="F1725" s="3" t="s">
        <v>2489</v>
      </c>
      <c r="G1725" s="4" t="str">
        <f>HYPERLINK("https://diaocthongthai.com/xa-chieng-kheo-mai-son/","Xã Chiềng Kheo")</f>
        <v>Xã Chiềng Kheo</v>
      </c>
    </row>
    <row r="1726" spans="1:7" x14ac:dyDescent="0.25">
      <c r="A1726" s="2">
        <v>1725</v>
      </c>
      <c r="B1726" s="3" t="s">
        <v>11</v>
      </c>
      <c r="C1726" s="4" t="str">
        <f t="shared" si="144"/>
        <v>Sơn La</v>
      </c>
      <c r="D1726" s="3" t="s">
        <v>167</v>
      </c>
      <c r="E1726" s="4" t="str">
        <f t="shared" si="145"/>
        <v>Huyện Mai Sơn</v>
      </c>
      <c r="F1726" s="3" t="s">
        <v>2490</v>
      </c>
      <c r="G1726" s="4" t="str">
        <f>HYPERLINK("https://diaocthongthai.com/xa-chieng-ve-mai-son/","Xã Chiềng Ve")</f>
        <v>Xã Chiềng Ve</v>
      </c>
    </row>
    <row r="1727" spans="1:7" x14ac:dyDescent="0.25">
      <c r="A1727" s="2">
        <v>1726</v>
      </c>
      <c r="B1727" s="3" t="s">
        <v>11</v>
      </c>
      <c r="C1727" s="4" t="str">
        <f t="shared" si="144"/>
        <v>Sơn La</v>
      </c>
      <c r="D1727" s="3" t="s">
        <v>167</v>
      </c>
      <c r="E1727" s="4" t="str">
        <f t="shared" si="145"/>
        <v>Huyện Mai Sơn</v>
      </c>
      <c r="F1727" s="3" t="s">
        <v>2491</v>
      </c>
      <c r="G1727" s="4" t="str">
        <f>HYPERLINK("https://diaocthongthai.com/xa-chieng-luong-mai-son/","Xã Chiềng Lương")</f>
        <v>Xã Chiềng Lương</v>
      </c>
    </row>
    <row r="1728" spans="1:7" x14ac:dyDescent="0.25">
      <c r="A1728" s="2">
        <v>1727</v>
      </c>
      <c r="B1728" s="3" t="s">
        <v>11</v>
      </c>
      <c r="C1728" s="4" t="str">
        <f t="shared" si="144"/>
        <v>Sơn La</v>
      </c>
      <c r="D1728" s="3" t="s">
        <v>167</v>
      </c>
      <c r="E1728" s="4" t="str">
        <f t="shared" si="145"/>
        <v>Huyện Mai Sơn</v>
      </c>
      <c r="F1728" s="3" t="s">
        <v>2492</v>
      </c>
      <c r="G1728" s="4" t="str">
        <f>HYPERLINK("https://diaocthongthai.com/xa-phieng-pan-mai-son/","Xã Phiêng Pằn")</f>
        <v>Xã Phiêng Pằn</v>
      </c>
    </row>
    <row r="1729" spans="1:7" x14ac:dyDescent="0.25">
      <c r="A1729" s="2">
        <v>1728</v>
      </c>
      <c r="B1729" s="3" t="s">
        <v>11</v>
      </c>
      <c r="C1729" s="4" t="str">
        <f t="shared" si="144"/>
        <v>Sơn La</v>
      </c>
      <c r="D1729" s="3" t="s">
        <v>167</v>
      </c>
      <c r="E1729" s="4" t="str">
        <f t="shared" si="145"/>
        <v>Huyện Mai Sơn</v>
      </c>
      <c r="F1729" s="3" t="s">
        <v>2493</v>
      </c>
      <c r="G1729" s="4" t="str">
        <f>HYPERLINK("https://diaocthongthai.com/xa-na-ot-mai-son/","Xã Nà Ơt")</f>
        <v>Xã Nà Ơt</v>
      </c>
    </row>
    <row r="1730" spans="1:7" x14ac:dyDescent="0.25">
      <c r="A1730" s="2">
        <v>1729</v>
      </c>
      <c r="B1730" s="3" t="s">
        <v>11</v>
      </c>
      <c r="C1730" s="4" t="str">
        <f t="shared" si="144"/>
        <v>Sơn La</v>
      </c>
      <c r="D1730" s="3" t="s">
        <v>167</v>
      </c>
      <c r="E1730" s="4" t="str">
        <f t="shared" si="145"/>
        <v>Huyện Mai Sơn</v>
      </c>
      <c r="F1730" s="3" t="s">
        <v>2494</v>
      </c>
      <c r="G1730" s="4" t="str">
        <f>HYPERLINK("https://diaocthongthai.com/xa-ta-hoc-mai-son/","Xã Tà Hộc")</f>
        <v>Xã Tà Hộc</v>
      </c>
    </row>
    <row r="1731" spans="1:7" x14ac:dyDescent="0.25">
      <c r="A1731" s="2">
        <v>1730</v>
      </c>
      <c r="B1731" s="3" t="s">
        <v>11</v>
      </c>
      <c r="C1731" s="4" t="str">
        <f t="shared" si="144"/>
        <v>Sơn La</v>
      </c>
      <c r="D1731" s="3" t="s">
        <v>168</v>
      </c>
      <c r="E1731" s="4" t="str">
        <f t="shared" ref="E1731:E1749" si="146">HYPERLINK("https://diaocthongthai.com/ban-do-huyen-song-ma-son-la/","Huyện Sông Mã")</f>
        <v>Huyện Sông Mã</v>
      </c>
      <c r="F1731" s="3" t="s">
        <v>2495</v>
      </c>
      <c r="G1731" s="4" t="str">
        <f>HYPERLINK("https://diaocthongthai.com/thi-tran-song-ma-song-ma/","Thị trấn Sông Mã")</f>
        <v>Thị trấn Sông Mã</v>
      </c>
    </row>
    <row r="1732" spans="1:7" x14ac:dyDescent="0.25">
      <c r="A1732" s="2">
        <v>1731</v>
      </c>
      <c r="B1732" s="3" t="s">
        <v>11</v>
      </c>
      <c r="C1732" s="4" t="str">
        <f t="shared" si="144"/>
        <v>Sơn La</v>
      </c>
      <c r="D1732" s="3" t="s">
        <v>168</v>
      </c>
      <c r="E1732" s="4" t="str">
        <f t="shared" si="146"/>
        <v>Huyện Sông Mã</v>
      </c>
      <c r="F1732" s="3" t="s">
        <v>2496</v>
      </c>
      <c r="G1732" s="4" t="str">
        <f>HYPERLINK("https://diaocthongthai.com/xa-bo-sinh-song-ma/","Xã Bó Sinh")</f>
        <v>Xã Bó Sinh</v>
      </c>
    </row>
    <row r="1733" spans="1:7" x14ac:dyDescent="0.25">
      <c r="A1733" s="2">
        <v>1732</v>
      </c>
      <c r="B1733" s="3" t="s">
        <v>11</v>
      </c>
      <c r="C1733" s="4" t="str">
        <f t="shared" si="144"/>
        <v>Sơn La</v>
      </c>
      <c r="D1733" s="3" t="s">
        <v>168</v>
      </c>
      <c r="E1733" s="4" t="str">
        <f t="shared" si="146"/>
        <v>Huyện Sông Mã</v>
      </c>
      <c r="F1733" s="3" t="s">
        <v>2497</v>
      </c>
      <c r="G1733" s="4" t="str">
        <f>HYPERLINK("https://diaocthongthai.com/xa-pu-bau-song-ma/","Xã Pú Pẩu")</f>
        <v>Xã Pú Pẩu</v>
      </c>
    </row>
    <row r="1734" spans="1:7" x14ac:dyDescent="0.25">
      <c r="A1734" s="2">
        <v>1733</v>
      </c>
      <c r="B1734" s="3" t="s">
        <v>11</v>
      </c>
      <c r="C1734" s="4" t="str">
        <f t="shared" si="144"/>
        <v>Sơn La</v>
      </c>
      <c r="D1734" s="3" t="s">
        <v>168</v>
      </c>
      <c r="E1734" s="4" t="str">
        <f t="shared" si="146"/>
        <v>Huyện Sông Mã</v>
      </c>
      <c r="F1734" s="3" t="s">
        <v>2498</v>
      </c>
      <c r="G1734" s="4" t="str">
        <f>HYPERLINK("https://diaocthongthai.com/xa-chieng-phung-song-ma/","Xã Chiềng Phung")</f>
        <v>Xã Chiềng Phung</v>
      </c>
    </row>
    <row r="1735" spans="1:7" x14ac:dyDescent="0.25">
      <c r="A1735" s="2">
        <v>1734</v>
      </c>
      <c r="B1735" s="3" t="s">
        <v>11</v>
      </c>
      <c r="C1735" s="4" t="str">
        <f t="shared" si="144"/>
        <v>Sơn La</v>
      </c>
      <c r="D1735" s="3" t="s">
        <v>168</v>
      </c>
      <c r="E1735" s="4" t="str">
        <f t="shared" si="146"/>
        <v>Huyện Sông Mã</v>
      </c>
      <c r="F1735" s="3" t="s">
        <v>2499</v>
      </c>
      <c r="G1735" s="4" t="str">
        <f>HYPERLINK("https://diaocthongthai.com/xa-chieng-en-song-ma/","Xã Chiềng En")</f>
        <v>Xã Chiềng En</v>
      </c>
    </row>
    <row r="1736" spans="1:7" x14ac:dyDescent="0.25">
      <c r="A1736" s="2">
        <v>1735</v>
      </c>
      <c r="B1736" s="3" t="s">
        <v>11</v>
      </c>
      <c r="C1736" s="4" t="str">
        <f t="shared" si="144"/>
        <v>Sơn La</v>
      </c>
      <c r="D1736" s="3" t="s">
        <v>168</v>
      </c>
      <c r="E1736" s="4" t="str">
        <f t="shared" si="146"/>
        <v>Huyện Sông Mã</v>
      </c>
      <c r="F1736" s="3" t="s">
        <v>2500</v>
      </c>
      <c r="G1736" s="4" t="str">
        <f>HYPERLINK("https://diaocthongthai.com/xa-muong-lam-song-ma/","Xã Mường Lầm")</f>
        <v>Xã Mường Lầm</v>
      </c>
    </row>
    <row r="1737" spans="1:7" x14ac:dyDescent="0.25">
      <c r="A1737" s="2">
        <v>1736</v>
      </c>
      <c r="B1737" s="3" t="s">
        <v>11</v>
      </c>
      <c r="C1737" s="4" t="str">
        <f t="shared" si="144"/>
        <v>Sơn La</v>
      </c>
      <c r="D1737" s="3" t="s">
        <v>168</v>
      </c>
      <c r="E1737" s="4" t="str">
        <f t="shared" si="146"/>
        <v>Huyện Sông Mã</v>
      </c>
      <c r="F1737" s="3" t="s">
        <v>2501</v>
      </c>
      <c r="G1737" s="4" t="str">
        <f>HYPERLINK("https://diaocthongthai.com/xa-nam-ty-song-ma/","Xã Nậm Ty")</f>
        <v>Xã Nậm Ty</v>
      </c>
    </row>
    <row r="1738" spans="1:7" x14ac:dyDescent="0.25">
      <c r="A1738" s="2">
        <v>1737</v>
      </c>
      <c r="B1738" s="3" t="s">
        <v>11</v>
      </c>
      <c r="C1738" s="4" t="str">
        <f t="shared" si="144"/>
        <v>Sơn La</v>
      </c>
      <c r="D1738" s="3" t="s">
        <v>168</v>
      </c>
      <c r="E1738" s="4" t="str">
        <f t="shared" si="146"/>
        <v>Huyện Sông Mã</v>
      </c>
      <c r="F1738" s="3" t="s">
        <v>2502</v>
      </c>
      <c r="G1738" s="4" t="str">
        <f>HYPERLINK("https://diaocthongthai.com/xa-dua-mon-song-ma/","Xã Đứa Mòn")</f>
        <v>Xã Đứa Mòn</v>
      </c>
    </row>
    <row r="1739" spans="1:7" x14ac:dyDescent="0.25">
      <c r="A1739" s="2">
        <v>1738</v>
      </c>
      <c r="B1739" s="3" t="s">
        <v>11</v>
      </c>
      <c r="C1739" s="4" t="str">
        <f t="shared" si="144"/>
        <v>Sơn La</v>
      </c>
      <c r="D1739" s="3" t="s">
        <v>168</v>
      </c>
      <c r="E1739" s="4" t="str">
        <f t="shared" si="146"/>
        <v>Huyện Sông Mã</v>
      </c>
      <c r="F1739" s="3" t="s">
        <v>2503</v>
      </c>
      <c r="G1739" s="4" t="str">
        <f>HYPERLINK("https://diaocthongthai.com/xa-yen-hung-song-ma/","Xã Yên Hưng")</f>
        <v>Xã Yên Hưng</v>
      </c>
    </row>
    <row r="1740" spans="1:7" x14ac:dyDescent="0.25">
      <c r="A1740" s="2">
        <v>1739</v>
      </c>
      <c r="B1740" s="3" t="s">
        <v>11</v>
      </c>
      <c r="C1740" s="4" t="str">
        <f t="shared" si="144"/>
        <v>Sơn La</v>
      </c>
      <c r="D1740" s="3" t="s">
        <v>168</v>
      </c>
      <c r="E1740" s="4" t="str">
        <f t="shared" si="146"/>
        <v>Huyện Sông Mã</v>
      </c>
      <c r="F1740" s="3" t="s">
        <v>2504</v>
      </c>
      <c r="G1740" s="4" t="str">
        <f>HYPERLINK("https://diaocthongthai.com/xa-chieng-so-song-ma/","Xã Chiềng Sơ")</f>
        <v>Xã Chiềng Sơ</v>
      </c>
    </row>
    <row r="1741" spans="1:7" x14ac:dyDescent="0.25">
      <c r="A1741" s="2">
        <v>1740</v>
      </c>
      <c r="B1741" s="3" t="s">
        <v>11</v>
      </c>
      <c r="C1741" s="4" t="str">
        <f t="shared" si="144"/>
        <v>Sơn La</v>
      </c>
      <c r="D1741" s="3" t="s">
        <v>168</v>
      </c>
      <c r="E1741" s="4" t="str">
        <f t="shared" si="146"/>
        <v>Huyện Sông Mã</v>
      </c>
      <c r="F1741" s="3" t="s">
        <v>2505</v>
      </c>
      <c r="G1741" s="4" t="str">
        <f>HYPERLINK("https://diaocthongthai.com/xa-na-nghiu-song-ma/","Xã Nà Nghịu")</f>
        <v>Xã Nà Nghịu</v>
      </c>
    </row>
    <row r="1742" spans="1:7" x14ac:dyDescent="0.25">
      <c r="A1742" s="2">
        <v>1741</v>
      </c>
      <c r="B1742" s="3" t="s">
        <v>11</v>
      </c>
      <c r="C1742" s="4" t="str">
        <f t="shared" si="144"/>
        <v>Sơn La</v>
      </c>
      <c r="D1742" s="3" t="s">
        <v>168</v>
      </c>
      <c r="E1742" s="4" t="str">
        <f t="shared" si="146"/>
        <v>Huyện Sông Mã</v>
      </c>
      <c r="F1742" s="3" t="s">
        <v>2506</v>
      </c>
      <c r="G1742" s="4" t="str">
        <f>HYPERLINK("https://diaocthongthai.com/xa-nam-man-song-ma/","Xã Nậm Mằn")</f>
        <v>Xã Nậm Mằn</v>
      </c>
    </row>
    <row r="1743" spans="1:7" x14ac:dyDescent="0.25">
      <c r="A1743" s="2">
        <v>1742</v>
      </c>
      <c r="B1743" s="3" t="s">
        <v>11</v>
      </c>
      <c r="C1743" s="4" t="str">
        <f t="shared" si="144"/>
        <v>Sơn La</v>
      </c>
      <c r="D1743" s="3" t="s">
        <v>168</v>
      </c>
      <c r="E1743" s="4" t="str">
        <f t="shared" si="146"/>
        <v>Huyện Sông Mã</v>
      </c>
      <c r="F1743" s="3" t="s">
        <v>2507</v>
      </c>
      <c r="G1743" s="4" t="str">
        <f>HYPERLINK("https://diaocthongthai.com/xa-chieng-khoong-song-ma/","Xã Chiềng Khoong")</f>
        <v>Xã Chiềng Khoong</v>
      </c>
    </row>
    <row r="1744" spans="1:7" x14ac:dyDescent="0.25">
      <c r="A1744" s="2">
        <v>1743</v>
      </c>
      <c r="B1744" s="3" t="s">
        <v>11</v>
      </c>
      <c r="C1744" s="4" t="str">
        <f t="shared" si="144"/>
        <v>Sơn La</v>
      </c>
      <c r="D1744" s="3" t="s">
        <v>168</v>
      </c>
      <c r="E1744" s="4" t="str">
        <f t="shared" si="146"/>
        <v>Huyện Sông Mã</v>
      </c>
      <c r="F1744" s="3" t="s">
        <v>2508</v>
      </c>
      <c r="G1744" s="4" t="str">
        <f>HYPERLINK("https://diaocthongthai.com/xa-chieng-cang-song-ma/","Xã Chiềng Cang")</f>
        <v>Xã Chiềng Cang</v>
      </c>
    </row>
    <row r="1745" spans="1:7" x14ac:dyDescent="0.25">
      <c r="A1745" s="2">
        <v>1744</v>
      </c>
      <c r="B1745" s="3" t="s">
        <v>11</v>
      </c>
      <c r="C1745" s="4" t="str">
        <f t="shared" si="144"/>
        <v>Sơn La</v>
      </c>
      <c r="D1745" s="3" t="s">
        <v>168</v>
      </c>
      <c r="E1745" s="4" t="str">
        <f t="shared" si="146"/>
        <v>Huyện Sông Mã</v>
      </c>
      <c r="F1745" s="3" t="s">
        <v>2509</v>
      </c>
      <c r="G1745" s="4" t="str">
        <f>HYPERLINK("https://diaocthongthai.com/xa-huoi-mot-song-ma/","Xã Huổi Một")</f>
        <v>Xã Huổi Một</v>
      </c>
    </row>
    <row r="1746" spans="1:7" x14ac:dyDescent="0.25">
      <c r="A1746" s="2">
        <v>1745</v>
      </c>
      <c r="B1746" s="3" t="s">
        <v>11</v>
      </c>
      <c r="C1746" s="4" t="str">
        <f t="shared" si="144"/>
        <v>Sơn La</v>
      </c>
      <c r="D1746" s="3" t="s">
        <v>168</v>
      </c>
      <c r="E1746" s="4" t="str">
        <f t="shared" si="146"/>
        <v>Huyện Sông Mã</v>
      </c>
      <c r="F1746" s="3" t="s">
        <v>2510</v>
      </c>
      <c r="G1746" s="4" t="str">
        <f>HYPERLINK("https://diaocthongthai.com/xa-muong-sai-song-ma/","Xã Mường Sai")</f>
        <v>Xã Mường Sai</v>
      </c>
    </row>
    <row r="1747" spans="1:7" x14ac:dyDescent="0.25">
      <c r="A1747" s="2">
        <v>1746</v>
      </c>
      <c r="B1747" s="3" t="s">
        <v>11</v>
      </c>
      <c r="C1747" s="4" t="str">
        <f t="shared" si="144"/>
        <v>Sơn La</v>
      </c>
      <c r="D1747" s="3" t="s">
        <v>168</v>
      </c>
      <c r="E1747" s="4" t="str">
        <f t="shared" si="146"/>
        <v>Huyện Sông Mã</v>
      </c>
      <c r="F1747" s="3" t="s">
        <v>2511</v>
      </c>
      <c r="G1747" s="4" t="str">
        <f>HYPERLINK("https://diaocthongthai.com/xa-muong-cai-song-ma/","Xã Mường Cai")</f>
        <v>Xã Mường Cai</v>
      </c>
    </row>
    <row r="1748" spans="1:7" x14ac:dyDescent="0.25">
      <c r="A1748" s="2">
        <v>1747</v>
      </c>
      <c r="B1748" s="3" t="s">
        <v>11</v>
      </c>
      <c r="C1748" s="4" t="str">
        <f t="shared" si="144"/>
        <v>Sơn La</v>
      </c>
      <c r="D1748" s="3" t="s">
        <v>168</v>
      </c>
      <c r="E1748" s="4" t="str">
        <f t="shared" si="146"/>
        <v>Huyện Sông Mã</v>
      </c>
      <c r="F1748" s="3" t="s">
        <v>2512</v>
      </c>
      <c r="G1748" s="4" t="str">
        <f>HYPERLINK("https://diaocthongthai.com/xa-muong-hung-song-ma/","Xã Mường Hung")</f>
        <v>Xã Mường Hung</v>
      </c>
    </row>
    <row r="1749" spans="1:7" x14ac:dyDescent="0.25">
      <c r="A1749" s="2">
        <v>1748</v>
      </c>
      <c r="B1749" s="3" t="s">
        <v>11</v>
      </c>
      <c r="C1749" s="4" t="str">
        <f t="shared" si="144"/>
        <v>Sơn La</v>
      </c>
      <c r="D1749" s="3" t="s">
        <v>168</v>
      </c>
      <c r="E1749" s="4" t="str">
        <f t="shared" si="146"/>
        <v>Huyện Sông Mã</v>
      </c>
      <c r="F1749" s="3" t="s">
        <v>2513</v>
      </c>
      <c r="G1749" s="4" t="str">
        <f>HYPERLINK("https://diaocthongthai.com/xa-chieng-khuong-song-ma/","Xã Chiềng Khương")</f>
        <v>Xã Chiềng Khương</v>
      </c>
    </row>
    <row r="1750" spans="1:7" x14ac:dyDescent="0.25">
      <c r="A1750" s="2">
        <v>1749</v>
      </c>
      <c r="B1750" s="3" t="s">
        <v>11</v>
      </c>
      <c r="C1750" s="4" t="str">
        <f t="shared" si="144"/>
        <v>Sơn La</v>
      </c>
      <c r="D1750" s="3" t="s">
        <v>169</v>
      </c>
      <c r="E1750" s="4" t="str">
        <f t="shared" ref="E1750:E1757" si="147">HYPERLINK("https://diaocthongthai.com/ban-do-huyen-sop-cop-son-la/","Huyện Sốp Cộp")</f>
        <v>Huyện Sốp Cộp</v>
      </c>
      <c r="F1750" s="3" t="s">
        <v>2514</v>
      </c>
      <c r="G1750" s="4" t="str">
        <f>HYPERLINK("https://diaocthongthai.com/xa-sam-kha-sop-cop/","Xã Sam Kha")</f>
        <v>Xã Sam Kha</v>
      </c>
    </row>
    <row r="1751" spans="1:7" x14ac:dyDescent="0.25">
      <c r="A1751" s="2">
        <v>1750</v>
      </c>
      <c r="B1751" s="3" t="s">
        <v>11</v>
      </c>
      <c r="C1751" s="4" t="str">
        <f t="shared" si="144"/>
        <v>Sơn La</v>
      </c>
      <c r="D1751" s="3" t="s">
        <v>169</v>
      </c>
      <c r="E1751" s="4" t="str">
        <f t="shared" si="147"/>
        <v>Huyện Sốp Cộp</v>
      </c>
      <c r="F1751" s="3" t="s">
        <v>2515</v>
      </c>
      <c r="G1751" s="4" t="str">
        <f>HYPERLINK("https://diaocthongthai.com/xa-pung-banh-sop-cop/","Xã Púng Bánh")</f>
        <v>Xã Púng Bánh</v>
      </c>
    </row>
    <row r="1752" spans="1:7" x14ac:dyDescent="0.25">
      <c r="A1752" s="2">
        <v>1751</v>
      </c>
      <c r="B1752" s="3" t="s">
        <v>11</v>
      </c>
      <c r="C1752" s="4" t="str">
        <f t="shared" si="144"/>
        <v>Sơn La</v>
      </c>
      <c r="D1752" s="3" t="s">
        <v>169</v>
      </c>
      <c r="E1752" s="4" t="str">
        <f t="shared" si="147"/>
        <v>Huyện Sốp Cộp</v>
      </c>
      <c r="F1752" s="3" t="s">
        <v>2516</v>
      </c>
      <c r="G1752" s="4" t="str">
        <f>HYPERLINK("https://diaocthongthai.com/xa-sop-cop-sop-cop/","Xã Sốp Cộp")</f>
        <v>Xã Sốp Cộp</v>
      </c>
    </row>
    <row r="1753" spans="1:7" x14ac:dyDescent="0.25">
      <c r="A1753" s="2">
        <v>1752</v>
      </c>
      <c r="B1753" s="3" t="s">
        <v>11</v>
      </c>
      <c r="C1753" s="4" t="str">
        <f t="shared" si="144"/>
        <v>Sơn La</v>
      </c>
      <c r="D1753" s="3" t="s">
        <v>169</v>
      </c>
      <c r="E1753" s="4" t="str">
        <f t="shared" si="147"/>
        <v>Huyện Sốp Cộp</v>
      </c>
      <c r="F1753" s="3" t="s">
        <v>2517</v>
      </c>
      <c r="G1753" s="4" t="str">
        <f>HYPERLINK("https://diaocthongthai.com/xa-dom-cang-sop-cop/","Xã Dồm Cang")</f>
        <v>Xã Dồm Cang</v>
      </c>
    </row>
    <row r="1754" spans="1:7" x14ac:dyDescent="0.25">
      <c r="A1754" s="2">
        <v>1753</v>
      </c>
      <c r="B1754" s="3" t="s">
        <v>11</v>
      </c>
      <c r="C1754" s="4" t="str">
        <f t="shared" si="144"/>
        <v>Sơn La</v>
      </c>
      <c r="D1754" s="3" t="s">
        <v>169</v>
      </c>
      <c r="E1754" s="4" t="str">
        <f t="shared" si="147"/>
        <v>Huyện Sốp Cộp</v>
      </c>
      <c r="F1754" s="3" t="s">
        <v>2518</v>
      </c>
      <c r="G1754" s="4" t="str">
        <f>HYPERLINK("https://diaocthongthai.com/xa-nam-lanh-sop-cop/","Xã Nậm Lạnh")</f>
        <v>Xã Nậm Lạnh</v>
      </c>
    </row>
    <row r="1755" spans="1:7" x14ac:dyDescent="0.25">
      <c r="A1755" s="2">
        <v>1754</v>
      </c>
      <c r="B1755" s="3" t="s">
        <v>11</v>
      </c>
      <c r="C1755" s="4" t="str">
        <f t="shared" si="144"/>
        <v>Sơn La</v>
      </c>
      <c r="D1755" s="3" t="s">
        <v>169</v>
      </c>
      <c r="E1755" s="4" t="str">
        <f t="shared" si="147"/>
        <v>Huyện Sốp Cộp</v>
      </c>
      <c r="F1755" s="3" t="s">
        <v>2519</v>
      </c>
      <c r="G1755" s="4" t="str">
        <f>HYPERLINK("https://diaocthongthai.com/xa-muong-leo-sop-cop/","Xã Mường Lèo")</f>
        <v>Xã Mường Lèo</v>
      </c>
    </row>
    <row r="1756" spans="1:7" x14ac:dyDescent="0.25">
      <c r="A1756" s="2">
        <v>1755</v>
      </c>
      <c r="B1756" s="3" t="s">
        <v>11</v>
      </c>
      <c r="C1756" s="4" t="str">
        <f t="shared" si="144"/>
        <v>Sơn La</v>
      </c>
      <c r="D1756" s="3" t="s">
        <v>169</v>
      </c>
      <c r="E1756" s="4" t="str">
        <f t="shared" si="147"/>
        <v>Huyện Sốp Cộp</v>
      </c>
      <c r="F1756" s="3" t="s">
        <v>2520</v>
      </c>
      <c r="G1756" s="4" t="str">
        <f>HYPERLINK("https://diaocthongthai.com/xa-muong-va-sop-cop/","Xã Mường Và")</f>
        <v>Xã Mường Và</v>
      </c>
    </row>
    <row r="1757" spans="1:7" x14ac:dyDescent="0.25">
      <c r="A1757" s="2">
        <v>1756</v>
      </c>
      <c r="B1757" s="3" t="s">
        <v>11</v>
      </c>
      <c r="C1757" s="4" t="str">
        <f t="shared" si="144"/>
        <v>Sơn La</v>
      </c>
      <c r="D1757" s="3" t="s">
        <v>169</v>
      </c>
      <c r="E1757" s="4" t="str">
        <f t="shared" si="147"/>
        <v>Huyện Sốp Cộp</v>
      </c>
      <c r="F1757" s="3" t="s">
        <v>2521</v>
      </c>
      <c r="G1757" s="4" t="str">
        <f>HYPERLINK("https://diaocthongthai.com/xa-muong-lan-sop-cop/","Xã Mường Lạn")</f>
        <v>Xã Mường Lạn</v>
      </c>
    </row>
    <row r="1758" spans="1:7" x14ac:dyDescent="0.25">
      <c r="A1758" s="2">
        <v>1757</v>
      </c>
      <c r="B1758" s="3" t="s">
        <v>11</v>
      </c>
      <c r="C1758" s="4" t="str">
        <f t="shared" si="144"/>
        <v>Sơn La</v>
      </c>
      <c r="D1758" s="3" t="s">
        <v>170</v>
      </c>
      <c r="E1758" s="4" t="str">
        <f t="shared" ref="E1758:E1771" si="148">HYPERLINK("https://diaocthongthai.com/ban-do-huyen-van-ho-son-la/","Huyện Vân Hồ")</f>
        <v>Huyện Vân Hồ</v>
      </c>
      <c r="F1758" s="3" t="s">
        <v>2522</v>
      </c>
      <c r="G1758" s="4" t="str">
        <f>HYPERLINK("https://diaocthongthai.com/xa-suoi-bang-van-ho/","Xã Suối Bàng")</f>
        <v>Xã Suối Bàng</v>
      </c>
    </row>
    <row r="1759" spans="1:7" x14ac:dyDescent="0.25">
      <c r="A1759" s="2">
        <v>1758</v>
      </c>
      <c r="B1759" s="3" t="s">
        <v>11</v>
      </c>
      <c r="C1759" s="4" t="str">
        <f t="shared" si="144"/>
        <v>Sơn La</v>
      </c>
      <c r="D1759" s="3" t="s">
        <v>170</v>
      </c>
      <c r="E1759" s="4" t="str">
        <f t="shared" si="148"/>
        <v>Huyện Vân Hồ</v>
      </c>
      <c r="F1759" s="3" t="s">
        <v>2523</v>
      </c>
      <c r="G1759" s="4" t="str">
        <f>HYPERLINK("https://diaocthongthai.com/xa-song-khua-van-ho/","Xã Song Khủa")</f>
        <v>Xã Song Khủa</v>
      </c>
    </row>
    <row r="1760" spans="1:7" x14ac:dyDescent="0.25">
      <c r="A1760" s="2">
        <v>1759</v>
      </c>
      <c r="B1760" s="3" t="s">
        <v>11</v>
      </c>
      <c r="C1760" s="4" t="str">
        <f t="shared" ref="C1760:C1771" si="149">HYPERLINK("https://diaocthongthai.com/ban-do-son-la/","Sơn La")</f>
        <v>Sơn La</v>
      </c>
      <c r="D1760" s="3" t="s">
        <v>170</v>
      </c>
      <c r="E1760" s="4" t="str">
        <f t="shared" si="148"/>
        <v>Huyện Vân Hồ</v>
      </c>
      <c r="F1760" s="3" t="s">
        <v>2524</v>
      </c>
      <c r="G1760" s="4" t="str">
        <f>HYPERLINK("https://diaocthongthai.com/xa-lien-hoa-van-ho/","Xã Liên Hoà")</f>
        <v>Xã Liên Hoà</v>
      </c>
    </row>
    <row r="1761" spans="1:7" x14ac:dyDescent="0.25">
      <c r="A1761" s="2">
        <v>1760</v>
      </c>
      <c r="B1761" s="3" t="s">
        <v>11</v>
      </c>
      <c r="C1761" s="4" t="str">
        <f t="shared" si="149"/>
        <v>Sơn La</v>
      </c>
      <c r="D1761" s="3" t="s">
        <v>170</v>
      </c>
      <c r="E1761" s="4" t="str">
        <f t="shared" si="148"/>
        <v>Huyện Vân Hồ</v>
      </c>
      <c r="F1761" s="3" t="s">
        <v>2525</v>
      </c>
      <c r="G1761" s="4" t="str">
        <f>HYPERLINK("https://diaocthongthai.com/xa-to-mua-van-ho/","Xã Tô Múa")</f>
        <v>Xã Tô Múa</v>
      </c>
    </row>
    <row r="1762" spans="1:7" x14ac:dyDescent="0.25">
      <c r="A1762" s="2">
        <v>1761</v>
      </c>
      <c r="B1762" s="3" t="s">
        <v>11</v>
      </c>
      <c r="C1762" s="4" t="str">
        <f t="shared" si="149"/>
        <v>Sơn La</v>
      </c>
      <c r="D1762" s="3" t="s">
        <v>170</v>
      </c>
      <c r="E1762" s="4" t="str">
        <f t="shared" si="148"/>
        <v>Huyện Vân Hồ</v>
      </c>
      <c r="F1762" s="3" t="s">
        <v>2526</v>
      </c>
      <c r="G1762" s="4" t="str">
        <f>HYPERLINK("https://diaocthongthai.com/xa-muong-te-van-ho/","Xã Mường Tè")</f>
        <v>Xã Mường Tè</v>
      </c>
    </row>
    <row r="1763" spans="1:7" x14ac:dyDescent="0.25">
      <c r="A1763" s="2">
        <v>1762</v>
      </c>
      <c r="B1763" s="3" t="s">
        <v>11</v>
      </c>
      <c r="C1763" s="4" t="str">
        <f t="shared" si="149"/>
        <v>Sơn La</v>
      </c>
      <c r="D1763" s="3" t="s">
        <v>170</v>
      </c>
      <c r="E1763" s="4" t="str">
        <f t="shared" si="148"/>
        <v>Huyện Vân Hồ</v>
      </c>
      <c r="F1763" s="3" t="s">
        <v>2527</v>
      </c>
      <c r="G1763" s="4" t="str">
        <f>HYPERLINK("https://diaocthongthai.com/xa-chieng-khoa-van-ho/","Xã Chiềng Khoa")</f>
        <v>Xã Chiềng Khoa</v>
      </c>
    </row>
    <row r="1764" spans="1:7" x14ac:dyDescent="0.25">
      <c r="A1764" s="2">
        <v>1763</v>
      </c>
      <c r="B1764" s="3" t="s">
        <v>11</v>
      </c>
      <c r="C1764" s="4" t="str">
        <f t="shared" si="149"/>
        <v>Sơn La</v>
      </c>
      <c r="D1764" s="3" t="s">
        <v>170</v>
      </c>
      <c r="E1764" s="4" t="str">
        <f t="shared" si="148"/>
        <v>Huyện Vân Hồ</v>
      </c>
      <c r="F1764" s="3" t="s">
        <v>2528</v>
      </c>
      <c r="G1764" s="4" t="str">
        <f>HYPERLINK("https://diaocthongthai.com/xa-muong-men-van-ho/","Xã Mường Men")</f>
        <v>Xã Mường Men</v>
      </c>
    </row>
    <row r="1765" spans="1:7" x14ac:dyDescent="0.25">
      <c r="A1765" s="2">
        <v>1764</v>
      </c>
      <c r="B1765" s="3" t="s">
        <v>11</v>
      </c>
      <c r="C1765" s="4" t="str">
        <f t="shared" si="149"/>
        <v>Sơn La</v>
      </c>
      <c r="D1765" s="3" t="s">
        <v>170</v>
      </c>
      <c r="E1765" s="4" t="str">
        <f t="shared" si="148"/>
        <v>Huyện Vân Hồ</v>
      </c>
      <c r="F1765" s="3" t="s">
        <v>2529</v>
      </c>
      <c r="G1765" s="4" t="str">
        <f>HYPERLINK("https://diaocthongthai.com/xa-quang-minh-van-ho/","Xã Quang Minh")</f>
        <v>Xã Quang Minh</v>
      </c>
    </row>
    <row r="1766" spans="1:7" x14ac:dyDescent="0.25">
      <c r="A1766" s="2">
        <v>1765</v>
      </c>
      <c r="B1766" s="3" t="s">
        <v>11</v>
      </c>
      <c r="C1766" s="4" t="str">
        <f t="shared" si="149"/>
        <v>Sơn La</v>
      </c>
      <c r="D1766" s="3" t="s">
        <v>170</v>
      </c>
      <c r="E1766" s="4" t="str">
        <f t="shared" si="148"/>
        <v>Huyện Vân Hồ</v>
      </c>
      <c r="F1766" s="3" t="s">
        <v>2530</v>
      </c>
      <c r="G1766" s="4" t="str">
        <f>HYPERLINK("https://diaocthongthai.com/xa-van-ho-van-ho/","Xã Vân Hồ")</f>
        <v>Xã Vân Hồ</v>
      </c>
    </row>
    <row r="1767" spans="1:7" x14ac:dyDescent="0.25">
      <c r="A1767" s="2">
        <v>1766</v>
      </c>
      <c r="B1767" s="3" t="s">
        <v>11</v>
      </c>
      <c r="C1767" s="4" t="str">
        <f t="shared" si="149"/>
        <v>Sơn La</v>
      </c>
      <c r="D1767" s="3" t="s">
        <v>170</v>
      </c>
      <c r="E1767" s="4" t="str">
        <f t="shared" si="148"/>
        <v>Huyện Vân Hồ</v>
      </c>
      <c r="F1767" s="3" t="s">
        <v>2531</v>
      </c>
      <c r="G1767" s="4" t="str">
        <f>HYPERLINK("https://diaocthongthai.com/xa-long-luong-van-ho/","Xã Lóng Luông")</f>
        <v>Xã Lóng Luông</v>
      </c>
    </row>
    <row r="1768" spans="1:7" x14ac:dyDescent="0.25">
      <c r="A1768" s="2">
        <v>1767</v>
      </c>
      <c r="B1768" s="3" t="s">
        <v>11</v>
      </c>
      <c r="C1768" s="4" t="str">
        <f t="shared" si="149"/>
        <v>Sơn La</v>
      </c>
      <c r="D1768" s="3" t="s">
        <v>170</v>
      </c>
      <c r="E1768" s="4" t="str">
        <f t="shared" si="148"/>
        <v>Huyện Vân Hồ</v>
      </c>
      <c r="F1768" s="3" t="s">
        <v>2532</v>
      </c>
      <c r="G1768" s="4" t="str">
        <f>HYPERLINK("https://diaocthongthai.com/xa-chieng-yen-van-ho/","Xã Chiềng Yên")</f>
        <v>Xã Chiềng Yên</v>
      </c>
    </row>
    <row r="1769" spans="1:7" x14ac:dyDescent="0.25">
      <c r="A1769" s="2">
        <v>1768</v>
      </c>
      <c r="B1769" s="3" t="s">
        <v>11</v>
      </c>
      <c r="C1769" s="4" t="str">
        <f t="shared" si="149"/>
        <v>Sơn La</v>
      </c>
      <c r="D1769" s="3" t="s">
        <v>170</v>
      </c>
      <c r="E1769" s="4" t="str">
        <f t="shared" si="148"/>
        <v>Huyện Vân Hồ</v>
      </c>
      <c r="F1769" s="3" t="s">
        <v>2533</v>
      </c>
      <c r="G1769" s="4" t="str">
        <f>HYPERLINK("https://diaocthongthai.com/xa-chieng-xuan-van-ho/","Xã Chiềng Xuân")</f>
        <v>Xã Chiềng Xuân</v>
      </c>
    </row>
    <row r="1770" spans="1:7" x14ac:dyDescent="0.25">
      <c r="A1770" s="2">
        <v>1769</v>
      </c>
      <c r="B1770" s="3" t="s">
        <v>11</v>
      </c>
      <c r="C1770" s="4" t="str">
        <f t="shared" si="149"/>
        <v>Sơn La</v>
      </c>
      <c r="D1770" s="3" t="s">
        <v>170</v>
      </c>
      <c r="E1770" s="4" t="str">
        <f t="shared" si="148"/>
        <v>Huyện Vân Hồ</v>
      </c>
      <c r="F1770" s="3" t="s">
        <v>2534</v>
      </c>
      <c r="G1770" s="4" t="str">
        <f>HYPERLINK("https://diaocthongthai.com/xa-xuan-nha-van-ho/","Xã Xuân Nha")</f>
        <v>Xã Xuân Nha</v>
      </c>
    </row>
    <row r="1771" spans="1:7" x14ac:dyDescent="0.25">
      <c r="A1771" s="2">
        <v>1770</v>
      </c>
      <c r="B1771" s="3" t="s">
        <v>11</v>
      </c>
      <c r="C1771" s="4" t="str">
        <f t="shared" si="149"/>
        <v>Sơn La</v>
      </c>
      <c r="D1771" s="3" t="s">
        <v>170</v>
      </c>
      <c r="E1771" s="4" t="str">
        <f t="shared" si="148"/>
        <v>Huyện Vân Hồ</v>
      </c>
      <c r="F1771" s="3" t="s">
        <v>2535</v>
      </c>
      <c r="G1771" s="4" t="str">
        <f>HYPERLINK("https://diaocthongthai.com/xa-tan-xuan-van-ho/","Xã Tân Xuân")</f>
        <v>Xã Tân Xuân</v>
      </c>
    </row>
    <row r="1772" spans="1:7" x14ac:dyDescent="0.25">
      <c r="A1772" s="2">
        <v>1771</v>
      </c>
      <c r="B1772" s="3" t="s">
        <v>12</v>
      </c>
      <c r="C1772" s="4" t="str">
        <f t="shared" ref="C1772:C1803" si="150">HYPERLINK("https://diaocthongthai.com/ban-do-yen-bai/","Yên Bái")</f>
        <v>Yên Bái</v>
      </c>
      <c r="D1772" s="3" t="s">
        <v>171</v>
      </c>
      <c r="E1772" s="4" t="str">
        <f t="shared" ref="E1772:E1786" si="151">HYPERLINK("https://diaocthongthai.com/ban-do-tp-yen-bai-yen-bai/","Thành phố Yên Bái")</f>
        <v>Thành phố Yên Bái</v>
      </c>
      <c r="F1772" s="3" t="s">
        <v>2536</v>
      </c>
      <c r="G1772" s="4" t="str">
        <f>HYPERLINK("https://diaocthongthai.com/phuong-yen-thinh-tp-yen-bai/","Phường Yên Thịnh")</f>
        <v>Phường Yên Thịnh</v>
      </c>
    </row>
    <row r="1773" spans="1:7" x14ac:dyDescent="0.25">
      <c r="A1773" s="2">
        <v>1772</v>
      </c>
      <c r="B1773" s="3" t="s">
        <v>12</v>
      </c>
      <c r="C1773" s="4" t="str">
        <f t="shared" si="150"/>
        <v>Yên Bái</v>
      </c>
      <c r="D1773" s="3" t="s">
        <v>171</v>
      </c>
      <c r="E1773" s="4" t="str">
        <f t="shared" si="151"/>
        <v>Thành phố Yên Bái</v>
      </c>
      <c r="F1773" s="3" t="s">
        <v>2537</v>
      </c>
      <c r="G1773" s="4" t="str">
        <f>HYPERLINK("https://diaocthongthai.com/phuong-yen-ninh-tp-yen-bai/","Phường Yên Ninh")</f>
        <v>Phường Yên Ninh</v>
      </c>
    </row>
    <row r="1774" spans="1:7" x14ac:dyDescent="0.25">
      <c r="A1774" s="2">
        <v>1773</v>
      </c>
      <c r="B1774" s="3" t="s">
        <v>12</v>
      </c>
      <c r="C1774" s="4" t="str">
        <f t="shared" si="150"/>
        <v>Yên Bái</v>
      </c>
      <c r="D1774" s="3" t="s">
        <v>171</v>
      </c>
      <c r="E1774" s="4" t="str">
        <f t="shared" si="151"/>
        <v>Thành phố Yên Bái</v>
      </c>
      <c r="F1774" s="3" t="s">
        <v>2538</v>
      </c>
      <c r="G1774" s="4" t="str">
        <f>HYPERLINK("https://diaocthongthai.com/phuong-minh-tan-tp-yen-bai/","Phường Minh Tân")</f>
        <v>Phường Minh Tân</v>
      </c>
    </row>
    <row r="1775" spans="1:7" x14ac:dyDescent="0.25">
      <c r="A1775" s="2">
        <v>1774</v>
      </c>
      <c r="B1775" s="3" t="s">
        <v>12</v>
      </c>
      <c r="C1775" s="4" t="str">
        <f t="shared" si="150"/>
        <v>Yên Bái</v>
      </c>
      <c r="D1775" s="3" t="s">
        <v>171</v>
      </c>
      <c r="E1775" s="4" t="str">
        <f t="shared" si="151"/>
        <v>Thành phố Yên Bái</v>
      </c>
      <c r="F1775" s="3" t="s">
        <v>2539</v>
      </c>
      <c r="G1775" s="4" t="str">
        <f>HYPERLINK("https://diaocthongthai.com/phuong-nguyen-thai-hoc-tp-yen-bai/","Phường Nguyễn Thái Học")</f>
        <v>Phường Nguyễn Thái Học</v>
      </c>
    </row>
    <row r="1776" spans="1:7" x14ac:dyDescent="0.25">
      <c r="A1776" s="2">
        <v>1775</v>
      </c>
      <c r="B1776" s="3" t="s">
        <v>12</v>
      </c>
      <c r="C1776" s="4" t="str">
        <f t="shared" si="150"/>
        <v>Yên Bái</v>
      </c>
      <c r="D1776" s="3" t="s">
        <v>171</v>
      </c>
      <c r="E1776" s="4" t="str">
        <f t="shared" si="151"/>
        <v>Thành phố Yên Bái</v>
      </c>
      <c r="F1776" s="3" t="s">
        <v>2540</v>
      </c>
      <c r="G1776" s="4" t="str">
        <f>HYPERLINK("https://diaocthongthai.com/phuong-dong-tam-tp-yen-bai/","Phường Đồng Tâm")</f>
        <v>Phường Đồng Tâm</v>
      </c>
    </row>
    <row r="1777" spans="1:7" x14ac:dyDescent="0.25">
      <c r="A1777" s="2">
        <v>1776</v>
      </c>
      <c r="B1777" s="3" t="s">
        <v>12</v>
      </c>
      <c r="C1777" s="4" t="str">
        <f t="shared" si="150"/>
        <v>Yên Bái</v>
      </c>
      <c r="D1777" s="3" t="s">
        <v>171</v>
      </c>
      <c r="E1777" s="4" t="str">
        <f t="shared" si="151"/>
        <v>Thành phố Yên Bái</v>
      </c>
      <c r="F1777" s="3" t="s">
        <v>2541</v>
      </c>
      <c r="G1777" s="4" t="str">
        <f>HYPERLINK("https://diaocthongthai.com/phuong-nguyen-phuc-tp-yen-bai/","Phường Nguyễn Phúc")</f>
        <v>Phường Nguyễn Phúc</v>
      </c>
    </row>
    <row r="1778" spans="1:7" x14ac:dyDescent="0.25">
      <c r="A1778" s="2">
        <v>1777</v>
      </c>
      <c r="B1778" s="3" t="s">
        <v>12</v>
      </c>
      <c r="C1778" s="4" t="str">
        <f t="shared" si="150"/>
        <v>Yên Bái</v>
      </c>
      <c r="D1778" s="3" t="s">
        <v>171</v>
      </c>
      <c r="E1778" s="4" t="str">
        <f t="shared" si="151"/>
        <v>Thành phố Yên Bái</v>
      </c>
      <c r="F1778" s="3" t="s">
        <v>2542</v>
      </c>
      <c r="G1778" s="4" t="str">
        <f>HYPERLINK("https://diaocthongthai.com/phuong-hong-ha-tp-yen-bai/","Phường Hồng Hà")</f>
        <v>Phường Hồng Hà</v>
      </c>
    </row>
    <row r="1779" spans="1:7" x14ac:dyDescent="0.25">
      <c r="A1779" s="2">
        <v>1778</v>
      </c>
      <c r="B1779" s="3" t="s">
        <v>12</v>
      </c>
      <c r="C1779" s="4" t="str">
        <f t="shared" si="150"/>
        <v>Yên Bái</v>
      </c>
      <c r="D1779" s="3" t="s">
        <v>171</v>
      </c>
      <c r="E1779" s="4" t="str">
        <f t="shared" si="151"/>
        <v>Thành phố Yên Bái</v>
      </c>
      <c r="F1779" s="3" t="s">
        <v>2543</v>
      </c>
      <c r="G1779" s="4" t="str">
        <f>HYPERLINK("https://diaocthongthai.com/xa-minh-bao-tp-yen-bai/","Xã Minh Bảo")</f>
        <v>Xã Minh Bảo</v>
      </c>
    </row>
    <row r="1780" spans="1:7" x14ac:dyDescent="0.25">
      <c r="A1780" s="2">
        <v>1779</v>
      </c>
      <c r="B1780" s="3" t="s">
        <v>12</v>
      </c>
      <c r="C1780" s="4" t="str">
        <f t="shared" si="150"/>
        <v>Yên Bái</v>
      </c>
      <c r="D1780" s="3" t="s">
        <v>171</v>
      </c>
      <c r="E1780" s="4" t="str">
        <f t="shared" si="151"/>
        <v>Thành phố Yên Bái</v>
      </c>
      <c r="F1780" s="3" t="s">
        <v>2544</v>
      </c>
      <c r="G1780" s="4" t="str">
        <f>HYPERLINK("https://diaocthongthai.com/phuong-nam-cuong-tp-yen-bai/","Phường Nam Cường")</f>
        <v>Phường Nam Cường</v>
      </c>
    </row>
    <row r="1781" spans="1:7" x14ac:dyDescent="0.25">
      <c r="A1781" s="2">
        <v>1780</v>
      </c>
      <c r="B1781" s="3" t="s">
        <v>12</v>
      </c>
      <c r="C1781" s="4" t="str">
        <f t="shared" si="150"/>
        <v>Yên Bái</v>
      </c>
      <c r="D1781" s="3" t="s">
        <v>171</v>
      </c>
      <c r="E1781" s="4" t="str">
        <f t="shared" si="151"/>
        <v>Thành phố Yên Bái</v>
      </c>
      <c r="F1781" s="3" t="s">
        <v>2545</v>
      </c>
      <c r="G1781" s="4" t="str">
        <f>HYPERLINK("https://diaocthongthai.com/xa-tuy-loc-tp-yen-bai/","Xã Tuy Lộc")</f>
        <v>Xã Tuy Lộc</v>
      </c>
    </row>
    <row r="1782" spans="1:7" x14ac:dyDescent="0.25">
      <c r="A1782" s="2">
        <v>1781</v>
      </c>
      <c r="B1782" s="3" t="s">
        <v>12</v>
      </c>
      <c r="C1782" s="4" t="str">
        <f t="shared" si="150"/>
        <v>Yên Bái</v>
      </c>
      <c r="D1782" s="3" t="s">
        <v>171</v>
      </c>
      <c r="E1782" s="4" t="str">
        <f t="shared" si="151"/>
        <v>Thành phố Yên Bái</v>
      </c>
      <c r="F1782" s="3" t="s">
        <v>2546</v>
      </c>
      <c r="G1782" s="4" t="str">
        <f>HYPERLINK("https://diaocthongthai.com/xa-tan-thinh-tp-yen-bai/","Xã Tân Thịnh")</f>
        <v>Xã Tân Thịnh</v>
      </c>
    </row>
    <row r="1783" spans="1:7" x14ac:dyDescent="0.25">
      <c r="A1783" s="2">
        <v>1782</v>
      </c>
      <c r="B1783" s="3" t="s">
        <v>12</v>
      </c>
      <c r="C1783" s="4" t="str">
        <f t="shared" si="150"/>
        <v>Yên Bái</v>
      </c>
      <c r="D1783" s="3" t="s">
        <v>171</v>
      </c>
      <c r="E1783" s="4" t="str">
        <f t="shared" si="151"/>
        <v>Thành phố Yên Bái</v>
      </c>
      <c r="F1783" s="3" t="s">
        <v>2547</v>
      </c>
      <c r="G1783" s="4" t="str">
        <f>HYPERLINK("https://diaocthongthai.com/xa-au-lau-tp-yen-bai/","Xã Âu Lâu")</f>
        <v>Xã Âu Lâu</v>
      </c>
    </row>
    <row r="1784" spans="1:7" x14ac:dyDescent="0.25">
      <c r="A1784" s="2">
        <v>1783</v>
      </c>
      <c r="B1784" s="3" t="s">
        <v>12</v>
      </c>
      <c r="C1784" s="4" t="str">
        <f t="shared" si="150"/>
        <v>Yên Bái</v>
      </c>
      <c r="D1784" s="3" t="s">
        <v>171</v>
      </c>
      <c r="E1784" s="4" t="str">
        <f t="shared" si="151"/>
        <v>Thành phố Yên Bái</v>
      </c>
      <c r="F1784" s="3" t="s">
        <v>2548</v>
      </c>
      <c r="G1784" s="4" t="str">
        <f>HYPERLINK("https://diaocthongthai.com/xa-gioi-phien-tp-yen-bai/","Xã Giới Phiên")</f>
        <v>Xã Giới Phiên</v>
      </c>
    </row>
    <row r="1785" spans="1:7" x14ac:dyDescent="0.25">
      <c r="A1785" s="2">
        <v>1784</v>
      </c>
      <c r="B1785" s="3" t="s">
        <v>12</v>
      </c>
      <c r="C1785" s="4" t="str">
        <f t="shared" si="150"/>
        <v>Yên Bái</v>
      </c>
      <c r="D1785" s="3" t="s">
        <v>171</v>
      </c>
      <c r="E1785" s="4" t="str">
        <f t="shared" si="151"/>
        <v>Thành phố Yên Bái</v>
      </c>
      <c r="F1785" s="3" t="s">
        <v>2549</v>
      </c>
      <c r="G1785" s="4" t="str">
        <f>HYPERLINK("https://diaocthongthai.com/phuong-hop-minh-tp-yen-bai/","Phường Hợp Minh")</f>
        <v>Phường Hợp Minh</v>
      </c>
    </row>
    <row r="1786" spans="1:7" x14ac:dyDescent="0.25">
      <c r="A1786" s="2">
        <v>1785</v>
      </c>
      <c r="B1786" s="3" t="s">
        <v>12</v>
      </c>
      <c r="C1786" s="4" t="str">
        <f t="shared" si="150"/>
        <v>Yên Bái</v>
      </c>
      <c r="D1786" s="3" t="s">
        <v>171</v>
      </c>
      <c r="E1786" s="4" t="str">
        <f t="shared" si="151"/>
        <v>Thành phố Yên Bái</v>
      </c>
      <c r="F1786" s="3" t="s">
        <v>2550</v>
      </c>
      <c r="G1786" s="4" t="str">
        <f>HYPERLINK("https://diaocthongthai.com/xa-van-phu-tp-yen-bai/","Xã Văn Phú")</f>
        <v>Xã Văn Phú</v>
      </c>
    </row>
    <row r="1787" spans="1:7" x14ac:dyDescent="0.25">
      <c r="A1787" s="2">
        <v>1786</v>
      </c>
      <c r="B1787" s="3" t="s">
        <v>12</v>
      </c>
      <c r="C1787" s="4" t="str">
        <f t="shared" si="150"/>
        <v>Yên Bái</v>
      </c>
      <c r="D1787" s="3" t="s">
        <v>172</v>
      </c>
      <c r="E1787" s="4" t="str">
        <f t="shared" ref="E1787:E1800" si="152">HYPERLINK("https://diaocthongthai.com/ban-do-thi-xa-nghia-lo-yen-bai/","Thị xã Nghĩa Lộ")</f>
        <v>Thị xã Nghĩa Lộ</v>
      </c>
      <c r="F1787" s="3" t="s">
        <v>2551</v>
      </c>
      <c r="G1787" s="4" t="str">
        <f>HYPERLINK("https://diaocthongthai.com/phuong-pu-trang-nghia-lo/","Phường Pú Trạng")</f>
        <v>Phường Pú Trạng</v>
      </c>
    </row>
    <row r="1788" spans="1:7" x14ac:dyDescent="0.25">
      <c r="A1788" s="2">
        <v>1787</v>
      </c>
      <c r="B1788" s="3" t="s">
        <v>12</v>
      </c>
      <c r="C1788" s="4" t="str">
        <f t="shared" si="150"/>
        <v>Yên Bái</v>
      </c>
      <c r="D1788" s="3" t="s">
        <v>172</v>
      </c>
      <c r="E1788" s="4" t="str">
        <f t="shared" si="152"/>
        <v>Thị xã Nghĩa Lộ</v>
      </c>
      <c r="F1788" s="3" t="s">
        <v>2552</v>
      </c>
      <c r="G1788" s="4" t="str">
        <f>HYPERLINK("https://diaocthongthai.com/phuong-trung-tam-nghia-lo/","Phường Trung Tâm")</f>
        <v>Phường Trung Tâm</v>
      </c>
    </row>
    <row r="1789" spans="1:7" x14ac:dyDescent="0.25">
      <c r="A1789" s="2">
        <v>1788</v>
      </c>
      <c r="B1789" s="3" t="s">
        <v>12</v>
      </c>
      <c r="C1789" s="4" t="str">
        <f t="shared" si="150"/>
        <v>Yên Bái</v>
      </c>
      <c r="D1789" s="3" t="s">
        <v>172</v>
      </c>
      <c r="E1789" s="4" t="str">
        <f t="shared" si="152"/>
        <v>Thị xã Nghĩa Lộ</v>
      </c>
      <c r="F1789" s="3" t="s">
        <v>2553</v>
      </c>
      <c r="G1789" s="4" t="str">
        <f>HYPERLINK("https://diaocthongthai.com/phuong-tan-an-nghia-lo/","Phường Tân An")</f>
        <v>Phường Tân An</v>
      </c>
    </row>
    <row r="1790" spans="1:7" x14ac:dyDescent="0.25">
      <c r="A1790" s="2">
        <v>1789</v>
      </c>
      <c r="B1790" s="3" t="s">
        <v>12</v>
      </c>
      <c r="C1790" s="4" t="str">
        <f t="shared" si="150"/>
        <v>Yên Bái</v>
      </c>
      <c r="D1790" s="3" t="s">
        <v>172</v>
      </c>
      <c r="E1790" s="4" t="str">
        <f t="shared" si="152"/>
        <v>Thị xã Nghĩa Lộ</v>
      </c>
      <c r="F1790" s="3" t="s">
        <v>2554</v>
      </c>
      <c r="G1790" s="4" t="str">
        <f>HYPERLINK("https://diaocthongthai.com/phuong-cau-thia-nghia-lo/","Phường Cầu Thia")</f>
        <v>Phường Cầu Thia</v>
      </c>
    </row>
    <row r="1791" spans="1:7" x14ac:dyDescent="0.25">
      <c r="A1791" s="2">
        <v>1790</v>
      </c>
      <c r="B1791" s="3" t="s">
        <v>12</v>
      </c>
      <c r="C1791" s="4" t="str">
        <f t="shared" si="150"/>
        <v>Yên Bái</v>
      </c>
      <c r="D1791" s="3" t="s">
        <v>172</v>
      </c>
      <c r="E1791" s="4" t="str">
        <f t="shared" si="152"/>
        <v>Thị xã Nghĩa Lộ</v>
      </c>
      <c r="F1791" s="3" t="s">
        <v>2555</v>
      </c>
      <c r="G1791" s="4" t="str">
        <f>HYPERLINK("https://diaocthongthai.com/xa-nghia-loi-nghia-lo/","Xã Nghĩa Lợi")</f>
        <v>Xã Nghĩa Lợi</v>
      </c>
    </row>
    <row r="1792" spans="1:7" x14ac:dyDescent="0.25">
      <c r="A1792" s="2">
        <v>1791</v>
      </c>
      <c r="B1792" s="3" t="s">
        <v>12</v>
      </c>
      <c r="C1792" s="4" t="str">
        <f t="shared" si="150"/>
        <v>Yên Bái</v>
      </c>
      <c r="D1792" s="3" t="s">
        <v>172</v>
      </c>
      <c r="E1792" s="4" t="str">
        <f t="shared" si="152"/>
        <v>Thị xã Nghĩa Lộ</v>
      </c>
      <c r="F1792" s="3" t="s">
        <v>2556</v>
      </c>
      <c r="G1792" s="4" t="str">
        <f>HYPERLINK("https://diaocthongthai.com/xa-nghia-phuc-nghia-lo/","Xã Nghĩa Phúc")</f>
        <v>Xã Nghĩa Phúc</v>
      </c>
    </row>
    <row r="1793" spans="1:7" x14ac:dyDescent="0.25">
      <c r="A1793" s="2">
        <v>1792</v>
      </c>
      <c r="B1793" s="3" t="s">
        <v>12</v>
      </c>
      <c r="C1793" s="4" t="str">
        <f t="shared" si="150"/>
        <v>Yên Bái</v>
      </c>
      <c r="D1793" s="3" t="s">
        <v>172</v>
      </c>
      <c r="E1793" s="4" t="str">
        <f t="shared" si="152"/>
        <v>Thị xã Nghĩa Lộ</v>
      </c>
      <c r="F1793" s="3" t="s">
        <v>2557</v>
      </c>
      <c r="G1793" s="4" t="str">
        <f>HYPERLINK("https://diaocthongthai.com/xa-nghia-an-nghia-lo/","Xã Nghĩa An")</f>
        <v>Xã Nghĩa An</v>
      </c>
    </row>
    <row r="1794" spans="1:7" x14ac:dyDescent="0.25">
      <c r="A1794" s="2">
        <v>1793</v>
      </c>
      <c r="B1794" s="3" t="s">
        <v>12</v>
      </c>
      <c r="C1794" s="4" t="str">
        <f t="shared" si="150"/>
        <v>Yên Bái</v>
      </c>
      <c r="D1794" s="3" t="s">
        <v>172</v>
      </c>
      <c r="E1794" s="4" t="str">
        <f t="shared" si="152"/>
        <v>Thị xã Nghĩa Lộ</v>
      </c>
      <c r="F1794" s="3" t="s">
        <v>2558</v>
      </c>
      <c r="G1794" s="4" t="str">
        <f>HYPERLINK("https://diaocthongthai.com/xa-nghia-lo-nghia-lo/","Xã Nghĩa Lộ")</f>
        <v>Xã Nghĩa Lộ</v>
      </c>
    </row>
    <row r="1795" spans="1:7" x14ac:dyDescent="0.25">
      <c r="A1795" s="2">
        <v>1794</v>
      </c>
      <c r="B1795" s="3" t="s">
        <v>12</v>
      </c>
      <c r="C1795" s="4" t="str">
        <f t="shared" si="150"/>
        <v>Yên Bái</v>
      </c>
      <c r="D1795" s="3" t="s">
        <v>172</v>
      </c>
      <c r="E1795" s="4" t="str">
        <f t="shared" si="152"/>
        <v>Thị xã Nghĩa Lộ</v>
      </c>
      <c r="F1795" s="3" t="s">
        <v>2559</v>
      </c>
      <c r="G1795" s="4" t="str">
        <f>HYPERLINK("https://diaocthongthai.com/xa-son-a-nghia-lo/","Xã Sơn A")</f>
        <v>Xã Sơn A</v>
      </c>
    </row>
    <row r="1796" spans="1:7" x14ac:dyDescent="0.25">
      <c r="A1796" s="2">
        <v>1795</v>
      </c>
      <c r="B1796" s="3" t="s">
        <v>12</v>
      </c>
      <c r="C1796" s="4" t="str">
        <f t="shared" si="150"/>
        <v>Yên Bái</v>
      </c>
      <c r="D1796" s="3" t="s">
        <v>172</v>
      </c>
      <c r="E1796" s="4" t="str">
        <f t="shared" si="152"/>
        <v>Thị xã Nghĩa Lộ</v>
      </c>
      <c r="F1796" s="3" t="s">
        <v>2560</v>
      </c>
      <c r="G1796" s="4" t="str">
        <f>HYPERLINK("https://diaocthongthai.com/xa-phu-nham-nghia-lo/","Xã Phù Nham")</f>
        <v>Xã Phù Nham</v>
      </c>
    </row>
    <row r="1797" spans="1:7" x14ac:dyDescent="0.25">
      <c r="A1797" s="2">
        <v>1796</v>
      </c>
      <c r="B1797" s="3" t="s">
        <v>12</v>
      </c>
      <c r="C1797" s="4" t="str">
        <f t="shared" si="150"/>
        <v>Yên Bái</v>
      </c>
      <c r="D1797" s="3" t="s">
        <v>172</v>
      </c>
      <c r="E1797" s="4" t="str">
        <f t="shared" si="152"/>
        <v>Thị xã Nghĩa Lộ</v>
      </c>
      <c r="F1797" s="3" t="s">
        <v>2561</v>
      </c>
      <c r="G1797" s="4" t="str">
        <f>HYPERLINK("https://diaocthongthai.com/xa-thanh-luong-nghia-lo/","Xã Thanh Lương")</f>
        <v>Xã Thanh Lương</v>
      </c>
    </row>
    <row r="1798" spans="1:7" x14ac:dyDescent="0.25">
      <c r="A1798" s="2">
        <v>1797</v>
      </c>
      <c r="B1798" s="3" t="s">
        <v>12</v>
      </c>
      <c r="C1798" s="4" t="str">
        <f t="shared" si="150"/>
        <v>Yên Bái</v>
      </c>
      <c r="D1798" s="3" t="s">
        <v>172</v>
      </c>
      <c r="E1798" s="4" t="str">
        <f t="shared" si="152"/>
        <v>Thị xã Nghĩa Lộ</v>
      </c>
      <c r="F1798" s="3" t="s">
        <v>2562</v>
      </c>
      <c r="G1798" s="4" t="str">
        <f>HYPERLINK("https://diaocthongthai.com/xa-hanh-son-nghia-lo/","Xã Hạnh Sơn")</f>
        <v>Xã Hạnh Sơn</v>
      </c>
    </row>
    <row r="1799" spans="1:7" x14ac:dyDescent="0.25">
      <c r="A1799" s="2">
        <v>1798</v>
      </c>
      <c r="B1799" s="3" t="s">
        <v>12</v>
      </c>
      <c r="C1799" s="4" t="str">
        <f t="shared" si="150"/>
        <v>Yên Bái</v>
      </c>
      <c r="D1799" s="3" t="s">
        <v>172</v>
      </c>
      <c r="E1799" s="4" t="str">
        <f t="shared" si="152"/>
        <v>Thị xã Nghĩa Lộ</v>
      </c>
      <c r="F1799" s="3" t="s">
        <v>2563</v>
      </c>
      <c r="G1799" s="4" t="str">
        <f>HYPERLINK("https://diaocthongthai.com/xa-phuc-son-nghia-lo/","Xã Phúc Sơn")</f>
        <v>Xã Phúc Sơn</v>
      </c>
    </row>
    <row r="1800" spans="1:7" x14ac:dyDescent="0.25">
      <c r="A1800" s="2">
        <v>1799</v>
      </c>
      <c r="B1800" s="3" t="s">
        <v>12</v>
      </c>
      <c r="C1800" s="4" t="str">
        <f t="shared" si="150"/>
        <v>Yên Bái</v>
      </c>
      <c r="D1800" s="3" t="s">
        <v>172</v>
      </c>
      <c r="E1800" s="4" t="str">
        <f t="shared" si="152"/>
        <v>Thị xã Nghĩa Lộ</v>
      </c>
      <c r="F1800" s="3" t="s">
        <v>2564</v>
      </c>
      <c r="G1800" s="4" t="str">
        <f>HYPERLINK("https://diaocthongthai.com/xa-thach-luong-nghia-lo/","Xã Thạch Lương")</f>
        <v>Xã Thạch Lương</v>
      </c>
    </row>
    <row r="1801" spans="1:7" x14ac:dyDescent="0.25">
      <c r="A1801" s="2">
        <v>1800</v>
      </c>
      <c r="B1801" s="3" t="s">
        <v>12</v>
      </c>
      <c r="C1801" s="4" t="str">
        <f t="shared" si="150"/>
        <v>Yên Bái</v>
      </c>
      <c r="D1801" s="3" t="s">
        <v>173</v>
      </c>
      <c r="E1801" s="4" t="str">
        <f t="shared" ref="E1801:E1824" si="153">HYPERLINK("https://diaocthongthai.com/ban-do-huyen-luc-yen-yen-bai/","Huyện Lục Yên")</f>
        <v>Huyện Lục Yên</v>
      </c>
      <c r="F1801" s="3" t="s">
        <v>2565</v>
      </c>
      <c r="G1801" s="4" t="str">
        <f>HYPERLINK("https://diaocthongthai.com/thi-tran-yen-the-luc-yen/","Thị trấn Yên Thế")</f>
        <v>Thị trấn Yên Thế</v>
      </c>
    </row>
    <row r="1802" spans="1:7" x14ac:dyDescent="0.25">
      <c r="A1802" s="2">
        <v>1801</v>
      </c>
      <c r="B1802" s="3" t="s">
        <v>12</v>
      </c>
      <c r="C1802" s="4" t="str">
        <f t="shared" si="150"/>
        <v>Yên Bái</v>
      </c>
      <c r="D1802" s="3" t="s">
        <v>173</v>
      </c>
      <c r="E1802" s="4" t="str">
        <f t="shared" si="153"/>
        <v>Huyện Lục Yên</v>
      </c>
      <c r="F1802" s="3" t="s">
        <v>2566</v>
      </c>
      <c r="G1802" s="4" t="str">
        <f>HYPERLINK("https://diaocthongthai.com/xa-tan-phuong-luc-yen/","Xã Tân Phượng")</f>
        <v>Xã Tân Phượng</v>
      </c>
    </row>
    <row r="1803" spans="1:7" x14ac:dyDescent="0.25">
      <c r="A1803" s="2">
        <v>1802</v>
      </c>
      <c r="B1803" s="3" t="s">
        <v>12</v>
      </c>
      <c r="C1803" s="4" t="str">
        <f t="shared" si="150"/>
        <v>Yên Bái</v>
      </c>
      <c r="D1803" s="3" t="s">
        <v>173</v>
      </c>
      <c r="E1803" s="4" t="str">
        <f t="shared" si="153"/>
        <v>Huyện Lục Yên</v>
      </c>
      <c r="F1803" s="3" t="s">
        <v>2567</v>
      </c>
      <c r="G1803" s="4" t="str">
        <f>HYPERLINK("https://diaocthongthai.com/xa-lam-thuong-luc-yen/","Xã Lâm Thượng")</f>
        <v>Xã Lâm Thượng</v>
      </c>
    </row>
    <row r="1804" spans="1:7" x14ac:dyDescent="0.25">
      <c r="A1804" s="2">
        <v>1803</v>
      </c>
      <c r="B1804" s="3" t="s">
        <v>12</v>
      </c>
      <c r="C1804" s="4" t="str">
        <f t="shared" ref="C1804:C1835" si="154">HYPERLINK("https://diaocthongthai.com/ban-do-yen-bai/","Yên Bái")</f>
        <v>Yên Bái</v>
      </c>
      <c r="D1804" s="3" t="s">
        <v>173</v>
      </c>
      <c r="E1804" s="4" t="str">
        <f t="shared" si="153"/>
        <v>Huyện Lục Yên</v>
      </c>
      <c r="F1804" s="3" t="s">
        <v>2568</v>
      </c>
      <c r="G1804" s="4" t="str">
        <f>HYPERLINK("https://diaocthongthai.com/xa-khanh-thien-luc-yen/","Xã Khánh Thiện")</f>
        <v>Xã Khánh Thiện</v>
      </c>
    </row>
    <row r="1805" spans="1:7" x14ac:dyDescent="0.25">
      <c r="A1805" s="2">
        <v>1804</v>
      </c>
      <c r="B1805" s="3" t="s">
        <v>12</v>
      </c>
      <c r="C1805" s="4" t="str">
        <f t="shared" si="154"/>
        <v>Yên Bái</v>
      </c>
      <c r="D1805" s="3" t="s">
        <v>173</v>
      </c>
      <c r="E1805" s="4" t="str">
        <f t="shared" si="153"/>
        <v>Huyện Lục Yên</v>
      </c>
      <c r="F1805" s="3" t="s">
        <v>2569</v>
      </c>
      <c r="G1805" s="4" t="str">
        <f>HYPERLINK("https://diaocthongthai.com/xa-minh-chuan-luc-yen/","Xã Minh Chuẩn")</f>
        <v>Xã Minh Chuẩn</v>
      </c>
    </row>
    <row r="1806" spans="1:7" x14ac:dyDescent="0.25">
      <c r="A1806" s="2">
        <v>1805</v>
      </c>
      <c r="B1806" s="3" t="s">
        <v>12</v>
      </c>
      <c r="C1806" s="4" t="str">
        <f t="shared" si="154"/>
        <v>Yên Bái</v>
      </c>
      <c r="D1806" s="3" t="s">
        <v>173</v>
      </c>
      <c r="E1806" s="4" t="str">
        <f t="shared" si="153"/>
        <v>Huyện Lục Yên</v>
      </c>
      <c r="F1806" s="3" t="s">
        <v>2570</v>
      </c>
      <c r="G1806" s="4" t="str">
        <f>HYPERLINK("https://diaocthongthai.com/xa-mai-son-luc-yen/","Xã Mai Sơn")</f>
        <v>Xã Mai Sơn</v>
      </c>
    </row>
    <row r="1807" spans="1:7" x14ac:dyDescent="0.25">
      <c r="A1807" s="2">
        <v>1806</v>
      </c>
      <c r="B1807" s="3" t="s">
        <v>12</v>
      </c>
      <c r="C1807" s="4" t="str">
        <f t="shared" si="154"/>
        <v>Yên Bái</v>
      </c>
      <c r="D1807" s="3" t="s">
        <v>173</v>
      </c>
      <c r="E1807" s="4" t="str">
        <f t="shared" si="153"/>
        <v>Huyện Lục Yên</v>
      </c>
      <c r="F1807" s="3" t="s">
        <v>2571</v>
      </c>
      <c r="G1807" s="4" t="str">
        <f>HYPERLINK("https://diaocthongthai.com/xa-khai-trung-luc-yen/","Xã Khai Trung")</f>
        <v>Xã Khai Trung</v>
      </c>
    </row>
    <row r="1808" spans="1:7" x14ac:dyDescent="0.25">
      <c r="A1808" s="2">
        <v>1807</v>
      </c>
      <c r="B1808" s="3" t="s">
        <v>12</v>
      </c>
      <c r="C1808" s="4" t="str">
        <f t="shared" si="154"/>
        <v>Yên Bái</v>
      </c>
      <c r="D1808" s="3" t="s">
        <v>173</v>
      </c>
      <c r="E1808" s="4" t="str">
        <f t="shared" si="153"/>
        <v>Huyện Lục Yên</v>
      </c>
      <c r="F1808" s="3" t="s">
        <v>2572</v>
      </c>
      <c r="G1808" s="4" t="str">
        <f>HYPERLINK("https://diaocthongthai.com/xa-muong-lai-luc-yen/","Xã Mường Lai")</f>
        <v>Xã Mường Lai</v>
      </c>
    </row>
    <row r="1809" spans="1:7" x14ac:dyDescent="0.25">
      <c r="A1809" s="2">
        <v>1808</v>
      </c>
      <c r="B1809" s="3" t="s">
        <v>12</v>
      </c>
      <c r="C1809" s="4" t="str">
        <f t="shared" si="154"/>
        <v>Yên Bái</v>
      </c>
      <c r="D1809" s="3" t="s">
        <v>173</v>
      </c>
      <c r="E1809" s="4" t="str">
        <f t="shared" si="153"/>
        <v>Huyện Lục Yên</v>
      </c>
      <c r="F1809" s="3" t="s">
        <v>2573</v>
      </c>
      <c r="G1809" s="4" t="str">
        <f>HYPERLINK("https://diaocthongthai.com/xa-an-lac-luc-yen/","Xã An Lạc")</f>
        <v>Xã An Lạc</v>
      </c>
    </row>
    <row r="1810" spans="1:7" x14ac:dyDescent="0.25">
      <c r="A1810" s="2">
        <v>1809</v>
      </c>
      <c r="B1810" s="3" t="s">
        <v>12</v>
      </c>
      <c r="C1810" s="4" t="str">
        <f t="shared" si="154"/>
        <v>Yên Bái</v>
      </c>
      <c r="D1810" s="3" t="s">
        <v>173</v>
      </c>
      <c r="E1810" s="4" t="str">
        <f t="shared" si="153"/>
        <v>Huyện Lục Yên</v>
      </c>
      <c r="F1810" s="3" t="s">
        <v>2574</v>
      </c>
      <c r="G1810" s="4" t="str">
        <f>HYPERLINK("https://diaocthongthai.com/xa-minh-xuan-luc-yen/","Xã Minh Xuân")</f>
        <v>Xã Minh Xuân</v>
      </c>
    </row>
    <row r="1811" spans="1:7" x14ac:dyDescent="0.25">
      <c r="A1811" s="2">
        <v>1810</v>
      </c>
      <c r="B1811" s="3" t="s">
        <v>12</v>
      </c>
      <c r="C1811" s="4" t="str">
        <f t="shared" si="154"/>
        <v>Yên Bái</v>
      </c>
      <c r="D1811" s="3" t="s">
        <v>173</v>
      </c>
      <c r="E1811" s="4" t="str">
        <f t="shared" si="153"/>
        <v>Huyện Lục Yên</v>
      </c>
      <c r="F1811" s="3" t="s">
        <v>2575</v>
      </c>
      <c r="G1811" s="4" t="str">
        <f>HYPERLINK("https://diaocthongthai.com/xa-to-mau-luc-yen/","Xã Tô Mậu")</f>
        <v>Xã Tô Mậu</v>
      </c>
    </row>
    <row r="1812" spans="1:7" x14ac:dyDescent="0.25">
      <c r="A1812" s="2">
        <v>1811</v>
      </c>
      <c r="B1812" s="3" t="s">
        <v>12</v>
      </c>
      <c r="C1812" s="4" t="str">
        <f t="shared" si="154"/>
        <v>Yên Bái</v>
      </c>
      <c r="D1812" s="3" t="s">
        <v>173</v>
      </c>
      <c r="E1812" s="4" t="str">
        <f t="shared" si="153"/>
        <v>Huyện Lục Yên</v>
      </c>
      <c r="F1812" s="3" t="s">
        <v>2576</v>
      </c>
      <c r="G1812" s="4" t="str">
        <f>HYPERLINK("https://diaocthongthai.com/xa-tan-linh-luc-yen/","Xã Tân Lĩnh")</f>
        <v>Xã Tân Lĩnh</v>
      </c>
    </row>
    <row r="1813" spans="1:7" x14ac:dyDescent="0.25">
      <c r="A1813" s="2">
        <v>1812</v>
      </c>
      <c r="B1813" s="3" t="s">
        <v>12</v>
      </c>
      <c r="C1813" s="4" t="str">
        <f t="shared" si="154"/>
        <v>Yên Bái</v>
      </c>
      <c r="D1813" s="3" t="s">
        <v>173</v>
      </c>
      <c r="E1813" s="4" t="str">
        <f t="shared" si="153"/>
        <v>Huyện Lục Yên</v>
      </c>
      <c r="F1813" s="3" t="s">
        <v>2577</v>
      </c>
      <c r="G1813" s="4" t="str">
        <f>HYPERLINK("https://diaocthongthai.com/xa-yen-thang-luc-yen/","Xã Yên Thắng")</f>
        <v>Xã Yên Thắng</v>
      </c>
    </row>
    <row r="1814" spans="1:7" x14ac:dyDescent="0.25">
      <c r="A1814" s="2">
        <v>1813</v>
      </c>
      <c r="B1814" s="3" t="s">
        <v>12</v>
      </c>
      <c r="C1814" s="4" t="str">
        <f t="shared" si="154"/>
        <v>Yên Bái</v>
      </c>
      <c r="D1814" s="3" t="s">
        <v>173</v>
      </c>
      <c r="E1814" s="4" t="str">
        <f t="shared" si="153"/>
        <v>Huyện Lục Yên</v>
      </c>
      <c r="F1814" s="3" t="s">
        <v>2578</v>
      </c>
      <c r="G1814" s="4" t="str">
        <f>HYPERLINK("https://diaocthongthai.com/xa-khanh-hoa-luc-yen/","Xã Khánh Hoà")</f>
        <v>Xã Khánh Hoà</v>
      </c>
    </row>
    <row r="1815" spans="1:7" x14ac:dyDescent="0.25">
      <c r="A1815" s="2">
        <v>1814</v>
      </c>
      <c r="B1815" s="3" t="s">
        <v>12</v>
      </c>
      <c r="C1815" s="4" t="str">
        <f t="shared" si="154"/>
        <v>Yên Bái</v>
      </c>
      <c r="D1815" s="3" t="s">
        <v>173</v>
      </c>
      <c r="E1815" s="4" t="str">
        <f t="shared" si="153"/>
        <v>Huyện Lục Yên</v>
      </c>
      <c r="F1815" s="3" t="s">
        <v>2579</v>
      </c>
      <c r="G1815" s="4" t="str">
        <f>HYPERLINK("https://diaocthongthai.com/xa-vinh-lac-luc-yen/","Xã Vĩnh Lạc")</f>
        <v>Xã Vĩnh Lạc</v>
      </c>
    </row>
    <row r="1816" spans="1:7" x14ac:dyDescent="0.25">
      <c r="A1816" s="2">
        <v>1815</v>
      </c>
      <c r="B1816" s="3" t="s">
        <v>12</v>
      </c>
      <c r="C1816" s="4" t="str">
        <f t="shared" si="154"/>
        <v>Yên Bái</v>
      </c>
      <c r="D1816" s="3" t="s">
        <v>173</v>
      </c>
      <c r="E1816" s="4" t="str">
        <f t="shared" si="153"/>
        <v>Huyện Lục Yên</v>
      </c>
      <c r="F1816" s="3" t="s">
        <v>2580</v>
      </c>
      <c r="G1816" s="4" t="str">
        <f>HYPERLINK("https://diaocthongthai.com/xa-lieu-do-luc-yen/","Xã Liễu Đô")</f>
        <v>Xã Liễu Đô</v>
      </c>
    </row>
    <row r="1817" spans="1:7" x14ac:dyDescent="0.25">
      <c r="A1817" s="2">
        <v>1816</v>
      </c>
      <c r="B1817" s="3" t="s">
        <v>12</v>
      </c>
      <c r="C1817" s="4" t="str">
        <f t="shared" si="154"/>
        <v>Yên Bái</v>
      </c>
      <c r="D1817" s="3" t="s">
        <v>173</v>
      </c>
      <c r="E1817" s="4" t="str">
        <f t="shared" si="153"/>
        <v>Huyện Lục Yên</v>
      </c>
      <c r="F1817" s="3" t="s">
        <v>2581</v>
      </c>
      <c r="G1817" s="4" t="str">
        <f>HYPERLINK("https://diaocthongthai.com/xa-dong-quan-luc-yen/","Xã Động Quan")</f>
        <v>Xã Động Quan</v>
      </c>
    </row>
    <row r="1818" spans="1:7" x14ac:dyDescent="0.25">
      <c r="A1818" s="2">
        <v>1817</v>
      </c>
      <c r="B1818" s="3" t="s">
        <v>12</v>
      </c>
      <c r="C1818" s="4" t="str">
        <f t="shared" si="154"/>
        <v>Yên Bái</v>
      </c>
      <c r="D1818" s="3" t="s">
        <v>173</v>
      </c>
      <c r="E1818" s="4" t="str">
        <f t="shared" si="153"/>
        <v>Huyện Lục Yên</v>
      </c>
      <c r="F1818" s="3" t="s">
        <v>2582</v>
      </c>
      <c r="G1818" s="4" t="str">
        <f>HYPERLINK("https://diaocthongthai.com/xa-tan-lap-luc-yen/","Xã Tân Lập")</f>
        <v>Xã Tân Lập</v>
      </c>
    </row>
    <row r="1819" spans="1:7" x14ac:dyDescent="0.25">
      <c r="A1819" s="2">
        <v>1818</v>
      </c>
      <c r="B1819" s="3" t="s">
        <v>12</v>
      </c>
      <c r="C1819" s="4" t="str">
        <f t="shared" si="154"/>
        <v>Yên Bái</v>
      </c>
      <c r="D1819" s="3" t="s">
        <v>173</v>
      </c>
      <c r="E1819" s="4" t="str">
        <f t="shared" si="153"/>
        <v>Huyện Lục Yên</v>
      </c>
      <c r="F1819" s="3" t="s">
        <v>2583</v>
      </c>
      <c r="G1819" s="4" t="str">
        <f>HYPERLINK("https://diaocthongthai.com/xa-minh-tien-luc-yen/","Xã Minh Tiến")</f>
        <v>Xã Minh Tiến</v>
      </c>
    </row>
    <row r="1820" spans="1:7" x14ac:dyDescent="0.25">
      <c r="A1820" s="2">
        <v>1819</v>
      </c>
      <c r="B1820" s="3" t="s">
        <v>12</v>
      </c>
      <c r="C1820" s="4" t="str">
        <f t="shared" si="154"/>
        <v>Yên Bái</v>
      </c>
      <c r="D1820" s="3" t="s">
        <v>173</v>
      </c>
      <c r="E1820" s="4" t="str">
        <f t="shared" si="153"/>
        <v>Huyện Lục Yên</v>
      </c>
      <c r="F1820" s="3" t="s">
        <v>2584</v>
      </c>
      <c r="G1820" s="4" t="str">
        <f>HYPERLINK("https://diaocthongthai.com/xa-truc-lau-luc-yen/","Xã Trúc Lâu")</f>
        <v>Xã Trúc Lâu</v>
      </c>
    </row>
    <row r="1821" spans="1:7" x14ac:dyDescent="0.25">
      <c r="A1821" s="2">
        <v>1820</v>
      </c>
      <c r="B1821" s="3" t="s">
        <v>12</v>
      </c>
      <c r="C1821" s="4" t="str">
        <f t="shared" si="154"/>
        <v>Yên Bái</v>
      </c>
      <c r="D1821" s="3" t="s">
        <v>173</v>
      </c>
      <c r="E1821" s="4" t="str">
        <f t="shared" si="153"/>
        <v>Huyện Lục Yên</v>
      </c>
      <c r="F1821" s="3" t="s">
        <v>2585</v>
      </c>
      <c r="G1821" s="4" t="str">
        <f>HYPERLINK("https://diaocthongthai.com/xa-phuc-loi-luc-yen/","Xã Phúc Lợi")</f>
        <v>Xã Phúc Lợi</v>
      </c>
    </row>
    <row r="1822" spans="1:7" x14ac:dyDescent="0.25">
      <c r="A1822" s="2">
        <v>1821</v>
      </c>
      <c r="B1822" s="3" t="s">
        <v>12</v>
      </c>
      <c r="C1822" s="4" t="str">
        <f t="shared" si="154"/>
        <v>Yên Bái</v>
      </c>
      <c r="D1822" s="3" t="s">
        <v>173</v>
      </c>
      <c r="E1822" s="4" t="str">
        <f t="shared" si="153"/>
        <v>Huyện Lục Yên</v>
      </c>
      <c r="F1822" s="3" t="s">
        <v>2586</v>
      </c>
      <c r="G1822" s="4" t="str">
        <f>HYPERLINK("https://diaocthongthai.com/xa-phan-thanh-luc-yen/","Xã Phan Thanh")</f>
        <v>Xã Phan Thanh</v>
      </c>
    </row>
    <row r="1823" spans="1:7" x14ac:dyDescent="0.25">
      <c r="A1823" s="2">
        <v>1822</v>
      </c>
      <c r="B1823" s="3" t="s">
        <v>12</v>
      </c>
      <c r="C1823" s="4" t="str">
        <f t="shared" si="154"/>
        <v>Yên Bái</v>
      </c>
      <c r="D1823" s="3" t="s">
        <v>173</v>
      </c>
      <c r="E1823" s="4" t="str">
        <f t="shared" si="153"/>
        <v>Huyện Lục Yên</v>
      </c>
      <c r="F1823" s="3" t="s">
        <v>2587</v>
      </c>
      <c r="G1823" s="4" t="str">
        <f>HYPERLINK("https://diaocthongthai.com/xa-an-phu-luc-yen/","Xã An Phú")</f>
        <v>Xã An Phú</v>
      </c>
    </row>
    <row r="1824" spans="1:7" x14ac:dyDescent="0.25">
      <c r="A1824" s="2">
        <v>1823</v>
      </c>
      <c r="B1824" s="3" t="s">
        <v>12</v>
      </c>
      <c r="C1824" s="4" t="str">
        <f t="shared" si="154"/>
        <v>Yên Bái</v>
      </c>
      <c r="D1824" s="3" t="s">
        <v>173</v>
      </c>
      <c r="E1824" s="4" t="str">
        <f t="shared" si="153"/>
        <v>Huyện Lục Yên</v>
      </c>
      <c r="F1824" s="3" t="s">
        <v>2588</v>
      </c>
      <c r="G1824" s="4" t="str">
        <f>HYPERLINK("https://diaocthongthai.com/xa-trung-tam-luc-yen/","Xã Trung Tâm")</f>
        <v>Xã Trung Tâm</v>
      </c>
    </row>
    <row r="1825" spans="1:7" x14ac:dyDescent="0.25">
      <c r="A1825" s="2">
        <v>1824</v>
      </c>
      <c r="B1825" s="3" t="s">
        <v>12</v>
      </c>
      <c r="C1825" s="4" t="str">
        <f t="shared" si="154"/>
        <v>Yên Bái</v>
      </c>
      <c r="D1825" s="3" t="s">
        <v>174</v>
      </c>
      <c r="E1825" s="4" t="str">
        <f t="shared" ref="E1825:E1849" si="155">HYPERLINK("https://diaocthongthai.com/ban-do-huyen-van-yen-yen-bai/","Huyện Văn Yên")</f>
        <v>Huyện Văn Yên</v>
      </c>
      <c r="F1825" s="3" t="s">
        <v>2589</v>
      </c>
      <c r="G1825" s="4" t="str">
        <f>HYPERLINK("https://diaocthongthai.com/thi-tran-mau-a-van-yen/","Thị trấn Mậu A")</f>
        <v>Thị trấn Mậu A</v>
      </c>
    </row>
    <row r="1826" spans="1:7" x14ac:dyDescent="0.25">
      <c r="A1826" s="2">
        <v>1825</v>
      </c>
      <c r="B1826" s="3" t="s">
        <v>12</v>
      </c>
      <c r="C1826" s="4" t="str">
        <f t="shared" si="154"/>
        <v>Yên Bái</v>
      </c>
      <c r="D1826" s="3" t="s">
        <v>174</v>
      </c>
      <c r="E1826" s="4" t="str">
        <f t="shared" si="155"/>
        <v>Huyện Văn Yên</v>
      </c>
      <c r="F1826" s="3" t="s">
        <v>2590</v>
      </c>
      <c r="G1826" s="4" t="str">
        <f>HYPERLINK("https://diaocthongthai.com/xa-lang-thip-van-yen/","Xã Lang Thíp")</f>
        <v>Xã Lang Thíp</v>
      </c>
    </row>
    <row r="1827" spans="1:7" x14ac:dyDescent="0.25">
      <c r="A1827" s="2">
        <v>1826</v>
      </c>
      <c r="B1827" s="3" t="s">
        <v>12</v>
      </c>
      <c r="C1827" s="4" t="str">
        <f t="shared" si="154"/>
        <v>Yên Bái</v>
      </c>
      <c r="D1827" s="3" t="s">
        <v>174</v>
      </c>
      <c r="E1827" s="4" t="str">
        <f t="shared" si="155"/>
        <v>Huyện Văn Yên</v>
      </c>
      <c r="F1827" s="3" t="s">
        <v>2591</v>
      </c>
      <c r="G1827" s="4" t="str">
        <f>HYPERLINK("https://diaocthongthai.com/xa-lam-giang-van-yen/","Xã Lâm Giang")</f>
        <v>Xã Lâm Giang</v>
      </c>
    </row>
    <row r="1828" spans="1:7" x14ac:dyDescent="0.25">
      <c r="A1828" s="2">
        <v>1827</v>
      </c>
      <c r="B1828" s="3" t="s">
        <v>12</v>
      </c>
      <c r="C1828" s="4" t="str">
        <f t="shared" si="154"/>
        <v>Yên Bái</v>
      </c>
      <c r="D1828" s="3" t="s">
        <v>174</v>
      </c>
      <c r="E1828" s="4" t="str">
        <f t="shared" si="155"/>
        <v>Huyện Văn Yên</v>
      </c>
      <c r="F1828" s="3" t="s">
        <v>2592</v>
      </c>
      <c r="G1828" s="4" t="str">
        <f>HYPERLINK("https://diaocthongthai.com/xa-chau-que-thuong-van-yen/","Xã Châu Quế Thượng")</f>
        <v>Xã Châu Quế Thượng</v>
      </c>
    </row>
    <row r="1829" spans="1:7" x14ac:dyDescent="0.25">
      <c r="A1829" s="2">
        <v>1828</v>
      </c>
      <c r="B1829" s="3" t="s">
        <v>12</v>
      </c>
      <c r="C1829" s="4" t="str">
        <f t="shared" si="154"/>
        <v>Yên Bái</v>
      </c>
      <c r="D1829" s="3" t="s">
        <v>174</v>
      </c>
      <c r="E1829" s="4" t="str">
        <f t="shared" si="155"/>
        <v>Huyện Văn Yên</v>
      </c>
      <c r="F1829" s="3" t="s">
        <v>2593</v>
      </c>
      <c r="G1829" s="4" t="str">
        <f>HYPERLINK("https://diaocthongthai.com/xa-chau-que-ha-van-yen/","Xã Châu Quế Hạ")</f>
        <v>Xã Châu Quế Hạ</v>
      </c>
    </row>
    <row r="1830" spans="1:7" x14ac:dyDescent="0.25">
      <c r="A1830" s="2">
        <v>1829</v>
      </c>
      <c r="B1830" s="3" t="s">
        <v>12</v>
      </c>
      <c r="C1830" s="4" t="str">
        <f t="shared" si="154"/>
        <v>Yên Bái</v>
      </c>
      <c r="D1830" s="3" t="s">
        <v>174</v>
      </c>
      <c r="E1830" s="4" t="str">
        <f t="shared" si="155"/>
        <v>Huyện Văn Yên</v>
      </c>
      <c r="F1830" s="3" t="s">
        <v>2594</v>
      </c>
      <c r="G1830" s="4" t="str">
        <f>HYPERLINK("https://diaocthongthai.com/xa-an-binh-van-yen/","Xã An Bình")</f>
        <v>Xã An Bình</v>
      </c>
    </row>
    <row r="1831" spans="1:7" x14ac:dyDescent="0.25">
      <c r="A1831" s="2">
        <v>1830</v>
      </c>
      <c r="B1831" s="3" t="s">
        <v>12</v>
      </c>
      <c r="C1831" s="4" t="str">
        <f t="shared" si="154"/>
        <v>Yên Bái</v>
      </c>
      <c r="D1831" s="3" t="s">
        <v>174</v>
      </c>
      <c r="E1831" s="4" t="str">
        <f t="shared" si="155"/>
        <v>Huyện Văn Yên</v>
      </c>
      <c r="F1831" s="3" t="s">
        <v>2595</v>
      </c>
      <c r="G1831" s="4" t="str">
        <f>HYPERLINK("https://diaocthongthai.com/xa-quang-minh-van-yen/","Xã Quang Minh")</f>
        <v>Xã Quang Minh</v>
      </c>
    </row>
    <row r="1832" spans="1:7" x14ac:dyDescent="0.25">
      <c r="A1832" s="2">
        <v>1831</v>
      </c>
      <c r="B1832" s="3" t="s">
        <v>12</v>
      </c>
      <c r="C1832" s="4" t="str">
        <f t="shared" si="154"/>
        <v>Yên Bái</v>
      </c>
      <c r="D1832" s="3" t="s">
        <v>174</v>
      </c>
      <c r="E1832" s="4" t="str">
        <f t="shared" si="155"/>
        <v>Huyện Văn Yên</v>
      </c>
      <c r="F1832" s="3" t="s">
        <v>2596</v>
      </c>
      <c r="G1832" s="4" t="str">
        <f>HYPERLINK("https://diaocthongthai.com/xa-dong-an-van-yen/","Xã Đông An")</f>
        <v>Xã Đông An</v>
      </c>
    </row>
    <row r="1833" spans="1:7" x14ac:dyDescent="0.25">
      <c r="A1833" s="2">
        <v>1832</v>
      </c>
      <c r="B1833" s="3" t="s">
        <v>12</v>
      </c>
      <c r="C1833" s="4" t="str">
        <f t="shared" si="154"/>
        <v>Yên Bái</v>
      </c>
      <c r="D1833" s="3" t="s">
        <v>174</v>
      </c>
      <c r="E1833" s="4" t="str">
        <f t="shared" si="155"/>
        <v>Huyện Văn Yên</v>
      </c>
      <c r="F1833" s="3" t="s">
        <v>2597</v>
      </c>
      <c r="G1833" s="4" t="str">
        <f>HYPERLINK("https://diaocthongthai.com/xa-dong-cuong-van-yen/","Xã Đông Cuông")</f>
        <v>Xã Đông Cuông</v>
      </c>
    </row>
    <row r="1834" spans="1:7" x14ac:dyDescent="0.25">
      <c r="A1834" s="2">
        <v>1833</v>
      </c>
      <c r="B1834" s="3" t="s">
        <v>12</v>
      </c>
      <c r="C1834" s="4" t="str">
        <f t="shared" si="154"/>
        <v>Yên Bái</v>
      </c>
      <c r="D1834" s="3" t="s">
        <v>174</v>
      </c>
      <c r="E1834" s="4" t="str">
        <f t="shared" si="155"/>
        <v>Huyện Văn Yên</v>
      </c>
      <c r="F1834" s="3" t="s">
        <v>2598</v>
      </c>
      <c r="G1834" s="4" t="str">
        <f>HYPERLINK("https://diaocthongthai.com/xa-phong-du-ha-van-yen/","Xã Phong Dụ Hạ")</f>
        <v>Xã Phong Dụ Hạ</v>
      </c>
    </row>
    <row r="1835" spans="1:7" x14ac:dyDescent="0.25">
      <c r="A1835" s="2">
        <v>1834</v>
      </c>
      <c r="B1835" s="3" t="s">
        <v>12</v>
      </c>
      <c r="C1835" s="4" t="str">
        <f t="shared" si="154"/>
        <v>Yên Bái</v>
      </c>
      <c r="D1835" s="3" t="s">
        <v>174</v>
      </c>
      <c r="E1835" s="4" t="str">
        <f t="shared" si="155"/>
        <v>Huyện Văn Yên</v>
      </c>
      <c r="F1835" s="3" t="s">
        <v>2599</v>
      </c>
      <c r="G1835" s="4" t="str">
        <f>HYPERLINK("https://diaocthongthai.com/xa-mau-dong-van-yen/","Xã Mậu Đông")</f>
        <v>Xã Mậu Đông</v>
      </c>
    </row>
    <row r="1836" spans="1:7" x14ac:dyDescent="0.25">
      <c r="A1836" s="2">
        <v>1835</v>
      </c>
      <c r="B1836" s="3" t="s">
        <v>12</v>
      </c>
      <c r="C1836" s="4" t="str">
        <f t="shared" ref="C1836:C1867" si="156">HYPERLINK("https://diaocthongthai.com/ban-do-yen-bai/","Yên Bái")</f>
        <v>Yên Bái</v>
      </c>
      <c r="D1836" s="3" t="s">
        <v>174</v>
      </c>
      <c r="E1836" s="4" t="str">
        <f t="shared" si="155"/>
        <v>Huyện Văn Yên</v>
      </c>
      <c r="F1836" s="3" t="s">
        <v>2600</v>
      </c>
      <c r="G1836" s="4" t="str">
        <f>HYPERLINK("https://diaocthongthai.com/xa-ngoi-a-van-yen/","Xã Ngòi A")</f>
        <v>Xã Ngòi A</v>
      </c>
    </row>
    <row r="1837" spans="1:7" x14ac:dyDescent="0.25">
      <c r="A1837" s="2">
        <v>1836</v>
      </c>
      <c r="B1837" s="3" t="s">
        <v>12</v>
      </c>
      <c r="C1837" s="4" t="str">
        <f t="shared" si="156"/>
        <v>Yên Bái</v>
      </c>
      <c r="D1837" s="3" t="s">
        <v>174</v>
      </c>
      <c r="E1837" s="4" t="str">
        <f t="shared" si="155"/>
        <v>Huyện Văn Yên</v>
      </c>
      <c r="F1837" s="3" t="s">
        <v>2601</v>
      </c>
      <c r="G1837" s="4" t="str">
        <f>HYPERLINK("https://diaocthongthai.com/xa-xuan-tam-van-yen/","Xã Xuân Tầm")</f>
        <v>Xã Xuân Tầm</v>
      </c>
    </row>
    <row r="1838" spans="1:7" x14ac:dyDescent="0.25">
      <c r="A1838" s="2">
        <v>1837</v>
      </c>
      <c r="B1838" s="3" t="s">
        <v>12</v>
      </c>
      <c r="C1838" s="4" t="str">
        <f t="shared" si="156"/>
        <v>Yên Bái</v>
      </c>
      <c r="D1838" s="3" t="s">
        <v>174</v>
      </c>
      <c r="E1838" s="4" t="str">
        <f t="shared" si="155"/>
        <v>Huyện Văn Yên</v>
      </c>
      <c r="F1838" s="3" t="s">
        <v>2602</v>
      </c>
      <c r="G1838" s="4" t="str">
        <f>HYPERLINK("https://diaocthongthai.com/xa-tan-hop-van-yen/","Xã Tân Hợp")</f>
        <v>Xã Tân Hợp</v>
      </c>
    </row>
    <row r="1839" spans="1:7" x14ac:dyDescent="0.25">
      <c r="A1839" s="2">
        <v>1838</v>
      </c>
      <c r="B1839" s="3" t="s">
        <v>12</v>
      </c>
      <c r="C1839" s="4" t="str">
        <f t="shared" si="156"/>
        <v>Yên Bái</v>
      </c>
      <c r="D1839" s="3" t="s">
        <v>174</v>
      </c>
      <c r="E1839" s="4" t="str">
        <f t="shared" si="155"/>
        <v>Huyện Văn Yên</v>
      </c>
      <c r="F1839" s="3" t="s">
        <v>2603</v>
      </c>
      <c r="G1839" s="4" t="str">
        <f>HYPERLINK("https://diaocthongthai.com/xa-an-thinh-van-yen/","Xã An Thịnh")</f>
        <v>Xã An Thịnh</v>
      </c>
    </row>
    <row r="1840" spans="1:7" x14ac:dyDescent="0.25">
      <c r="A1840" s="2">
        <v>1839</v>
      </c>
      <c r="B1840" s="3" t="s">
        <v>12</v>
      </c>
      <c r="C1840" s="4" t="str">
        <f t="shared" si="156"/>
        <v>Yên Bái</v>
      </c>
      <c r="D1840" s="3" t="s">
        <v>174</v>
      </c>
      <c r="E1840" s="4" t="str">
        <f t="shared" si="155"/>
        <v>Huyện Văn Yên</v>
      </c>
      <c r="F1840" s="3" t="s">
        <v>2604</v>
      </c>
      <c r="G1840" s="4" t="str">
        <f>HYPERLINK("https://diaocthongthai.com/xa-yen-thai-van-yen/","Xã Yên Thái")</f>
        <v>Xã Yên Thái</v>
      </c>
    </row>
    <row r="1841" spans="1:7" x14ac:dyDescent="0.25">
      <c r="A1841" s="2">
        <v>1840</v>
      </c>
      <c r="B1841" s="3" t="s">
        <v>12</v>
      </c>
      <c r="C1841" s="4" t="str">
        <f t="shared" si="156"/>
        <v>Yên Bái</v>
      </c>
      <c r="D1841" s="3" t="s">
        <v>174</v>
      </c>
      <c r="E1841" s="4" t="str">
        <f t="shared" si="155"/>
        <v>Huyện Văn Yên</v>
      </c>
      <c r="F1841" s="3" t="s">
        <v>2605</v>
      </c>
      <c r="G1841" s="4" t="str">
        <f>HYPERLINK("https://diaocthongthai.com/xa-phong-du-thuong-van-yen/","Xã Phong Dụ Thượng")</f>
        <v>Xã Phong Dụ Thượng</v>
      </c>
    </row>
    <row r="1842" spans="1:7" x14ac:dyDescent="0.25">
      <c r="A1842" s="2">
        <v>1841</v>
      </c>
      <c r="B1842" s="3" t="s">
        <v>12</v>
      </c>
      <c r="C1842" s="4" t="str">
        <f t="shared" si="156"/>
        <v>Yên Bái</v>
      </c>
      <c r="D1842" s="3" t="s">
        <v>174</v>
      </c>
      <c r="E1842" s="4" t="str">
        <f t="shared" si="155"/>
        <v>Huyện Văn Yên</v>
      </c>
      <c r="F1842" s="3" t="s">
        <v>2606</v>
      </c>
      <c r="G1842" s="4" t="str">
        <f>HYPERLINK("https://diaocthongthai.com/xa-yen-hop-van-yen/","Xã Yên Hợp")</f>
        <v>Xã Yên Hợp</v>
      </c>
    </row>
    <row r="1843" spans="1:7" x14ac:dyDescent="0.25">
      <c r="A1843" s="2">
        <v>1842</v>
      </c>
      <c r="B1843" s="3" t="s">
        <v>12</v>
      </c>
      <c r="C1843" s="4" t="str">
        <f t="shared" si="156"/>
        <v>Yên Bái</v>
      </c>
      <c r="D1843" s="3" t="s">
        <v>174</v>
      </c>
      <c r="E1843" s="4" t="str">
        <f t="shared" si="155"/>
        <v>Huyện Văn Yên</v>
      </c>
      <c r="F1843" s="3" t="s">
        <v>2607</v>
      </c>
      <c r="G1843" s="4" t="str">
        <f>HYPERLINK("https://diaocthongthai.com/xa-dai-son-van-yen/","Xã Đại Sơn")</f>
        <v>Xã Đại Sơn</v>
      </c>
    </row>
    <row r="1844" spans="1:7" x14ac:dyDescent="0.25">
      <c r="A1844" s="2">
        <v>1843</v>
      </c>
      <c r="B1844" s="3" t="s">
        <v>12</v>
      </c>
      <c r="C1844" s="4" t="str">
        <f t="shared" si="156"/>
        <v>Yên Bái</v>
      </c>
      <c r="D1844" s="3" t="s">
        <v>174</v>
      </c>
      <c r="E1844" s="4" t="str">
        <f t="shared" si="155"/>
        <v>Huyện Văn Yên</v>
      </c>
      <c r="F1844" s="3" t="s">
        <v>2608</v>
      </c>
      <c r="G1844" s="4" t="str">
        <f>HYPERLINK("https://diaocthongthai.com/xa-dai-phac-van-yen/","Xã Đại Phác")</f>
        <v>Xã Đại Phác</v>
      </c>
    </row>
    <row r="1845" spans="1:7" x14ac:dyDescent="0.25">
      <c r="A1845" s="2">
        <v>1844</v>
      </c>
      <c r="B1845" s="3" t="s">
        <v>12</v>
      </c>
      <c r="C1845" s="4" t="str">
        <f t="shared" si="156"/>
        <v>Yên Bái</v>
      </c>
      <c r="D1845" s="3" t="s">
        <v>174</v>
      </c>
      <c r="E1845" s="4" t="str">
        <f t="shared" si="155"/>
        <v>Huyện Văn Yên</v>
      </c>
      <c r="F1845" s="3" t="s">
        <v>2609</v>
      </c>
      <c r="G1845" s="4" t="str">
        <f>HYPERLINK("https://diaocthongthai.com/xa-yen-phu-van-yen/","Xã Yên Phú")</f>
        <v>Xã Yên Phú</v>
      </c>
    </row>
    <row r="1846" spans="1:7" x14ac:dyDescent="0.25">
      <c r="A1846" s="2">
        <v>1845</v>
      </c>
      <c r="B1846" s="3" t="s">
        <v>12</v>
      </c>
      <c r="C1846" s="4" t="str">
        <f t="shared" si="156"/>
        <v>Yên Bái</v>
      </c>
      <c r="D1846" s="3" t="s">
        <v>174</v>
      </c>
      <c r="E1846" s="4" t="str">
        <f t="shared" si="155"/>
        <v>Huyện Văn Yên</v>
      </c>
      <c r="F1846" s="3" t="s">
        <v>2610</v>
      </c>
      <c r="G1846" s="4" t="str">
        <f>HYPERLINK("https://diaocthongthai.com/xa-xuan-ai-van-yen/","Xã Xuân Ái")</f>
        <v>Xã Xuân Ái</v>
      </c>
    </row>
    <row r="1847" spans="1:7" x14ac:dyDescent="0.25">
      <c r="A1847" s="2">
        <v>1846</v>
      </c>
      <c r="B1847" s="3" t="s">
        <v>12</v>
      </c>
      <c r="C1847" s="4" t="str">
        <f t="shared" si="156"/>
        <v>Yên Bái</v>
      </c>
      <c r="D1847" s="3" t="s">
        <v>174</v>
      </c>
      <c r="E1847" s="4" t="str">
        <f t="shared" si="155"/>
        <v>Huyện Văn Yên</v>
      </c>
      <c r="F1847" s="3" t="s">
        <v>2611</v>
      </c>
      <c r="G1847" s="4" t="str">
        <f>HYPERLINK("https://diaocthongthai.com/xa-vien-son-van-yen/","Xã Viễn Sơn")</f>
        <v>Xã Viễn Sơn</v>
      </c>
    </row>
    <row r="1848" spans="1:7" x14ac:dyDescent="0.25">
      <c r="A1848" s="2">
        <v>1847</v>
      </c>
      <c r="B1848" s="3" t="s">
        <v>12</v>
      </c>
      <c r="C1848" s="4" t="str">
        <f t="shared" si="156"/>
        <v>Yên Bái</v>
      </c>
      <c r="D1848" s="3" t="s">
        <v>174</v>
      </c>
      <c r="E1848" s="4" t="str">
        <f t="shared" si="155"/>
        <v>Huyện Văn Yên</v>
      </c>
      <c r="F1848" s="3" t="s">
        <v>2612</v>
      </c>
      <c r="G1848" s="4" t="str">
        <f>HYPERLINK("https://diaocthongthai.com/xa-mo-vang-van-yen/","Xã Mỏ Vàng")</f>
        <v>Xã Mỏ Vàng</v>
      </c>
    </row>
    <row r="1849" spans="1:7" x14ac:dyDescent="0.25">
      <c r="A1849" s="2">
        <v>1848</v>
      </c>
      <c r="B1849" s="3" t="s">
        <v>12</v>
      </c>
      <c r="C1849" s="4" t="str">
        <f t="shared" si="156"/>
        <v>Yên Bái</v>
      </c>
      <c r="D1849" s="3" t="s">
        <v>174</v>
      </c>
      <c r="E1849" s="4" t="str">
        <f t="shared" si="155"/>
        <v>Huyện Văn Yên</v>
      </c>
      <c r="F1849" s="3" t="s">
        <v>2613</v>
      </c>
      <c r="G1849" s="4" t="str">
        <f>HYPERLINK("https://diaocthongthai.com/xa-na-hau-van-yen/","Xã Nà Hẩu")</f>
        <v>Xã Nà Hẩu</v>
      </c>
    </row>
    <row r="1850" spans="1:7" x14ac:dyDescent="0.25">
      <c r="A1850" s="2">
        <v>1849</v>
      </c>
      <c r="B1850" s="3" t="s">
        <v>12</v>
      </c>
      <c r="C1850" s="4" t="str">
        <f t="shared" si="156"/>
        <v>Yên Bái</v>
      </c>
      <c r="D1850" s="3" t="s">
        <v>175</v>
      </c>
      <c r="E1850" s="4" t="str">
        <f t="shared" ref="E1850:E1863" si="157">HYPERLINK("https://diaocthongthai.com/ban-do-huyen-mu-cang-chai-yen-bai/","Huyện Mù Căng Chải")</f>
        <v>Huyện Mù Căng Chải</v>
      </c>
      <c r="F1850" s="3" t="s">
        <v>2614</v>
      </c>
      <c r="G1850" s="4" t="str">
        <f>HYPERLINK("https://diaocthongthai.com/thi-tran-mu-cang-chai-mu-cang-chai/","Thị trấn Mù Căng Chải")</f>
        <v>Thị trấn Mù Căng Chải</v>
      </c>
    </row>
    <row r="1851" spans="1:7" x14ac:dyDescent="0.25">
      <c r="A1851" s="2">
        <v>1850</v>
      </c>
      <c r="B1851" s="3" t="s">
        <v>12</v>
      </c>
      <c r="C1851" s="4" t="str">
        <f t="shared" si="156"/>
        <v>Yên Bái</v>
      </c>
      <c r="D1851" s="3" t="s">
        <v>175</v>
      </c>
      <c r="E1851" s="4" t="str">
        <f t="shared" si="157"/>
        <v>Huyện Mù Căng Chải</v>
      </c>
      <c r="F1851" s="3" t="s">
        <v>2615</v>
      </c>
      <c r="G1851" s="4" t="str">
        <f>HYPERLINK("https://diaocthongthai.com/xa-ho-bon-mu-cang-chai/","Xã Hồ Bốn")</f>
        <v>Xã Hồ Bốn</v>
      </c>
    </row>
    <row r="1852" spans="1:7" x14ac:dyDescent="0.25">
      <c r="A1852" s="2">
        <v>1851</v>
      </c>
      <c r="B1852" s="3" t="s">
        <v>12</v>
      </c>
      <c r="C1852" s="4" t="str">
        <f t="shared" si="156"/>
        <v>Yên Bái</v>
      </c>
      <c r="D1852" s="3" t="s">
        <v>175</v>
      </c>
      <c r="E1852" s="4" t="str">
        <f t="shared" si="157"/>
        <v>Huyện Mù Căng Chải</v>
      </c>
      <c r="F1852" s="3" t="s">
        <v>2616</v>
      </c>
      <c r="G1852" s="4" t="str">
        <f>HYPERLINK("https://diaocthongthai.com/xa-nam-co-mu-cang-chai/","Xã Nậm Có")</f>
        <v>Xã Nậm Có</v>
      </c>
    </row>
    <row r="1853" spans="1:7" x14ac:dyDescent="0.25">
      <c r="A1853" s="2">
        <v>1852</v>
      </c>
      <c r="B1853" s="3" t="s">
        <v>12</v>
      </c>
      <c r="C1853" s="4" t="str">
        <f t="shared" si="156"/>
        <v>Yên Bái</v>
      </c>
      <c r="D1853" s="3" t="s">
        <v>175</v>
      </c>
      <c r="E1853" s="4" t="str">
        <f t="shared" si="157"/>
        <v>Huyện Mù Căng Chải</v>
      </c>
      <c r="F1853" s="3" t="s">
        <v>2617</v>
      </c>
      <c r="G1853" s="4" t="str">
        <f>HYPERLINK("https://diaocthongthai.com/xa-khao-mang-mu-cang-chai/","Xã Khao Mang")</f>
        <v>Xã Khao Mang</v>
      </c>
    </row>
    <row r="1854" spans="1:7" x14ac:dyDescent="0.25">
      <c r="A1854" s="2">
        <v>1853</v>
      </c>
      <c r="B1854" s="3" t="s">
        <v>12</v>
      </c>
      <c r="C1854" s="4" t="str">
        <f t="shared" si="156"/>
        <v>Yên Bái</v>
      </c>
      <c r="D1854" s="3" t="s">
        <v>175</v>
      </c>
      <c r="E1854" s="4" t="str">
        <f t="shared" si="157"/>
        <v>Huyện Mù Căng Chải</v>
      </c>
      <c r="F1854" s="3" t="s">
        <v>2618</v>
      </c>
      <c r="G1854" s="4" t="str">
        <f>HYPERLINK("https://diaocthongthai.com/xa-mo-de-mu-cang-chai/","Xã Mồ Dề")</f>
        <v>Xã Mồ Dề</v>
      </c>
    </row>
    <row r="1855" spans="1:7" x14ac:dyDescent="0.25">
      <c r="A1855" s="2">
        <v>1854</v>
      </c>
      <c r="B1855" s="3" t="s">
        <v>12</v>
      </c>
      <c r="C1855" s="4" t="str">
        <f t="shared" si="156"/>
        <v>Yên Bái</v>
      </c>
      <c r="D1855" s="3" t="s">
        <v>175</v>
      </c>
      <c r="E1855" s="4" t="str">
        <f t="shared" si="157"/>
        <v>Huyện Mù Căng Chải</v>
      </c>
      <c r="F1855" s="3" t="s">
        <v>2619</v>
      </c>
      <c r="G1855" s="4" t="str">
        <f>HYPERLINK("https://diaocthongthai.com/xa-che-cu-nha-mu-cang-chai/","Xã Chế Cu Nha")</f>
        <v>Xã Chế Cu Nha</v>
      </c>
    </row>
    <row r="1856" spans="1:7" x14ac:dyDescent="0.25">
      <c r="A1856" s="2">
        <v>1855</v>
      </c>
      <c r="B1856" s="3" t="s">
        <v>12</v>
      </c>
      <c r="C1856" s="4" t="str">
        <f t="shared" si="156"/>
        <v>Yên Bái</v>
      </c>
      <c r="D1856" s="3" t="s">
        <v>175</v>
      </c>
      <c r="E1856" s="4" t="str">
        <f t="shared" si="157"/>
        <v>Huyện Mù Căng Chải</v>
      </c>
      <c r="F1856" s="3" t="s">
        <v>2620</v>
      </c>
      <c r="G1856" s="4" t="str">
        <f>HYPERLINK("https://diaocthongthai.com/xa-lao-chai-mu-cang-chai/","Xã Lao Chải")</f>
        <v>Xã Lao Chải</v>
      </c>
    </row>
    <row r="1857" spans="1:7" x14ac:dyDescent="0.25">
      <c r="A1857" s="2">
        <v>1856</v>
      </c>
      <c r="B1857" s="3" t="s">
        <v>12</v>
      </c>
      <c r="C1857" s="4" t="str">
        <f t="shared" si="156"/>
        <v>Yên Bái</v>
      </c>
      <c r="D1857" s="3" t="s">
        <v>175</v>
      </c>
      <c r="E1857" s="4" t="str">
        <f t="shared" si="157"/>
        <v>Huyện Mù Căng Chải</v>
      </c>
      <c r="F1857" s="3" t="s">
        <v>2621</v>
      </c>
      <c r="G1857" s="4" t="str">
        <f>HYPERLINK("https://diaocthongthai.com/xa-kim-noi-mu-cang-chai/","Xã Kim Nọi")</f>
        <v>Xã Kim Nọi</v>
      </c>
    </row>
    <row r="1858" spans="1:7" x14ac:dyDescent="0.25">
      <c r="A1858" s="2">
        <v>1857</v>
      </c>
      <c r="B1858" s="3" t="s">
        <v>12</v>
      </c>
      <c r="C1858" s="4" t="str">
        <f t="shared" si="156"/>
        <v>Yên Bái</v>
      </c>
      <c r="D1858" s="3" t="s">
        <v>175</v>
      </c>
      <c r="E1858" s="4" t="str">
        <f t="shared" si="157"/>
        <v>Huyện Mù Căng Chải</v>
      </c>
      <c r="F1858" s="3" t="s">
        <v>2622</v>
      </c>
      <c r="G1858" s="4" t="str">
        <f>HYPERLINK("https://diaocthongthai.com/xa-cao-pha-mu-cang-chai/","Xã Cao Phạ")</f>
        <v>Xã Cao Phạ</v>
      </c>
    </row>
    <row r="1859" spans="1:7" x14ac:dyDescent="0.25">
      <c r="A1859" s="2">
        <v>1858</v>
      </c>
      <c r="B1859" s="3" t="s">
        <v>12</v>
      </c>
      <c r="C1859" s="4" t="str">
        <f t="shared" si="156"/>
        <v>Yên Bái</v>
      </c>
      <c r="D1859" s="3" t="s">
        <v>175</v>
      </c>
      <c r="E1859" s="4" t="str">
        <f t="shared" si="157"/>
        <v>Huyện Mù Căng Chải</v>
      </c>
      <c r="F1859" s="3" t="s">
        <v>2623</v>
      </c>
      <c r="G1859" s="4" t="str">
        <f>HYPERLINK("https://diaocthongthai.com/xa-la-pan-tan-mu-cang-chai/","Xã La Pán Tẩn")</f>
        <v>Xã La Pán Tẩn</v>
      </c>
    </row>
    <row r="1860" spans="1:7" x14ac:dyDescent="0.25">
      <c r="A1860" s="2">
        <v>1859</v>
      </c>
      <c r="B1860" s="3" t="s">
        <v>12</v>
      </c>
      <c r="C1860" s="4" t="str">
        <f t="shared" si="156"/>
        <v>Yên Bái</v>
      </c>
      <c r="D1860" s="3" t="s">
        <v>175</v>
      </c>
      <c r="E1860" s="4" t="str">
        <f t="shared" si="157"/>
        <v>Huyện Mù Căng Chải</v>
      </c>
      <c r="F1860" s="3" t="s">
        <v>2624</v>
      </c>
      <c r="G1860" s="4" t="str">
        <f>HYPERLINK("https://diaocthongthai.com/xa-de-xu-phinh-mu-cang-chai/","Xã Dế Su Phình")</f>
        <v>Xã Dế Su Phình</v>
      </c>
    </row>
    <row r="1861" spans="1:7" x14ac:dyDescent="0.25">
      <c r="A1861" s="2">
        <v>1860</v>
      </c>
      <c r="B1861" s="3" t="s">
        <v>12</v>
      </c>
      <c r="C1861" s="4" t="str">
        <f t="shared" si="156"/>
        <v>Yên Bái</v>
      </c>
      <c r="D1861" s="3" t="s">
        <v>175</v>
      </c>
      <c r="E1861" s="4" t="str">
        <f t="shared" si="157"/>
        <v>Huyện Mù Căng Chải</v>
      </c>
      <c r="F1861" s="3" t="s">
        <v>2625</v>
      </c>
      <c r="G1861" s="4" t="str">
        <f>HYPERLINK("https://diaocthongthai.com/xa-che-tao-mu-cang-chai/","Xã Chế Tạo")</f>
        <v>Xã Chế Tạo</v>
      </c>
    </row>
    <row r="1862" spans="1:7" x14ac:dyDescent="0.25">
      <c r="A1862" s="2">
        <v>1861</v>
      </c>
      <c r="B1862" s="3" t="s">
        <v>12</v>
      </c>
      <c r="C1862" s="4" t="str">
        <f t="shared" si="156"/>
        <v>Yên Bái</v>
      </c>
      <c r="D1862" s="3" t="s">
        <v>175</v>
      </c>
      <c r="E1862" s="4" t="str">
        <f t="shared" si="157"/>
        <v>Huyện Mù Căng Chải</v>
      </c>
      <c r="F1862" s="3" t="s">
        <v>2626</v>
      </c>
      <c r="G1862" s="4" t="str">
        <f>HYPERLINK("https://diaocthongthai.com/xa-pung-luong-mu-cang-chai/","Xã Púng Luông")</f>
        <v>Xã Púng Luông</v>
      </c>
    </row>
    <row r="1863" spans="1:7" x14ac:dyDescent="0.25">
      <c r="A1863" s="2">
        <v>1862</v>
      </c>
      <c r="B1863" s="3" t="s">
        <v>12</v>
      </c>
      <c r="C1863" s="4" t="str">
        <f t="shared" si="156"/>
        <v>Yên Bái</v>
      </c>
      <c r="D1863" s="3" t="s">
        <v>175</v>
      </c>
      <c r="E1863" s="4" t="str">
        <f t="shared" si="157"/>
        <v>Huyện Mù Căng Chải</v>
      </c>
      <c r="F1863" s="3" t="s">
        <v>2627</v>
      </c>
      <c r="G1863" s="4" t="str">
        <f>HYPERLINK("https://diaocthongthai.com/xa-nam-khat-mu-cang-chai/","Xã Nậm Khắt")</f>
        <v>Xã Nậm Khắt</v>
      </c>
    </row>
    <row r="1864" spans="1:7" x14ac:dyDescent="0.25">
      <c r="A1864" s="2">
        <v>1863</v>
      </c>
      <c r="B1864" s="3" t="s">
        <v>12</v>
      </c>
      <c r="C1864" s="4" t="str">
        <f t="shared" si="156"/>
        <v>Yên Bái</v>
      </c>
      <c r="D1864" s="3" t="s">
        <v>176</v>
      </c>
      <c r="E1864" s="4" t="str">
        <f t="shared" ref="E1864:E1884" si="158">HYPERLINK("https://diaocthongthai.com/ban-do-huyen-tran-yen-yen-bai/","Huyện Trấn Yên")</f>
        <v>Huyện Trấn Yên</v>
      </c>
      <c r="F1864" s="3" t="s">
        <v>2628</v>
      </c>
      <c r="G1864" s="4" t="str">
        <f>HYPERLINK("https://diaocthongthai.com/thi-tran-co-phuc-tran-yen/","Thị trấn Cổ Phúc")</f>
        <v>Thị trấn Cổ Phúc</v>
      </c>
    </row>
    <row r="1865" spans="1:7" x14ac:dyDescent="0.25">
      <c r="A1865" s="2">
        <v>1864</v>
      </c>
      <c r="B1865" s="3" t="s">
        <v>12</v>
      </c>
      <c r="C1865" s="4" t="str">
        <f t="shared" si="156"/>
        <v>Yên Bái</v>
      </c>
      <c r="D1865" s="3" t="s">
        <v>176</v>
      </c>
      <c r="E1865" s="4" t="str">
        <f t="shared" si="158"/>
        <v>Huyện Trấn Yên</v>
      </c>
      <c r="F1865" s="3" t="s">
        <v>2629</v>
      </c>
      <c r="G1865" s="4" t="str">
        <f>HYPERLINK("https://diaocthongthai.com/xa-tan-dong-tran-yen/","Xã Tân Đồng")</f>
        <v>Xã Tân Đồng</v>
      </c>
    </row>
    <row r="1866" spans="1:7" x14ac:dyDescent="0.25">
      <c r="A1866" s="2">
        <v>1865</v>
      </c>
      <c r="B1866" s="3" t="s">
        <v>12</v>
      </c>
      <c r="C1866" s="4" t="str">
        <f t="shared" si="156"/>
        <v>Yên Bái</v>
      </c>
      <c r="D1866" s="3" t="s">
        <v>176</v>
      </c>
      <c r="E1866" s="4" t="str">
        <f t="shared" si="158"/>
        <v>Huyện Trấn Yên</v>
      </c>
      <c r="F1866" s="3" t="s">
        <v>2630</v>
      </c>
      <c r="G1866" s="4" t="str">
        <f>HYPERLINK("https://diaocthongthai.com/xa-bao-dap-tran-yen/","Xã Báo Đáp")</f>
        <v>Xã Báo Đáp</v>
      </c>
    </row>
    <row r="1867" spans="1:7" x14ac:dyDescent="0.25">
      <c r="A1867" s="2">
        <v>1866</v>
      </c>
      <c r="B1867" s="3" t="s">
        <v>12</v>
      </c>
      <c r="C1867" s="4" t="str">
        <f t="shared" si="156"/>
        <v>Yên Bái</v>
      </c>
      <c r="D1867" s="3" t="s">
        <v>176</v>
      </c>
      <c r="E1867" s="4" t="str">
        <f t="shared" si="158"/>
        <v>Huyện Trấn Yên</v>
      </c>
      <c r="F1867" s="3" t="s">
        <v>2631</v>
      </c>
      <c r="G1867" s="4" t="str">
        <f>HYPERLINK("https://diaocthongthai.com/xa-dao-thinh-tran-yen/","Xã Đào Thịnh")</f>
        <v>Xã Đào Thịnh</v>
      </c>
    </row>
    <row r="1868" spans="1:7" x14ac:dyDescent="0.25">
      <c r="A1868" s="2">
        <v>1867</v>
      </c>
      <c r="B1868" s="3" t="s">
        <v>12</v>
      </c>
      <c r="C1868" s="4" t="str">
        <f t="shared" ref="C1868:C1899" si="159">HYPERLINK("https://diaocthongthai.com/ban-do-yen-bai/","Yên Bái")</f>
        <v>Yên Bái</v>
      </c>
      <c r="D1868" s="3" t="s">
        <v>176</v>
      </c>
      <c r="E1868" s="4" t="str">
        <f t="shared" si="158"/>
        <v>Huyện Trấn Yên</v>
      </c>
      <c r="F1868" s="3" t="s">
        <v>2632</v>
      </c>
      <c r="G1868" s="4" t="str">
        <f>HYPERLINK("https://diaocthongthai.com/xa-viet-thanh-tran-yen/","Xã Việt Thành")</f>
        <v>Xã Việt Thành</v>
      </c>
    </row>
    <row r="1869" spans="1:7" x14ac:dyDescent="0.25">
      <c r="A1869" s="2">
        <v>1868</v>
      </c>
      <c r="B1869" s="3" t="s">
        <v>12</v>
      </c>
      <c r="C1869" s="4" t="str">
        <f t="shared" si="159"/>
        <v>Yên Bái</v>
      </c>
      <c r="D1869" s="3" t="s">
        <v>176</v>
      </c>
      <c r="E1869" s="4" t="str">
        <f t="shared" si="158"/>
        <v>Huyện Trấn Yên</v>
      </c>
      <c r="F1869" s="3" t="s">
        <v>2633</v>
      </c>
      <c r="G1869" s="4" t="str">
        <f>HYPERLINK("https://diaocthongthai.com/xa-hoa-cuong-tran-yen/","Xã Hòa Cuông")</f>
        <v>Xã Hòa Cuông</v>
      </c>
    </row>
    <row r="1870" spans="1:7" x14ac:dyDescent="0.25">
      <c r="A1870" s="2">
        <v>1869</v>
      </c>
      <c r="B1870" s="3" t="s">
        <v>12</v>
      </c>
      <c r="C1870" s="4" t="str">
        <f t="shared" si="159"/>
        <v>Yên Bái</v>
      </c>
      <c r="D1870" s="3" t="s">
        <v>176</v>
      </c>
      <c r="E1870" s="4" t="str">
        <f t="shared" si="158"/>
        <v>Huyện Trấn Yên</v>
      </c>
      <c r="F1870" s="3" t="s">
        <v>2634</v>
      </c>
      <c r="G1870" s="4" t="str">
        <f>HYPERLINK("https://diaocthongthai.com/xa-minh-quan-1-tran-yen/","Xã Minh Quán")</f>
        <v>Xã Minh Quán</v>
      </c>
    </row>
    <row r="1871" spans="1:7" x14ac:dyDescent="0.25">
      <c r="A1871" s="2">
        <v>1870</v>
      </c>
      <c r="B1871" s="3" t="s">
        <v>12</v>
      </c>
      <c r="C1871" s="4" t="str">
        <f t="shared" si="159"/>
        <v>Yên Bái</v>
      </c>
      <c r="D1871" s="3" t="s">
        <v>176</v>
      </c>
      <c r="E1871" s="4" t="str">
        <f t="shared" si="158"/>
        <v>Huyện Trấn Yên</v>
      </c>
      <c r="F1871" s="3" t="s">
        <v>2635</v>
      </c>
      <c r="G1871" s="4" t="str">
        <f>HYPERLINK("https://diaocthongthai.com/xa-quy-mong-tran-yen/","Xã Quy Mông")</f>
        <v>Xã Quy Mông</v>
      </c>
    </row>
    <row r="1872" spans="1:7" x14ac:dyDescent="0.25">
      <c r="A1872" s="2">
        <v>1871</v>
      </c>
      <c r="B1872" s="3" t="s">
        <v>12</v>
      </c>
      <c r="C1872" s="4" t="str">
        <f t="shared" si="159"/>
        <v>Yên Bái</v>
      </c>
      <c r="D1872" s="3" t="s">
        <v>176</v>
      </c>
      <c r="E1872" s="4" t="str">
        <f t="shared" si="158"/>
        <v>Huyện Trấn Yên</v>
      </c>
      <c r="F1872" s="3" t="s">
        <v>2636</v>
      </c>
      <c r="G1872" s="4" t="str">
        <f>HYPERLINK("https://diaocthongthai.com/xa-cuong-thinh-tran-yen/","Xã Cường Thịnh")</f>
        <v>Xã Cường Thịnh</v>
      </c>
    </row>
    <row r="1873" spans="1:7" x14ac:dyDescent="0.25">
      <c r="A1873" s="2">
        <v>1872</v>
      </c>
      <c r="B1873" s="3" t="s">
        <v>12</v>
      </c>
      <c r="C1873" s="4" t="str">
        <f t="shared" si="159"/>
        <v>Yên Bái</v>
      </c>
      <c r="D1873" s="3" t="s">
        <v>176</v>
      </c>
      <c r="E1873" s="4" t="str">
        <f t="shared" si="158"/>
        <v>Huyện Trấn Yên</v>
      </c>
      <c r="F1873" s="3" t="s">
        <v>2637</v>
      </c>
      <c r="G1873" s="4" t="str">
        <f>HYPERLINK("https://diaocthongthai.com/xa-kien-thanh-tran-yen/","Xã Kiên Thành")</f>
        <v>Xã Kiên Thành</v>
      </c>
    </row>
    <row r="1874" spans="1:7" x14ac:dyDescent="0.25">
      <c r="A1874" s="2">
        <v>1873</v>
      </c>
      <c r="B1874" s="3" t="s">
        <v>12</v>
      </c>
      <c r="C1874" s="4" t="str">
        <f t="shared" si="159"/>
        <v>Yên Bái</v>
      </c>
      <c r="D1874" s="3" t="s">
        <v>176</v>
      </c>
      <c r="E1874" s="4" t="str">
        <f t="shared" si="158"/>
        <v>Huyện Trấn Yên</v>
      </c>
      <c r="F1874" s="3" t="s">
        <v>2638</v>
      </c>
      <c r="G1874" s="4" t="str">
        <f>HYPERLINK("https://diaocthongthai.com/xa-nga-quan-tran-yen/","Xã Nga Quán")</f>
        <v>Xã Nga Quán</v>
      </c>
    </row>
    <row r="1875" spans="1:7" x14ac:dyDescent="0.25">
      <c r="A1875" s="2">
        <v>1874</v>
      </c>
      <c r="B1875" s="3" t="s">
        <v>12</v>
      </c>
      <c r="C1875" s="4" t="str">
        <f t="shared" si="159"/>
        <v>Yên Bái</v>
      </c>
      <c r="D1875" s="3" t="s">
        <v>176</v>
      </c>
      <c r="E1875" s="4" t="str">
        <f t="shared" si="158"/>
        <v>Huyện Trấn Yên</v>
      </c>
      <c r="F1875" s="3" t="s">
        <v>2639</v>
      </c>
      <c r="G1875" s="4" t="str">
        <f>HYPERLINK("https://diaocthongthai.com/xa-y-can-tran-yen/","Xã Y Can")</f>
        <v>Xã Y Can</v>
      </c>
    </row>
    <row r="1876" spans="1:7" x14ac:dyDescent="0.25">
      <c r="A1876" s="2">
        <v>1875</v>
      </c>
      <c r="B1876" s="3" t="s">
        <v>12</v>
      </c>
      <c r="C1876" s="4" t="str">
        <f t="shared" si="159"/>
        <v>Yên Bái</v>
      </c>
      <c r="D1876" s="3" t="s">
        <v>176</v>
      </c>
      <c r="E1876" s="4" t="str">
        <f t="shared" si="158"/>
        <v>Huyện Trấn Yên</v>
      </c>
      <c r="F1876" s="3" t="s">
        <v>2640</v>
      </c>
      <c r="G1876" s="4" t="str">
        <f>HYPERLINK("https://diaocthongthai.com/xa-luong-thinh-tran-yen/","Xã Lương Thịnh")</f>
        <v>Xã Lương Thịnh</v>
      </c>
    </row>
    <row r="1877" spans="1:7" x14ac:dyDescent="0.25">
      <c r="A1877" s="2">
        <v>1876</v>
      </c>
      <c r="B1877" s="3" t="s">
        <v>12</v>
      </c>
      <c r="C1877" s="4" t="str">
        <f t="shared" si="159"/>
        <v>Yên Bái</v>
      </c>
      <c r="D1877" s="3" t="s">
        <v>176</v>
      </c>
      <c r="E1877" s="4" t="str">
        <f t="shared" si="158"/>
        <v>Huyện Trấn Yên</v>
      </c>
      <c r="F1877" s="3" t="s">
        <v>2641</v>
      </c>
      <c r="G1877" s="4" t="str">
        <f>HYPERLINK("https://diaocthongthai.com/xa-bao-hung-tran-yen/","Xã Bảo Hưng")</f>
        <v>Xã Bảo Hưng</v>
      </c>
    </row>
    <row r="1878" spans="1:7" x14ac:dyDescent="0.25">
      <c r="A1878" s="2">
        <v>1877</v>
      </c>
      <c r="B1878" s="3" t="s">
        <v>12</v>
      </c>
      <c r="C1878" s="4" t="str">
        <f t="shared" si="159"/>
        <v>Yên Bái</v>
      </c>
      <c r="D1878" s="3" t="s">
        <v>176</v>
      </c>
      <c r="E1878" s="4" t="str">
        <f t="shared" si="158"/>
        <v>Huyện Trấn Yên</v>
      </c>
      <c r="F1878" s="3" t="s">
        <v>2642</v>
      </c>
      <c r="G1878" s="4" t="str">
        <f>HYPERLINK("https://diaocthongthai.com/xa-viet-cuong-tran-yen/","Xã Việt Cường")</f>
        <v>Xã Việt Cường</v>
      </c>
    </row>
    <row r="1879" spans="1:7" x14ac:dyDescent="0.25">
      <c r="A1879" s="2">
        <v>1878</v>
      </c>
      <c r="B1879" s="3" t="s">
        <v>12</v>
      </c>
      <c r="C1879" s="4" t="str">
        <f t="shared" si="159"/>
        <v>Yên Bái</v>
      </c>
      <c r="D1879" s="3" t="s">
        <v>176</v>
      </c>
      <c r="E1879" s="4" t="str">
        <f t="shared" si="158"/>
        <v>Huyện Trấn Yên</v>
      </c>
      <c r="F1879" s="3" t="s">
        <v>2643</v>
      </c>
      <c r="G1879" s="4" t="str">
        <f>HYPERLINK("https://diaocthongthai.com/xa-minh-quan-2-tran-yen/","Xã Minh Quân")</f>
        <v>Xã Minh Quân</v>
      </c>
    </row>
    <row r="1880" spans="1:7" x14ac:dyDescent="0.25">
      <c r="A1880" s="2">
        <v>1879</v>
      </c>
      <c r="B1880" s="3" t="s">
        <v>12</v>
      </c>
      <c r="C1880" s="4" t="str">
        <f t="shared" si="159"/>
        <v>Yên Bái</v>
      </c>
      <c r="D1880" s="3" t="s">
        <v>176</v>
      </c>
      <c r="E1880" s="4" t="str">
        <f t="shared" si="158"/>
        <v>Huyện Trấn Yên</v>
      </c>
      <c r="F1880" s="3" t="s">
        <v>2644</v>
      </c>
      <c r="G1880" s="4" t="str">
        <f>HYPERLINK("https://diaocthongthai.com/xa-hong-ca-tran-yen/","Xã Hồng Ca")</f>
        <v>Xã Hồng Ca</v>
      </c>
    </row>
    <row r="1881" spans="1:7" x14ac:dyDescent="0.25">
      <c r="A1881" s="2">
        <v>1880</v>
      </c>
      <c r="B1881" s="3" t="s">
        <v>12</v>
      </c>
      <c r="C1881" s="4" t="str">
        <f t="shared" si="159"/>
        <v>Yên Bái</v>
      </c>
      <c r="D1881" s="3" t="s">
        <v>176</v>
      </c>
      <c r="E1881" s="4" t="str">
        <f t="shared" si="158"/>
        <v>Huyện Trấn Yên</v>
      </c>
      <c r="F1881" s="3" t="s">
        <v>2645</v>
      </c>
      <c r="G1881" s="4" t="str">
        <f>HYPERLINK("https://diaocthongthai.com/xa-hung-thinh-tran-yen/","Xã Hưng Thịnh")</f>
        <v>Xã Hưng Thịnh</v>
      </c>
    </row>
    <row r="1882" spans="1:7" x14ac:dyDescent="0.25">
      <c r="A1882" s="2">
        <v>1881</v>
      </c>
      <c r="B1882" s="3" t="s">
        <v>12</v>
      </c>
      <c r="C1882" s="4" t="str">
        <f t="shared" si="159"/>
        <v>Yên Bái</v>
      </c>
      <c r="D1882" s="3" t="s">
        <v>176</v>
      </c>
      <c r="E1882" s="4" t="str">
        <f t="shared" si="158"/>
        <v>Huyện Trấn Yên</v>
      </c>
      <c r="F1882" s="3" t="s">
        <v>2646</v>
      </c>
      <c r="G1882" s="4" t="str">
        <f>HYPERLINK("https://diaocthongthai.com/xa-hung-khanh-tran-yen/","Xã Hưng Khánh")</f>
        <v>Xã Hưng Khánh</v>
      </c>
    </row>
    <row r="1883" spans="1:7" x14ac:dyDescent="0.25">
      <c r="A1883" s="2">
        <v>1882</v>
      </c>
      <c r="B1883" s="3" t="s">
        <v>12</v>
      </c>
      <c r="C1883" s="4" t="str">
        <f t="shared" si="159"/>
        <v>Yên Bái</v>
      </c>
      <c r="D1883" s="3" t="s">
        <v>176</v>
      </c>
      <c r="E1883" s="4" t="str">
        <f t="shared" si="158"/>
        <v>Huyện Trấn Yên</v>
      </c>
      <c r="F1883" s="3" t="s">
        <v>2647</v>
      </c>
      <c r="G1883" s="4" t="str">
        <f>HYPERLINK("https://diaocthongthai.com/xa-viet-hong-tran-yen/","Xã Việt Hồng")</f>
        <v>Xã Việt Hồng</v>
      </c>
    </row>
    <row r="1884" spans="1:7" x14ac:dyDescent="0.25">
      <c r="A1884" s="2">
        <v>1883</v>
      </c>
      <c r="B1884" s="3" t="s">
        <v>12</v>
      </c>
      <c r="C1884" s="4" t="str">
        <f t="shared" si="159"/>
        <v>Yên Bái</v>
      </c>
      <c r="D1884" s="3" t="s">
        <v>176</v>
      </c>
      <c r="E1884" s="4" t="str">
        <f t="shared" si="158"/>
        <v>Huyện Trấn Yên</v>
      </c>
      <c r="F1884" s="3" t="s">
        <v>2648</v>
      </c>
      <c r="G1884" s="4" t="str">
        <f>HYPERLINK("https://diaocthongthai.com/xa-van-hoi-tran-yen/","Xã Vân Hội")</f>
        <v>Xã Vân Hội</v>
      </c>
    </row>
    <row r="1885" spans="1:7" x14ac:dyDescent="0.25">
      <c r="A1885" s="2">
        <v>1884</v>
      </c>
      <c r="B1885" s="3" t="s">
        <v>12</v>
      </c>
      <c r="C1885" s="4" t="str">
        <f t="shared" si="159"/>
        <v>Yên Bái</v>
      </c>
      <c r="D1885" s="3" t="s">
        <v>177</v>
      </c>
      <c r="E1885" s="4" t="str">
        <f t="shared" ref="E1885:E1896" si="160">HYPERLINK("https://diaocthongthai.com/ban-do-huyen-tram-tau-yen-bai/","Huyện Trạm Tấu")</f>
        <v>Huyện Trạm Tấu</v>
      </c>
      <c r="F1885" s="3" t="s">
        <v>2649</v>
      </c>
      <c r="G1885" s="4" t="str">
        <f>HYPERLINK("https://diaocthongthai.com/thi-tran-tram-tau-tram-tau/","Thị trấn Trạm Tấu")</f>
        <v>Thị trấn Trạm Tấu</v>
      </c>
    </row>
    <row r="1886" spans="1:7" x14ac:dyDescent="0.25">
      <c r="A1886" s="2">
        <v>1885</v>
      </c>
      <c r="B1886" s="3" t="s">
        <v>12</v>
      </c>
      <c r="C1886" s="4" t="str">
        <f t="shared" si="159"/>
        <v>Yên Bái</v>
      </c>
      <c r="D1886" s="3" t="s">
        <v>177</v>
      </c>
      <c r="E1886" s="4" t="str">
        <f t="shared" si="160"/>
        <v>Huyện Trạm Tấu</v>
      </c>
      <c r="F1886" s="3" t="s">
        <v>2650</v>
      </c>
      <c r="G1886" s="4" t="str">
        <f>HYPERLINK("https://diaocthongthai.com/xa-tuc-dan-tram-tau/","Xã Túc Đán")</f>
        <v>Xã Túc Đán</v>
      </c>
    </row>
    <row r="1887" spans="1:7" x14ac:dyDescent="0.25">
      <c r="A1887" s="2">
        <v>1886</v>
      </c>
      <c r="B1887" s="3" t="s">
        <v>12</v>
      </c>
      <c r="C1887" s="4" t="str">
        <f t="shared" si="159"/>
        <v>Yên Bái</v>
      </c>
      <c r="D1887" s="3" t="s">
        <v>177</v>
      </c>
      <c r="E1887" s="4" t="str">
        <f t="shared" si="160"/>
        <v>Huyện Trạm Tấu</v>
      </c>
      <c r="F1887" s="3" t="s">
        <v>2651</v>
      </c>
      <c r="G1887" s="4" t="str">
        <f>HYPERLINK("https://diaocthongthai.com/xa-pa-lau-tram-tau/","Xã Pá Lau")</f>
        <v>Xã Pá Lau</v>
      </c>
    </row>
    <row r="1888" spans="1:7" x14ac:dyDescent="0.25">
      <c r="A1888" s="2">
        <v>1887</v>
      </c>
      <c r="B1888" s="3" t="s">
        <v>12</v>
      </c>
      <c r="C1888" s="4" t="str">
        <f t="shared" si="159"/>
        <v>Yên Bái</v>
      </c>
      <c r="D1888" s="3" t="s">
        <v>177</v>
      </c>
      <c r="E1888" s="4" t="str">
        <f t="shared" si="160"/>
        <v>Huyện Trạm Tấu</v>
      </c>
      <c r="F1888" s="3" t="s">
        <v>2652</v>
      </c>
      <c r="G1888" s="4" t="str">
        <f>HYPERLINK("https://diaocthongthai.com/xa-xa-ho-tram-tau/","Xã Xà Hồ")</f>
        <v>Xã Xà Hồ</v>
      </c>
    </row>
    <row r="1889" spans="1:7" x14ac:dyDescent="0.25">
      <c r="A1889" s="2">
        <v>1888</v>
      </c>
      <c r="B1889" s="3" t="s">
        <v>12</v>
      </c>
      <c r="C1889" s="4" t="str">
        <f t="shared" si="159"/>
        <v>Yên Bái</v>
      </c>
      <c r="D1889" s="3" t="s">
        <v>177</v>
      </c>
      <c r="E1889" s="4" t="str">
        <f t="shared" si="160"/>
        <v>Huyện Trạm Tấu</v>
      </c>
      <c r="F1889" s="3" t="s">
        <v>2653</v>
      </c>
      <c r="G1889" s="4" t="str">
        <f>HYPERLINK("https://diaocthongthai.com/xa-phinh-ho-tram-tau/","Xã Phình Hồ")</f>
        <v>Xã Phình Hồ</v>
      </c>
    </row>
    <row r="1890" spans="1:7" x14ac:dyDescent="0.25">
      <c r="A1890" s="2">
        <v>1889</v>
      </c>
      <c r="B1890" s="3" t="s">
        <v>12</v>
      </c>
      <c r="C1890" s="4" t="str">
        <f t="shared" si="159"/>
        <v>Yên Bái</v>
      </c>
      <c r="D1890" s="3" t="s">
        <v>177</v>
      </c>
      <c r="E1890" s="4" t="str">
        <f t="shared" si="160"/>
        <v>Huyện Trạm Tấu</v>
      </c>
      <c r="F1890" s="3" t="s">
        <v>2654</v>
      </c>
      <c r="G1890" s="4" t="str">
        <f>HYPERLINK("https://diaocthongthai.com/xa-tram-tau-tram-tau/","Xã Trạm Tấu")</f>
        <v>Xã Trạm Tấu</v>
      </c>
    </row>
    <row r="1891" spans="1:7" x14ac:dyDescent="0.25">
      <c r="A1891" s="2">
        <v>1890</v>
      </c>
      <c r="B1891" s="3" t="s">
        <v>12</v>
      </c>
      <c r="C1891" s="4" t="str">
        <f t="shared" si="159"/>
        <v>Yên Bái</v>
      </c>
      <c r="D1891" s="3" t="s">
        <v>177</v>
      </c>
      <c r="E1891" s="4" t="str">
        <f t="shared" si="160"/>
        <v>Huyện Trạm Tấu</v>
      </c>
      <c r="F1891" s="3" t="s">
        <v>2655</v>
      </c>
      <c r="G1891" s="4" t="str">
        <f>HYPERLINK("https://diaocthongthai.com/xa-ta-si-lang-tram-tau/","Xã Tà Si Láng")</f>
        <v>Xã Tà Si Láng</v>
      </c>
    </row>
    <row r="1892" spans="1:7" x14ac:dyDescent="0.25">
      <c r="A1892" s="2">
        <v>1891</v>
      </c>
      <c r="B1892" s="3" t="s">
        <v>12</v>
      </c>
      <c r="C1892" s="4" t="str">
        <f t="shared" si="159"/>
        <v>Yên Bái</v>
      </c>
      <c r="D1892" s="3" t="s">
        <v>177</v>
      </c>
      <c r="E1892" s="4" t="str">
        <f t="shared" si="160"/>
        <v>Huyện Trạm Tấu</v>
      </c>
      <c r="F1892" s="3" t="s">
        <v>2656</v>
      </c>
      <c r="G1892" s="4" t="str">
        <f>HYPERLINK("https://diaocthongthai.com/xa-pa-hu-tram-tau/","Xã Pá Hu")</f>
        <v>Xã Pá Hu</v>
      </c>
    </row>
    <row r="1893" spans="1:7" x14ac:dyDescent="0.25">
      <c r="A1893" s="2">
        <v>1892</v>
      </c>
      <c r="B1893" s="3" t="s">
        <v>12</v>
      </c>
      <c r="C1893" s="4" t="str">
        <f t="shared" si="159"/>
        <v>Yên Bái</v>
      </c>
      <c r="D1893" s="3" t="s">
        <v>177</v>
      </c>
      <c r="E1893" s="4" t="str">
        <f t="shared" si="160"/>
        <v>Huyện Trạm Tấu</v>
      </c>
      <c r="F1893" s="3" t="s">
        <v>2657</v>
      </c>
      <c r="G1893" s="4" t="str">
        <f>HYPERLINK("https://diaocthongthai.com/xa-lang-nhi-tram-tau/","Xã Làng Nhì")</f>
        <v>Xã Làng Nhì</v>
      </c>
    </row>
    <row r="1894" spans="1:7" x14ac:dyDescent="0.25">
      <c r="A1894" s="2">
        <v>1893</v>
      </c>
      <c r="B1894" s="3" t="s">
        <v>12</v>
      </c>
      <c r="C1894" s="4" t="str">
        <f t="shared" si="159"/>
        <v>Yên Bái</v>
      </c>
      <c r="D1894" s="3" t="s">
        <v>177</v>
      </c>
      <c r="E1894" s="4" t="str">
        <f t="shared" si="160"/>
        <v>Huyện Trạm Tấu</v>
      </c>
      <c r="F1894" s="3" t="s">
        <v>2658</v>
      </c>
      <c r="G1894" s="4" t="str">
        <f>HYPERLINK("https://diaocthongthai.com/xa-ban-cong-tram-tau/","Xã Bản Công")</f>
        <v>Xã Bản Công</v>
      </c>
    </row>
    <row r="1895" spans="1:7" x14ac:dyDescent="0.25">
      <c r="A1895" s="2">
        <v>1894</v>
      </c>
      <c r="B1895" s="3" t="s">
        <v>12</v>
      </c>
      <c r="C1895" s="4" t="str">
        <f t="shared" si="159"/>
        <v>Yên Bái</v>
      </c>
      <c r="D1895" s="3" t="s">
        <v>177</v>
      </c>
      <c r="E1895" s="4" t="str">
        <f t="shared" si="160"/>
        <v>Huyện Trạm Tấu</v>
      </c>
      <c r="F1895" s="3" t="s">
        <v>2659</v>
      </c>
      <c r="G1895" s="4" t="str">
        <f>HYPERLINK("https://diaocthongthai.com/xa-ban-mu-tram-tau/","Xã Bản Mù")</f>
        <v>Xã Bản Mù</v>
      </c>
    </row>
    <row r="1896" spans="1:7" x14ac:dyDescent="0.25">
      <c r="A1896" s="2">
        <v>1895</v>
      </c>
      <c r="B1896" s="3" t="s">
        <v>12</v>
      </c>
      <c r="C1896" s="4" t="str">
        <f t="shared" si="159"/>
        <v>Yên Bái</v>
      </c>
      <c r="D1896" s="3" t="s">
        <v>177</v>
      </c>
      <c r="E1896" s="4" t="str">
        <f t="shared" si="160"/>
        <v>Huyện Trạm Tấu</v>
      </c>
      <c r="F1896" s="3" t="s">
        <v>2660</v>
      </c>
      <c r="G1896" s="4" t="str">
        <f>HYPERLINK("https://diaocthongthai.com/xa-hat-luu-tram-tau/","Xã Hát Lìu")</f>
        <v>Xã Hát Lìu</v>
      </c>
    </row>
    <row r="1897" spans="1:7" x14ac:dyDescent="0.25">
      <c r="A1897" s="2">
        <v>1896</v>
      </c>
      <c r="B1897" s="3" t="s">
        <v>12</v>
      </c>
      <c r="C1897" s="4" t="str">
        <f t="shared" si="159"/>
        <v>Yên Bái</v>
      </c>
      <c r="D1897" s="3" t="s">
        <v>178</v>
      </c>
      <c r="E1897" s="4" t="str">
        <f t="shared" ref="E1897:E1920" si="161">HYPERLINK("https://diaocthongthai.com/ban-do-huyen-van-chan-yen-bai/","Huyện Văn Chấn")</f>
        <v>Huyện Văn Chấn</v>
      </c>
      <c r="F1897" s="3" t="s">
        <v>2661</v>
      </c>
      <c r="G1897" s="4" t="str">
        <f>HYPERLINK("https://diaocthongthai.com/thi-tran-nong-truong-lien-son-van-chan/","Thị trấn NT Liên Sơn")</f>
        <v>Thị trấn NT Liên Sơn</v>
      </c>
    </row>
    <row r="1898" spans="1:7" x14ac:dyDescent="0.25">
      <c r="A1898" s="2">
        <v>1897</v>
      </c>
      <c r="B1898" s="3" t="s">
        <v>12</v>
      </c>
      <c r="C1898" s="4" t="str">
        <f t="shared" si="159"/>
        <v>Yên Bái</v>
      </c>
      <c r="D1898" s="3" t="s">
        <v>178</v>
      </c>
      <c r="E1898" s="4" t="str">
        <f t="shared" si="161"/>
        <v>Huyện Văn Chấn</v>
      </c>
      <c r="F1898" s="3" t="s">
        <v>2662</v>
      </c>
      <c r="G1898" s="4" t="str">
        <f>HYPERLINK("https://diaocthongthai.com/thi-tran-nong-truong-tran-phu-van-chan/","Thị trấn NT Trần Phú")</f>
        <v>Thị trấn NT Trần Phú</v>
      </c>
    </row>
    <row r="1899" spans="1:7" x14ac:dyDescent="0.25">
      <c r="A1899" s="2">
        <v>1898</v>
      </c>
      <c r="B1899" s="3" t="s">
        <v>12</v>
      </c>
      <c r="C1899" s="4" t="str">
        <f t="shared" si="159"/>
        <v>Yên Bái</v>
      </c>
      <c r="D1899" s="3" t="s">
        <v>178</v>
      </c>
      <c r="E1899" s="4" t="str">
        <f t="shared" si="161"/>
        <v>Huyện Văn Chấn</v>
      </c>
      <c r="F1899" s="3" t="s">
        <v>2663</v>
      </c>
      <c r="G1899" s="4" t="str">
        <f>HYPERLINK("https://diaocthongthai.com/xa-tu-le-van-chan/","Xã Tú Lệ")</f>
        <v>Xã Tú Lệ</v>
      </c>
    </row>
    <row r="1900" spans="1:7" x14ac:dyDescent="0.25">
      <c r="A1900" s="2">
        <v>1899</v>
      </c>
      <c r="B1900" s="3" t="s">
        <v>12</v>
      </c>
      <c r="C1900" s="4" t="str">
        <f t="shared" ref="C1900:C1931" si="162">HYPERLINK("https://diaocthongthai.com/ban-do-yen-bai/","Yên Bái")</f>
        <v>Yên Bái</v>
      </c>
      <c r="D1900" s="3" t="s">
        <v>178</v>
      </c>
      <c r="E1900" s="4" t="str">
        <f t="shared" si="161"/>
        <v>Huyện Văn Chấn</v>
      </c>
      <c r="F1900" s="3" t="s">
        <v>2664</v>
      </c>
      <c r="G1900" s="4" t="str">
        <f>HYPERLINK("https://diaocthongthai.com/xa-nam-bung-van-chan/","Xã Nậm Búng")</f>
        <v>Xã Nậm Búng</v>
      </c>
    </row>
    <row r="1901" spans="1:7" x14ac:dyDescent="0.25">
      <c r="A1901" s="2">
        <v>1900</v>
      </c>
      <c r="B1901" s="3" t="s">
        <v>12</v>
      </c>
      <c r="C1901" s="4" t="str">
        <f t="shared" si="162"/>
        <v>Yên Bái</v>
      </c>
      <c r="D1901" s="3" t="s">
        <v>178</v>
      </c>
      <c r="E1901" s="4" t="str">
        <f t="shared" si="161"/>
        <v>Huyện Văn Chấn</v>
      </c>
      <c r="F1901" s="3" t="s">
        <v>2665</v>
      </c>
      <c r="G1901" s="4" t="str">
        <f>HYPERLINK("https://diaocthongthai.com/xa-gia-hoi-van-chan/","Xã Gia Hội")</f>
        <v>Xã Gia Hội</v>
      </c>
    </row>
    <row r="1902" spans="1:7" x14ac:dyDescent="0.25">
      <c r="A1902" s="2">
        <v>1901</v>
      </c>
      <c r="B1902" s="3" t="s">
        <v>12</v>
      </c>
      <c r="C1902" s="4" t="str">
        <f t="shared" si="162"/>
        <v>Yên Bái</v>
      </c>
      <c r="D1902" s="3" t="s">
        <v>178</v>
      </c>
      <c r="E1902" s="4" t="str">
        <f t="shared" si="161"/>
        <v>Huyện Văn Chấn</v>
      </c>
      <c r="F1902" s="3" t="s">
        <v>2666</v>
      </c>
      <c r="G1902" s="4" t="str">
        <f>HYPERLINK("https://diaocthongthai.com/xa-sung-do-van-chan/","Xã Sùng Đô")</f>
        <v>Xã Sùng Đô</v>
      </c>
    </row>
    <row r="1903" spans="1:7" x14ac:dyDescent="0.25">
      <c r="A1903" s="2">
        <v>1902</v>
      </c>
      <c r="B1903" s="3" t="s">
        <v>12</v>
      </c>
      <c r="C1903" s="4" t="str">
        <f t="shared" si="162"/>
        <v>Yên Bái</v>
      </c>
      <c r="D1903" s="3" t="s">
        <v>178</v>
      </c>
      <c r="E1903" s="4" t="str">
        <f t="shared" si="161"/>
        <v>Huyện Văn Chấn</v>
      </c>
      <c r="F1903" s="3" t="s">
        <v>2667</v>
      </c>
      <c r="G1903" s="4" t="str">
        <f>HYPERLINK("https://diaocthongthai.com/xa-nam-muoi-van-chan/","Xã Nậm Mười")</f>
        <v>Xã Nậm Mười</v>
      </c>
    </row>
    <row r="1904" spans="1:7" x14ac:dyDescent="0.25">
      <c r="A1904" s="2">
        <v>1903</v>
      </c>
      <c r="B1904" s="3" t="s">
        <v>12</v>
      </c>
      <c r="C1904" s="4" t="str">
        <f t="shared" si="162"/>
        <v>Yên Bái</v>
      </c>
      <c r="D1904" s="3" t="s">
        <v>178</v>
      </c>
      <c r="E1904" s="4" t="str">
        <f t="shared" si="161"/>
        <v>Huyện Văn Chấn</v>
      </c>
      <c r="F1904" s="3" t="s">
        <v>2668</v>
      </c>
      <c r="G1904" s="4" t="str">
        <f>HYPERLINK("https://diaocthongthai.com/xa-an-luong-van-chan/","Xã An Lương")</f>
        <v>Xã An Lương</v>
      </c>
    </row>
    <row r="1905" spans="1:7" x14ac:dyDescent="0.25">
      <c r="A1905" s="2">
        <v>1904</v>
      </c>
      <c r="B1905" s="3" t="s">
        <v>12</v>
      </c>
      <c r="C1905" s="4" t="str">
        <f t="shared" si="162"/>
        <v>Yên Bái</v>
      </c>
      <c r="D1905" s="3" t="s">
        <v>178</v>
      </c>
      <c r="E1905" s="4" t="str">
        <f t="shared" si="161"/>
        <v>Huyện Văn Chấn</v>
      </c>
      <c r="F1905" s="3" t="s">
        <v>2669</v>
      </c>
      <c r="G1905" s="4" t="str">
        <f>HYPERLINK("https://diaocthongthai.com/xa-nam-lanh-van-chan/","Xã Nậm Lành")</f>
        <v>Xã Nậm Lành</v>
      </c>
    </row>
    <row r="1906" spans="1:7" x14ac:dyDescent="0.25">
      <c r="A1906" s="2">
        <v>1905</v>
      </c>
      <c r="B1906" s="3" t="s">
        <v>12</v>
      </c>
      <c r="C1906" s="4" t="str">
        <f t="shared" si="162"/>
        <v>Yên Bái</v>
      </c>
      <c r="D1906" s="3" t="s">
        <v>178</v>
      </c>
      <c r="E1906" s="4" t="str">
        <f t="shared" si="161"/>
        <v>Huyện Văn Chấn</v>
      </c>
      <c r="F1906" s="3" t="s">
        <v>2670</v>
      </c>
      <c r="G1906" s="4" t="str">
        <f>HYPERLINK("https://diaocthongthai.com/xa-son-luong-van-chan/","Xã Sơn Lương")</f>
        <v>Xã Sơn Lương</v>
      </c>
    </row>
    <row r="1907" spans="1:7" x14ac:dyDescent="0.25">
      <c r="A1907" s="2">
        <v>1906</v>
      </c>
      <c r="B1907" s="3" t="s">
        <v>12</v>
      </c>
      <c r="C1907" s="4" t="str">
        <f t="shared" si="162"/>
        <v>Yên Bái</v>
      </c>
      <c r="D1907" s="3" t="s">
        <v>178</v>
      </c>
      <c r="E1907" s="4" t="str">
        <f t="shared" si="161"/>
        <v>Huyện Văn Chấn</v>
      </c>
      <c r="F1907" s="3" t="s">
        <v>2671</v>
      </c>
      <c r="G1907" s="4" t="str">
        <f>HYPERLINK("https://diaocthongthai.com/xa-suoi-quyen-van-chan/","Xã Suối Quyền")</f>
        <v>Xã Suối Quyền</v>
      </c>
    </row>
    <row r="1908" spans="1:7" x14ac:dyDescent="0.25">
      <c r="A1908" s="2">
        <v>1907</v>
      </c>
      <c r="B1908" s="3" t="s">
        <v>12</v>
      </c>
      <c r="C1908" s="4" t="str">
        <f t="shared" si="162"/>
        <v>Yên Bái</v>
      </c>
      <c r="D1908" s="3" t="s">
        <v>178</v>
      </c>
      <c r="E1908" s="4" t="str">
        <f t="shared" si="161"/>
        <v>Huyện Văn Chấn</v>
      </c>
      <c r="F1908" s="3" t="s">
        <v>2672</v>
      </c>
      <c r="G1908" s="4" t="str">
        <f>HYPERLINK("https://diaocthongthai.com/xa-suoi-giang-van-chan/","Xã Suối Giàng")</f>
        <v>Xã Suối Giàng</v>
      </c>
    </row>
    <row r="1909" spans="1:7" x14ac:dyDescent="0.25">
      <c r="A1909" s="2">
        <v>1908</v>
      </c>
      <c r="B1909" s="3" t="s">
        <v>12</v>
      </c>
      <c r="C1909" s="4" t="str">
        <f t="shared" si="162"/>
        <v>Yên Bái</v>
      </c>
      <c r="D1909" s="3" t="s">
        <v>178</v>
      </c>
      <c r="E1909" s="4" t="str">
        <f t="shared" si="161"/>
        <v>Huyện Văn Chấn</v>
      </c>
      <c r="F1909" s="3" t="s">
        <v>2673</v>
      </c>
      <c r="G1909" s="4" t="str">
        <f>HYPERLINK("https://diaocthongthai.com/xa-nghia-son-van-chan/","Xã Nghĩa Sơn")</f>
        <v>Xã Nghĩa Sơn</v>
      </c>
    </row>
    <row r="1910" spans="1:7" x14ac:dyDescent="0.25">
      <c r="A1910" s="2">
        <v>1909</v>
      </c>
      <c r="B1910" s="3" t="s">
        <v>12</v>
      </c>
      <c r="C1910" s="4" t="str">
        <f t="shared" si="162"/>
        <v>Yên Bái</v>
      </c>
      <c r="D1910" s="3" t="s">
        <v>178</v>
      </c>
      <c r="E1910" s="4" t="str">
        <f t="shared" si="161"/>
        <v>Huyện Văn Chấn</v>
      </c>
      <c r="F1910" s="3" t="s">
        <v>2674</v>
      </c>
      <c r="G1910" s="4" t="str">
        <f>HYPERLINK("https://diaocthongthai.com/xa-suoi-bu-van-chan/","Xã Suối Bu")</f>
        <v>Xã Suối Bu</v>
      </c>
    </row>
    <row r="1911" spans="1:7" x14ac:dyDescent="0.25">
      <c r="A1911" s="2">
        <v>1910</v>
      </c>
      <c r="B1911" s="3" t="s">
        <v>12</v>
      </c>
      <c r="C1911" s="4" t="str">
        <f t="shared" si="162"/>
        <v>Yên Bái</v>
      </c>
      <c r="D1911" s="3" t="s">
        <v>178</v>
      </c>
      <c r="E1911" s="4" t="str">
        <f t="shared" si="161"/>
        <v>Huyện Văn Chấn</v>
      </c>
      <c r="F1911" s="3" t="s">
        <v>2675</v>
      </c>
      <c r="G1911" s="4" t="str">
        <f>HYPERLINK("https://diaocthongthai.com/thi-tran-son-thinh-van-chan/","Thị trấn Sơn Thịnh")</f>
        <v>Thị trấn Sơn Thịnh</v>
      </c>
    </row>
    <row r="1912" spans="1:7" x14ac:dyDescent="0.25">
      <c r="A1912" s="2">
        <v>1911</v>
      </c>
      <c r="B1912" s="3" t="s">
        <v>12</v>
      </c>
      <c r="C1912" s="4" t="str">
        <f t="shared" si="162"/>
        <v>Yên Bái</v>
      </c>
      <c r="D1912" s="3" t="s">
        <v>178</v>
      </c>
      <c r="E1912" s="4" t="str">
        <f t="shared" si="161"/>
        <v>Huyện Văn Chấn</v>
      </c>
      <c r="F1912" s="3" t="s">
        <v>2676</v>
      </c>
      <c r="G1912" s="4" t="str">
        <f>HYPERLINK("https://diaocthongthai.com/xa-dai-lich-van-chan/","Xã Đại Lịch")</f>
        <v>Xã Đại Lịch</v>
      </c>
    </row>
    <row r="1913" spans="1:7" x14ac:dyDescent="0.25">
      <c r="A1913" s="2">
        <v>1912</v>
      </c>
      <c r="B1913" s="3" t="s">
        <v>12</v>
      </c>
      <c r="C1913" s="4" t="str">
        <f t="shared" si="162"/>
        <v>Yên Bái</v>
      </c>
      <c r="D1913" s="3" t="s">
        <v>178</v>
      </c>
      <c r="E1913" s="4" t="str">
        <f t="shared" si="161"/>
        <v>Huyện Văn Chấn</v>
      </c>
      <c r="F1913" s="3" t="s">
        <v>2677</v>
      </c>
      <c r="G1913" s="4" t="str">
        <f>HYPERLINK("https://diaocthongthai.com/xa-dong-khe-van-chan/","Xã Đồng Khê")</f>
        <v>Xã Đồng Khê</v>
      </c>
    </row>
    <row r="1914" spans="1:7" x14ac:dyDescent="0.25">
      <c r="A1914" s="2">
        <v>1913</v>
      </c>
      <c r="B1914" s="3" t="s">
        <v>12</v>
      </c>
      <c r="C1914" s="4" t="str">
        <f t="shared" si="162"/>
        <v>Yên Bái</v>
      </c>
      <c r="D1914" s="3" t="s">
        <v>178</v>
      </c>
      <c r="E1914" s="4" t="str">
        <f t="shared" si="161"/>
        <v>Huyện Văn Chấn</v>
      </c>
      <c r="F1914" s="3" t="s">
        <v>2678</v>
      </c>
      <c r="G1914" s="4" t="str">
        <f>HYPERLINK("https://diaocthongthai.com/xa-cat-thinh-van-chan/","Xã Cát Thịnh")</f>
        <v>Xã Cát Thịnh</v>
      </c>
    </row>
    <row r="1915" spans="1:7" x14ac:dyDescent="0.25">
      <c r="A1915" s="2">
        <v>1914</v>
      </c>
      <c r="B1915" s="3" t="s">
        <v>12</v>
      </c>
      <c r="C1915" s="4" t="str">
        <f t="shared" si="162"/>
        <v>Yên Bái</v>
      </c>
      <c r="D1915" s="3" t="s">
        <v>178</v>
      </c>
      <c r="E1915" s="4" t="str">
        <f t="shared" si="161"/>
        <v>Huyện Văn Chấn</v>
      </c>
      <c r="F1915" s="3" t="s">
        <v>2679</v>
      </c>
      <c r="G1915" s="4" t="str">
        <f>HYPERLINK("https://diaocthongthai.com/xa-tan-thinh-van-chan/","Xã Tân Thịnh")</f>
        <v>Xã Tân Thịnh</v>
      </c>
    </row>
    <row r="1916" spans="1:7" x14ac:dyDescent="0.25">
      <c r="A1916" s="2">
        <v>1915</v>
      </c>
      <c r="B1916" s="3" t="s">
        <v>12</v>
      </c>
      <c r="C1916" s="4" t="str">
        <f t="shared" si="162"/>
        <v>Yên Bái</v>
      </c>
      <c r="D1916" s="3" t="s">
        <v>178</v>
      </c>
      <c r="E1916" s="4" t="str">
        <f t="shared" si="161"/>
        <v>Huyện Văn Chấn</v>
      </c>
      <c r="F1916" s="3" t="s">
        <v>2680</v>
      </c>
      <c r="G1916" s="4" t="str">
        <f>HYPERLINK("https://diaocthongthai.com/xa-chan-thinh-van-chan/","Xã Chấn Thịnh")</f>
        <v>Xã Chấn Thịnh</v>
      </c>
    </row>
    <row r="1917" spans="1:7" x14ac:dyDescent="0.25">
      <c r="A1917" s="2">
        <v>1916</v>
      </c>
      <c r="B1917" s="3" t="s">
        <v>12</v>
      </c>
      <c r="C1917" s="4" t="str">
        <f t="shared" si="162"/>
        <v>Yên Bái</v>
      </c>
      <c r="D1917" s="3" t="s">
        <v>178</v>
      </c>
      <c r="E1917" s="4" t="str">
        <f t="shared" si="161"/>
        <v>Huyện Văn Chấn</v>
      </c>
      <c r="F1917" s="3" t="s">
        <v>2681</v>
      </c>
      <c r="G1917" s="4" t="str">
        <f>HYPERLINK("https://diaocthongthai.com/xa-binh-thuan-van-chan/","Xã Bình Thuận")</f>
        <v>Xã Bình Thuận</v>
      </c>
    </row>
    <row r="1918" spans="1:7" x14ac:dyDescent="0.25">
      <c r="A1918" s="2">
        <v>1917</v>
      </c>
      <c r="B1918" s="3" t="s">
        <v>12</v>
      </c>
      <c r="C1918" s="4" t="str">
        <f t="shared" si="162"/>
        <v>Yên Bái</v>
      </c>
      <c r="D1918" s="3" t="s">
        <v>178</v>
      </c>
      <c r="E1918" s="4" t="str">
        <f t="shared" si="161"/>
        <v>Huyện Văn Chấn</v>
      </c>
      <c r="F1918" s="3" t="s">
        <v>2682</v>
      </c>
      <c r="G1918" s="4" t="str">
        <f>HYPERLINK("https://diaocthongthai.com/xa-thuong-bang-la-van-chan/","Xã Thượng Bằng La")</f>
        <v>Xã Thượng Bằng La</v>
      </c>
    </row>
    <row r="1919" spans="1:7" x14ac:dyDescent="0.25">
      <c r="A1919" s="2">
        <v>1918</v>
      </c>
      <c r="B1919" s="3" t="s">
        <v>12</v>
      </c>
      <c r="C1919" s="4" t="str">
        <f t="shared" si="162"/>
        <v>Yên Bái</v>
      </c>
      <c r="D1919" s="3" t="s">
        <v>178</v>
      </c>
      <c r="E1919" s="4" t="str">
        <f t="shared" si="161"/>
        <v>Huyện Văn Chấn</v>
      </c>
      <c r="F1919" s="3" t="s">
        <v>2683</v>
      </c>
      <c r="G1919" s="4" t="str">
        <f>HYPERLINK("https://diaocthongthai.com/xa-minh-an-van-chan/","Xã Minh An")</f>
        <v>Xã Minh An</v>
      </c>
    </row>
    <row r="1920" spans="1:7" x14ac:dyDescent="0.25">
      <c r="A1920" s="2">
        <v>1919</v>
      </c>
      <c r="B1920" s="3" t="s">
        <v>12</v>
      </c>
      <c r="C1920" s="4" t="str">
        <f t="shared" si="162"/>
        <v>Yên Bái</v>
      </c>
      <c r="D1920" s="3" t="s">
        <v>178</v>
      </c>
      <c r="E1920" s="4" t="str">
        <f t="shared" si="161"/>
        <v>Huyện Văn Chấn</v>
      </c>
      <c r="F1920" s="3" t="s">
        <v>2684</v>
      </c>
      <c r="G1920" s="4" t="str">
        <f>HYPERLINK("https://diaocthongthai.com/xa-nghia-tam-van-chan/","Xã Nghĩa Tâm")</f>
        <v>Xã Nghĩa Tâm</v>
      </c>
    </row>
    <row r="1921" spans="1:7" x14ac:dyDescent="0.25">
      <c r="A1921" s="2">
        <v>1920</v>
      </c>
      <c r="B1921" s="3" t="s">
        <v>12</v>
      </c>
      <c r="C1921" s="4" t="str">
        <f t="shared" si="162"/>
        <v>Yên Bái</v>
      </c>
      <c r="D1921" s="3" t="s">
        <v>179</v>
      </c>
      <c r="E1921" s="4" t="str">
        <f t="shared" ref="E1921:E1944" si="163">HYPERLINK("https://diaocthongthai.com/ban-do-huyen-yen-binh-yen-bai/","Huyện Yên Bình")</f>
        <v>Huyện Yên Bình</v>
      </c>
      <c r="F1921" s="3" t="s">
        <v>2685</v>
      </c>
      <c r="G1921" s="4" t="str">
        <f>HYPERLINK("https://diaocthongthai.com/thi-tran-yen-binh-yen-binh/","Thị trấn Yên Bình")</f>
        <v>Thị trấn Yên Bình</v>
      </c>
    </row>
    <row r="1922" spans="1:7" x14ac:dyDescent="0.25">
      <c r="A1922" s="2">
        <v>1921</v>
      </c>
      <c r="B1922" s="3" t="s">
        <v>12</v>
      </c>
      <c r="C1922" s="4" t="str">
        <f t="shared" si="162"/>
        <v>Yên Bái</v>
      </c>
      <c r="D1922" s="3" t="s">
        <v>179</v>
      </c>
      <c r="E1922" s="4" t="str">
        <f t="shared" si="163"/>
        <v>Huyện Yên Bình</v>
      </c>
      <c r="F1922" s="3" t="s">
        <v>2686</v>
      </c>
      <c r="G1922" s="4" t="str">
        <f>HYPERLINK("https://diaocthongthai.com/thi-tran-thac-ba-yen-binh/","Thị trấn Thác Bà")</f>
        <v>Thị trấn Thác Bà</v>
      </c>
    </row>
    <row r="1923" spans="1:7" x14ac:dyDescent="0.25">
      <c r="A1923" s="2">
        <v>1922</v>
      </c>
      <c r="B1923" s="3" t="s">
        <v>12</v>
      </c>
      <c r="C1923" s="4" t="str">
        <f t="shared" si="162"/>
        <v>Yên Bái</v>
      </c>
      <c r="D1923" s="3" t="s">
        <v>179</v>
      </c>
      <c r="E1923" s="4" t="str">
        <f t="shared" si="163"/>
        <v>Huyện Yên Bình</v>
      </c>
      <c r="F1923" s="3" t="s">
        <v>2687</v>
      </c>
      <c r="G1923" s="4" t="str">
        <f>HYPERLINK("https://diaocthongthai.com/xa-xuan-long-yen-binh/","Xã Xuân Long")</f>
        <v>Xã Xuân Long</v>
      </c>
    </row>
    <row r="1924" spans="1:7" x14ac:dyDescent="0.25">
      <c r="A1924" s="2">
        <v>1923</v>
      </c>
      <c r="B1924" s="3" t="s">
        <v>12</v>
      </c>
      <c r="C1924" s="4" t="str">
        <f t="shared" si="162"/>
        <v>Yên Bái</v>
      </c>
      <c r="D1924" s="3" t="s">
        <v>179</v>
      </c>
      <c r="E1924" s="4" t="str">
        <f t="shared" si="163"/>
        <v>Huyện Yên Bình</v>
      </c>
      <c r="F1924" s="3" t="s">
        <v>2688</v>
      </c>
      <c r="G1924" s="4" t="str">
        <f>HYPERLINK("https://diaocthongthai.com/xa-cam-nhan-yen-binh/","Xã Cảm Nhân")</f>
        <v>Xã Cảm Nhân</v>
      </c>
    </row>
    <row r="1925" spans="1:7" x14ac:dyDescent="0.25">
      <c r="A1925" s="2">
        <v>1924</v>
      </c>
      <c r="B1925" s="3" t="s">
        <v>12</v>
      </c>
      <c r="C1925" s="4" t="str">
        <f t="shared" si="162"/>
        <v>Yên Bái</v>
      </c>
      <c r="D1925" s="3" t="s">
        <v>179</v>
      </c>
      <c r="E1925" s="4" t="str">
        <f t="shared" si="163"/>
        <v>Huyện Yên Bình</v>
      </c>
      <c r="F1925" s="3" t="s">
        <v>2689</v>
      </c>
      <c r="G1925" s="4" t="str">
        <f>HYPERLINK("https://diaocthongthai.com/xa-ngoc-chan-yen-binh/","Xã Ngọc Chấn")</f>
        <v>Xã Ngọc Chấn</v>
      </c>
    </row>
    <row r="1926" spans="1:7" x14ac:dyDescent="0.25">
      <c r="A1926" s="2">
        <v>1925</v>
      </c>
      <c r="B1926" s="3" t="s">
        <v>12</v>
      </c>
      <c r="C1926" s="4" t="str">
        <f t="shared" si="162"/>
        <v>Yên Bái</v>
      </c>
      <c r="D1926" s="3" t="s">
        <v>179</v>
      </c>
      <c r="E1926" s="4" t="str">
        <f t="shared" si="163"/>
        <v>Huyện Yên Bình</v>
      </c>
      <c r="F1926" s="3" t="s">
        <v>2690</v>
      </c>
      <c r="G1926" s="4" t="str">
        <f>HYPERLINK("https://diaocthongthai.com/xa-tan-nguyen-yen-binh/","Xã Tân Nguyên")</f>
        <v>Xã Tân Nguyên</v>
      </c>
    </row>
    <row r="1927" spans="1:7" x14ac:dyDescent="0.25">
      <c r="A1927" s="2">
        <v>1926</v>
      </c>
      <c r="B1927" s="3" t="s">
        <v>12</v>
      </c>
      <c r="C1927" s="4" t="str">
        <f t="shared" si="162"/>
        <v>Yên Bái</v>
      </c>
      <c r="D1927" s="3" t="s">
        <v>179</v>
      </c>
      <c r="E1927" s="4" t="str">
        <f t="shared" si="163"/>
        <v>Huyện Yên Bình</v>
      </c>
      <c r="F1927" s="3" t="s">
        <v>2691</v>
      </c>
      <c r="G1927" s="4" t="str">
        <f>HYPERLINK("https://diaocthongthai.com/xa-phuc-ninh-yen-binh/","Xã Phúc Ninh")</f>
        <v>Xã Phúc Ninh</v>
      </c>
    </row>
    <row r="1928" spans="1:7" x14ac:dyDescent="0.25">
      <c r="A1928" s="2">
        <v>1927</v>
      </c>
      <c r="B1928" s="3" t="s">
        <v>12</v>
      </c>
      <c r="C1928" s="4" t="str">
        <f t="shared" si="162"/>
        <v>Yên Bái</v>
      </c>
      <c r="D1928" s="3" t="s">
        <v>179</v>
      </c>
      <c r="E1928" s="4" t="str">
        <f t="shared" si="163"/>
        <v>Huyện Yên Bình</v>
      </c>
      <c r="F1928" s="3" t="s">
        <v>2692</v>
      </c>
      <c r="G1928" s="4" t="str">
        <f>HYPERLINK("https://diaocthongthai.com/xa-bao-ai-yen-binh/","Xã Bảo Ái")</f>
        <v>Xã Bảo Ái</v>
      </c>
    </row>
    <row r="1929" spans="1:7" x14ac:dyDescent="0.25">
      <c r="A1929" s="2">
        <v>1928</v>
      </c>
      <c r="B1929" s="3" t="s">
        <v>12</v>
      </c>
      <c r="C1929" s="4" t="str">
        <f t="shared" si="162"/>
        <v>Yên Bái</v>
      </c>
      <c r="D1929" s="3" t="s">
        <v>179</v>
      </c>
      <c r="E1929" s="4" t="str">
        <f t="shared" si="163"/>
        <v>Huyện Yên Bình</v>
      </c>
      <c r="F1929" s="3" t="s">
        <v>2693</v>
      </c>
      <c r="G1929" s="4" t="str">
        <f>HYPERLINK("https://diaocthongthai.com/xa-my-gia-yen-binh/","Xã Mỹ Gia")</f>
        <v>Xã Mỹ Gia</v>
      </c>
    </row>
    <row r="1930" spans="1:7" x14ac:dyDescent="0.25">
      <c r="A1930" s="2">
        <v>1929</v>
      </c>
      <c r="B1930" s="3" t="s">
        <v>12</v>
      </c>
      <c r="C1930" s="4" t="str">
        <f t="shared" si="162"/>
        <v>Yên Bái</v>
      </c>
      <c r="D1930" s="3" t="s">
        <v>179</v>
      </c>
      <c r="E1930" s="4" t="str">
        <f t="shared" si="163"/>
        <v>Huyện Yên Bình</v>
      </c>
      <c r="F1930" s="3" t="s">
        <v>2694</v>
      </c>
      <c r="G1930" s="4" t="str">
        <f>HYPERLINK("https://diaocthongthai.com/xa-xuan-lai-yen-binh/","Xã Xuân Lai")</f>
        <v>Xã Xuân Lai</v>
      </c>
    </row>
    <row r="1931" spans="1:7" x14ac:dyDescent="0.25">
      <c r="A1931" s="2">
        <v>1930</v>
      </c>
      <c r="B1931" s="3" t="s">
        <v>12</v>
      </c>
      <c r="C1931" s="4" t="str">
        <f t="shared" si="162"/>
        <v>Yên Bái</v>
      </c>
      <c r="D1931" s="3" t="s">
        <v>179</v>
      </c>
      <c r="E1931" s="4" t="str">
        <f t="shared" si="163"/>
        <v>Huyện Yên Bình</v>
      </c>
      <c r="F1931" s="3" t="s">
        <v>2695</v>
      </c>
      <c r="G1931" s="4" t="str">
        <f>HYPERLINK("https://diaocthongthai.com/xa-mong-son-yen-binh/","Xã Mông Sơn")</f>
        <v>Xã Mông Sơn</v>
      </c>
    </row>
    <row r="1932" spans="1:7" x14ac:dyDescent="0.25">
      <c r="A1932" s="2">
        <v>1931</v>
      </c>
      <c r="B1932" s="3" t="s">
        <v>12</v>
      </c>
      <c r="C1932" s="4" t="str">
        <f t="shared" ref="C1932:C1944" si="164">HYPERLINK("https://diaocthongthai.com/ban-do-yen-bai/","Yên Bái")</f>
        <v>Yên Bái</v>
      </c>
      <c r="D1932" s="3" t="s">
        <v>179</v>
      </c>
      <c r="E1932" s="4" t="str">
        <f t="shared" si="163"/>
        <v>Huyện Yên Bình</v>
      </c>
      <c r="F1932" s="3" t="s">
        <v>2696</v>
      </c>
      <c r="G1932" s="4" t="str">
        <f>HYPERLINK("https://diaocthongthai.com/xa-cam-an-yen-binh/","Xã Cảm Ân")</f>
        <v>Xã Cảm Ân</v>
      </c>
    </row>
    <row r="1933" spans="1:7" x14ac:dyDescent="0.25">
      <c r="A1933" s="2">
        <v>1932</v>
      </c>
      <c r="B1933" s="3" t="s">
        <v>12</v>
      </c>
      <c r="C1933" s="4" t="str">
        <f t="shared" si="164"/>
        <v>Yên Bái</v>
      </c>
      <c r="D1933" s="3" t="s">
        <v>179</v>
      </c>
      <c r="E1933" s="4" t="str">
        <f t="shared" si="163"/>
        <v>Huyện Yên Bình</v>
      </c>
      <c r="F1933" s="3" t="s">
        <v>2697</v>
      </c>
      <c r="G1933" s="4" t="str">
        <f>HYPERLINK("https://diaocthongthai.com/xa-yen-thanh-yen-binh/","Xã Yên Thành")</f>
        <v>Xã Yên Thành</v>
      </c>
    </row>
    <row r="1934" spans="1:7" x14ac:dyDescent="0.25">
      <c r="A1934" s="2">
        <v>1933</v>
      </c>
      <c r="B1934" s="3" t="s">
        <v>12</v>
      </c>
      <c r="C1934" s="4" t="str">
        <f t="shared" si="164"/>
        <v>Yên Bái</v>
      </c>
      <c r="D1934" s="3" t="s">
        <v>179</v>
      </c>
      <c r="E1934" s="4" t="str">
        <f t="shared" si="163"/>
        <v>Huyện Yên Bình</v>
      </c>
      <c r="F1934" s="3" t="s">
        <v>2698</v>
      </c>
      <c r="G1934" s="4" t="str">
        <f>HYPERLINK("https://diaocthongthai.com/xa-tan-huong-yen-binh/","Xã Tân Hương")</f>
        <v>Xã Tân Hương</v>
      </c>
    </row>
    <row r="1935" spans="1:7" x14ac:dyDescent="0.25">
      <c r="A1935" s="2">
        <v>1934</v>
      </c>
      <c r="B1935" s="3" t="s">
        <v>12</v>
      </c>
      <c r="C1935" s="4" t="str">
        <f t="shared" si="164"/>
        <v>Yên Bái</v>
      </c>
      <c r="D1935" s="3" t="s">
        <v>179</v>
      </c>
      <c r="E1935" s="4" t="str">
        <f t="shared" si="163"/>
        <v>Huyện Yên Bình</v>
      </c>
      <c r="F1935" s="3" t="s">
        <v>2699</v>
      </c>
      <c r="G1935" s="4" t="str">
        <f>HYPERLINK("https://diaocthongthai.com/xa-phuc-an-yen-binh/","Xã Phúc An")</f>
        <v>Xã Phúc An</v>
      </c>
    </row>
    <row r="1936" spans="1:7" x14ac:dyDescent="0.25">
      <c r="A1936" s="2">
        <v>1935</v>
      </c>
      <c r="B1936" s="3" t="s">
        <v>12</v>
      </c>
      <c r="C1936" s="4" t="str">
        <f t="shared" si="164"/>
        <v>Yên Bái</v>
      </c>
      <c r="D1936" s="3" t="s">
        <v>179</v>
      </c>
      <c r="E1936" s="4" t="str">
        <f t="shared" si="163"/>
        <v>Huyện Yên Bình</v>
      </c>
      <c r="F1936" s="3" t="s">
        <v>2700</v>
      </c>
      <c r="G1936" s="4" t="str">
        <f>HYPERLINK("https://diaocthongthai.com/xa-bach-ha-yen-binh/","Xã Bạch Hà")</f>
        <v>Xã Bạch Hà</v>
      </c>
    </row>
    <row r="1937" spans="1:7" x14ac:dyDescent="0.25">
      <c r="A1937" s="2">
        <v>1936</v>
      </c>
      <c r="B1937" s="3" t="s">
        <v>12</v>
      </c>
      <c r="C1937" s="4" t="str">
        <f t="shared" si="164"/>
        <v>Yên Bái</v>
      </c>
      <c r="D1937" s="3" t="s">
        <v>179</v>
      </c>
      <c r="E1937" s="4" t="str">
        <f t="shared" si="163"/>
        <v>Huyện Yên Bình</v>
      </c>
      <c r="F1937" s="3" t="s">
        <v>2701</v>
      </c>
      <c r="G1937" s="4" t="str">
        <f>HYPERLINK("https://diaocthongthai.com/xa-vu-linh-yen-binh/","Xã Vũ Linh")</f>
        <v>Xã Vũ Linh</v>
      </c>
    </row>
    <row r="1938" spans="1:7" x14ac:dyDescent="0.25">
      <c r="A1938" s="2">
        <v>1937</v>
      </c>
      <c r="B1938" s="3" t="s">
        <v>12</v>
      </c>
      <c r="C1938" s="4" t="str">
        <f t="shared" si="164"/>
        <v>Yên Bái</v>
      </c>
      <c r="D1938" s="3" t="s">
        <v>179</v>
      </c>
      <c r="E1938" s="4" t="str">
        <f t="shared" si="163"/>
        <v>Huyện Yên Bình</v>
      </c>
      <c r="F1938" s="3" t="s">
        <v>2702</v>
      </c>
      <c r="G1938" s="4" t="str">
        <f>HYPERLINK("https://diaocthongthai.com/xa-dai-dong-yen-binh/","Xã Đại Đồng")</f>
        <v>Xã Đại Đồng</v>
      </c>
    </row>
    <row r="1939" spans="1:7" x14ac:dyDescent="0.25">
      <c r="A1939" s="2">
        <v>1938</v>
      </c>
      <c r="B1939" s="3" t="s">
        <v>12</v>
      </c>
      <c r="C1939" s="4" t="str">
        <f t="shared" si="164"/>
        <v>Yên Bái</v>
      </c>
      <c r="D1939" s="3" t="s">
        <v>179</v>
      </c>
      <c r="E1939" s="4" t="str">
        <f t="shared" si="163"/>
        <v>Huyện Yên Bình</v>
      </c>
      <c r="F1939" s="3" t="s">
        <v>2703</v>
      </c>
      <c r="G1939" s="4" t="str">
        <f>HYPERLINK("https://diaocthongthai.com/xa-vinh-kien-yen-binh/","Xã Vĩnh Kiên")</f>
        <v>Xã Vĩnh Kiên</v>
      </c>
    </row>
    <row r="1940" spans="1:7" x14ac:dyDescent="0.25">
      <c r="A1940" s="2">
        <v>1939</v>
      </c>
      <c r="B1940" s="3" t="s">
        <v>12</v>
      </c>
      <c r="C1940" s="4" t="str">
        <f t="shared" si="164"/>
        <v>Yên Bái</v>
      </c>
      <c r="D1940" s="3" t="s">
        <v>179</v>
      </c>
      <c r="E1940" s="4" t="str">
        <f t="shared" si="163"/>
        <v>Huyện Yên Bình</v>
      </c>
      <c r="F1940" s="3" t="s">
        <v>2704</v>
      </c>
      <c r="G1940" s="4" t="str">
        <f>HYPERLINK("https://diaocthongthai.com/xa-yen-binh-yen-binh/","Xã Yên Bình")</f>
        <v>Xã Yên Bình</v>
      </c>
    </row>
    <row r="1941" spans="1:7" x14ac:dyDescent="0.25">
      <c r="A1941" s="2">
        <v>1940</v>
      </c>
      <c r="B1941" s="3" t="s">
        <v>12</v>
      </c>
      <c r="C1941" s="4" t="str">
        <f t="shared" si="164"/>
        <v>Yên Bái</v>
      </c>
      <c r="D1941" s="3" t="s">
        <v>179</v>
      </c>
      <c r="E1941" s="4" t="str">
        <f t="shared" si="163"/>
        <v>Huyện Yên Bình</v>
      </c>
      <c r="F1941" s="3" t="s">
        <v>2705</v>
      </c>
      <c r="G1941" s="4" t="str">
        <f>HYPERLINK("https://diaocthongthai.com/xa-thinh-hung-yen-binh/","Xã Thịnh Hưng")</f>
        <v>Xã Thịnh Hưng</v>
      </c>
    </row>
    <row r="1942" spans="1:7" x14ac:dyDescent="0.25">
      <c r="A1942" s="2">
        <v>1941</v>
      </c>
      <c r="B1942" s="3" t="s">
        <v>12</v>
      </c>
      <c r="C1942" s="4" t="str">
        <f t="shared" si="164"/>
        <v>Yên Bái</v>
      </c>
      <c r="D1942" s="3" t="s">
        <v>179</v>
      </c>
      <c r="E1942" s="4" t="str">
        <f t="shared" si="163"/>
        <v>Huyện Yên Bình</v>
      </c>
      <c r="F1942" s="3" t="s">
        <v>2706</v>
      </c>
      <c r="G1942" s="4" t="str">
        <f>HYPERLINK("https://diaocthongthai.com/xa-han-da-yen-binh/","Xã Hán Đà")</f>
        <v>Xã Hán Đà</v>
      </c>
    </row>
    <row r="1943" spans="1:7" x14ac:dyDescent="0.25">
      <c r="A1943" s="2">
        <v>1942</v>
      </c>
      <c r="B1943" s="3" t="s">
        <v>12</v>
      </c>
      <c r="C1943" s="4" t="str">
        <f t="shared" si="164"/>
        <v>Yên Bái</v>
      </c>
      <c r="D1943" s="3" t="s">
        <v>179</v>
      </c>
      <c r="E1943" s="4" t="str">
        <f t="shared" si="163"/>
        <v>Huyện Yên Bình</v>
      </c>
      <c r="F1943" s="3" t="s">
        <v>2707</v>
      </c>
      <c r="G1943" s="4" t="str">
        <f>HYPERLINK("https://diaocthongthai.com/xa-phu-thinh-yen-binh/","Xã Phú Thịnh")</f>
        <v>Xã Phú Thịnh</v>
      </c>
    </row>
    <row r="1944" spans="1:7" x14ac:dyDescent="0.25">
      <c r="A1944" s="2">
        <v>1943</v>
      </c>
      <c r="B1944" s="3" t="s">
        <v>12</v>
      </c>
      <c r="C1944" s="4" t="str">
        <f t="shared" si="164"/>
        <v>Yên Bái</v>
      </c>
      <c r="D1944" s="3" t="s">
        <v>179</v>
      </c>
      <c r="E1944" s="4" t="str">
        <f t="shared" si="163"/>
        <v>Huyện Yên Bình</v>
      </c>
      <c r="F1944" s="3" t="s">
        <v>2708</v>
      </c>
      <c r="G1944" s="4" t="str">
        <f>HYPERLINK("https://diaocthongthai.com/xa-dai-minh-yen-binh/","Xã Đại Minh")</f>
        <v>Xã Đại Minh</v>
      </c>
    </row>
    <row r="1945" spans="1:7" x14ac:dyDescent="0.25">
      <c r="A1945" s="2">
        <v>1944</v>
      </c>
      <c r="B1945" s="3" t="s">
        <v>13</v>
      </c>
      <c r="C1945" s="4" t="str">
        <f t="shared" ref="C1945:C1976" si="165">HYPERLINK("https://diaocthongthai.com/ban-do-hoa-binh/","Hòa Bình")</f>
        <v>Hòa Bình</v>
      </c>
      <c r="D1945" s="3" t="s">
        <v>180</v>
      </c>
      <c r="E1945" s="4" t="str">
        <f t="shared" ref="E1945:E1963" si="166">HYPERLINK("https://diaocthongthai.com/ban-do-tp-hoa-binh-hoa-binh/","Thành phố Hòa Bình")</f>
        <v>Thành phố Hòa Bình</v>
      </c>
      <c r="F1945" s="3" t="s">
        <v>2709</v>
      </c>
      <c r="G1945" s="4" t="str">
        <f>HYPERLINK("https://diaocthongthai.com/phuong-thai-binh-tp-hoa-binh/","Phường Thái Bình")</f>
        <v>Phường Thái Bình</v>
      </c>
    </row>
    <row r="1946" spans="1:7" x14ac:dyDescent="0.25">
      <c r="A1946" s="2">
        <v>1945</v>
      </c>
      <c r="B1946" s="3" t="s">
        <v>13</v>
      </c>
      <c r="C1946" s="4" t="str">
        <f t="shared" si="165"/>
        <v>Hòa Bình</v>
      </c>
      <c r="D1946" s="3" t="s">
        <v>180</v>
      </c>
      <c r="E1946" s="4" t="str">
        <f t="shared" si="166"/>
        <v>Thành phố Hòa Bình</v>
      </c>
      <c r="F1946" s="3" t="s">
        <v>2710</v>
      </c>
      <c r="G1946" s="4" t="str">
        <f>HYPERLINK("https://diaocthongthai.com/phuong-tan-hoa-tp-hoa-binh/","Phường Tân Hòa")</f>
        <v>Phường Tân Hòa</v>
      </c>
    </row>
    <row r="1947" spans="1:7" x14ac:dyDescent="0.25">
      <c r="A1947" s="2">
        <v>1946</v>
      </c>
      <c r="B1947" s="3" t="s">
        <v>13</v>
      </c>
      <c r="C1947" s="4" t="str">
        <f t="shared" si="165"/>
        <v>Hòa Bình</v>
      </c>
      <c r="D1947" s="3" t="s">
        <v>180</v>
      </c>
      <c r="E1947" s="4" t="str">
        <f t="shared" si="166"/>
        <v>Thành phố Hòa Bình</v>
      </c>
      <c r="F1947" s="3" t="s">
        <v>2711</v>
      </c>
      <c r="G1947" s="4" t="str">
        <f>HYPERLINK("https://diaocthongthai.com/phuong-thinh-lang-tp-hoa-binh/","Phường Thịnh Lang")</f>
        <v>Phường Thịnh Lang</v>
      </c>
    </row>
    <row r="1948" spans="1:7" x14ac:dyDescent="0.25">
      <c r="A1948" s="2">
        <v>1947</v>
      </c>
      <c r="B1948" s="3" t="s">
        <v>13</v>
      </c>
      <c r="C1948" s="4" t="str">
        <f t="shared" si="165"/>
        <v>Hòa Bình</v>
      </c>
      <c r="D1948" s="3" t="s">
        <v>180</v>
      </c>
      <c r="E1948" s="4" t="str">
        <f t="shared" si="166"/>
        <v>Thành phố Hòa Bình</v>
      </c>
      <c r="F1948" s="3" t="s">
        <v>2712</v>
      </c>
      <c r="G1948" s="4" t="str">
        <f>HYPERLINK("https://diaocthongthai.com/phuong-huu-nghi-tp-hoa-binh/","Phường Hữu Nghị")</f>
        <v>Phường Hữu Nghị</v>
      </c>
    </row>
    <row r="1949" spans="1:7" x14ac:dyDescent="0.25">
      <c r="A1949" s="2">
        <v>1948</v>
      </c>
      <c r="B1949" s="3" t="s">
        <v>13</v>
      </c>
      <c r="C1949" s="4" t="str">
        <f t="shared" si="165"/>
        <v>Hòa Bình</v>
      </c>
      <c r="D1949" s="3" t="s">
        <v>180</v>
      </c>
      <c r="E1949" s="4" t="str">
        <f t="shared" si="166"/>
        <v>Thành phố Hòa Bình</v>
      </c>
      <c r="F1949" s="3" t="s">
        <v>2713</v>
      </c>
      <c r="G1949" s="4" t="str">
        <f>HYPERLINK("https://diaocthongthai.com/phuong-tan-thinh-tp-hoa-binh/","Phường Tân Thịnh")</f>
        <v>Phường Tân Thịnh</v>
      </c>
    </row>
    <row r="1950" spans="1:7" x14ac:dyDescent="0.25">
      <c r="A1950" s="2">
        <v>1949</v>
      </c>
      <c r="B1950" s="3" t="s">
        <v>13</v>
      </c>
      <c r="C1950" s="4" t="str">
        <f t="shared" si="165"/>
        <v>Hòa Bình</v>
      </c>
      <c r="D1950" s="3" t="s">
        <v>180</v>
      </c>
      <c r="E1950" s="4" t="str">
        <f t="shared" si="166"/>
        <v>Thành phố Hòa Bình</v>
      </c>
      <c r="F1950" s="3" t="s">
        <v>2714</v>
      </c>
      <c r="G1950" s="4" t="str">
        <f>HYPERLINK("https://diaocthongthai.com/phuong-dong-tien-tp-hoa-binh/","Phường Đồng Tiến")</f>
        <v>Phường Đồng Tiến</v>
      </c>
    </row>
    <row r="1951" spans="1:7" x14ac:dyDescent="0.25">
      <c r="A1951" s="2">
        <v>1950</v>
      </c>
      <c r="B1951" s="3" t="s">
        <v>13</v>
      </c>
      <c r="C1951" s="4" t="str">
        <f t="shared" si="165"/>
        <v>Hòa Bình</v>
      </c>
      <c r="D1951" s="3" t="s">
        <v>180</v>
      </c>
      <c r="E1951" s="4" t="str">
        <f t="shared" si="166"/>
        <v>Thành phố Hòa Bình</v>
      </c>
      <c r="F1951" s="3" t="s">
        <v>2715</v>
      </c>
      <c r="G1951" s="4" t="str">
        <f>HYPERLINK("https://diaocthongthai.com/phuong-phuong-lam-tp-hoa-binh/","Phường Phương Lâm")</f>
        <v>Phường Phương Lâm</v>
      </c>
    </row>
    <row r="1952" spans="1:7" x14ac:dyDescent="0.25">
      <c r="A1952" s="2">
        <v>1951</v>
      </c>
      <c r="B1952" s="3" t="s">
        <v>13</v>
      </c>
      <c r="C1952" s="4" t="str">
        <f t="shared" si="165"/>
        <v>Hòa Bình</v>
      </c>
      <c r="D1952" s="3" t="s">
        <v>180</v>
      </c>
      <c r="E1952" s="4" t="str">
        <f t="shared" si="166"/>
        <v>Thành phố Hòa Bình</v>
      </c>
      <c r="F1952" s="3" t="s">
        <v>2716</v>
      </c>
      <c r="G1952" s="4" t="str">
        <f>HYPERLINK("https://diaocthongthai.com/xa-yen-mong-tp-hoa-binh/","Xã Yên Mông")</f>
        <v>Xã Yên Mông</v>
      </c>
    </row>
    <row r="1953" spans="1:7" x14ac:dyDescent="0.25">
      <c r="A1953" s="2">
        <v>1952</v>
      </c>
      <c r="B1953" s="3" t="s">
        <v>13</v>
      </c>
      <c r="C1953" s="4" t="str">
        <f t="shared" si="165"/>
        <v>Hòa Bình</v>
      </c>
      <c r="D1953" s="3" t="s">
        <v>180</v>
      </c>
      <c r="E1953" s="4" t="str">
        <f t="shared" si="166"/>
        <v>Thành phố Hòa Bình</v>
      </c>
      <c r="F1953" s="3" t="s">
        <v>2717</v>
      </c>
      <c r="G1953" s="4" t="str">
        <f>HYPERLINK("https://diaocthongthai.com/phuong-quynh-lam-tp-hoa-binh/","Phường Quỳnh Lâm")</f>
        <v>Phường Quỳnh Lâm</v>
      </c>
    </row>
    <row r="1954" spans="1:7" x14ac:dyDescent="0.25">
      <c r="A1954" s="2">
        <v>1953</v>
      </c>
      <c r="B1954" s="3" t="s">
        <v>13</v>
      </c>
      <c r="C1954" s="4" t="str">
        <f t="shared" si="165"/>
        <v>Hòa Bình</v>
      </c>
      <c r="D1954" s="3" t="s">
        <v>180</v>
      </c>
      <c r="E1954" s="4" t="str">
        <f t="shared" si="166"/>
        <v>Thành phố Hòa Bình</v>
      </c>
      <c r="F1954" s="3" t="s">
        <v>2718</v>
      </c>
      <c r="G1954" s="4" t="str">
        <f>HYPERLINK("https://diaocthongthai.com/phuong-dan-chu-tp-hoa-binh/","Phường Dân Chủ")</f>
        <v>Phường Dân Chủ</v>
      </c>
    </row>
    <row r="1955" spans="1:7" x14ac:dyDescent="0.25">
      <c r="A1955" s="2">
        <v>1954</v>
      </c>
      <c r="B1955" s="3" t="s">
        <v>13</v>
      </c>
      <c r="C1955" s="4" t="str">
        <f t="shared" si="165"/>
        <v>Hòa Bình</v>
      </c>
      <c r="D1955" s="3" t="s">
        <v>180</v>
      </c>
      <c r="E1955" s="4" t="str">
        <f t="shared" si="166"/>
        <v>Thành phố Hòa Bình</v>
      </c>
      <c r="F1955" s="3" t="s">
        <v>2719</v>
      </c>
      <c r="G1955" s="4" t="str">
        <f>HYPERLINK("https://diaocthongthai.com/xa-hoa-binh-tp-hoa-binh/","Xã Hòa Bình")</f>
        <v>Xã Hòa Bình</v>
      </c>
    </row>
    <row r="1956" spans="1:7" x14ac:dyDescent="0.25">
      <c r="A1956" s="2">
        <v>1955</v>
      </c>
      <c r="B1956" s="3" t="s">
        <v>13</v>
      </c>
      <c r="C1956" s="4" t="str">
        <f t="shared" si="165"/>
        <v>Hòa Bình</v>
      </c>
      <c r="D1956" s="3" t="s">
        <v>180</v>
      </c>
      <c r="E1956" s="4" t="str">
        <f t="shared" si="166"/>
        <v>Thành phố Hòa Bình</v>
      </c>
      <c r="F1956" s="3" t="s">
        <v>2720</v>
      </c>
      <c r="G1956" s="4" t="str">
        <f>HYPERLINK("https://diaocthongthai.com/phuong-thong-nhat-tp-hoa-binh/","Phường Thống Nhất")</f>
        <v>Phường Thống Nhất</v>
      </c>
    </row>
    <row r="1957" spans="1:7" x14ac:dyDescent="0.25">
      <c r="A1957" s="2">
        <v>1956</v>
      </c>
      <c r="B1957" s="3" t="s">
        <v>13</v>
      </c>
      <c r="C1957" s="4" t="str">
        <f t="shared" si="165"/>
        <v>Hòa Bình</v>
      </c>
      <c r="D1957" s="3" t="s">
        <v>180</v>
      </c>
      <c r="E1957" s="4" t="str">
        <f t="shared" si="166"/>
        <v>Thành phố Hòa Bình</v>
      </c>
      <c r="F1957" s="3" t="s">
        <v>2721</v>
      </c>
      <c r="G1957" s="4" t="str">
        <f>HYPERLINK("https://diaocthongthai.com/phuong-ky-son-tp-hoa-binh/","Phường Kỳ Sơn")</f>
        <v>Phường Kỳ Sơn</v>
      </c>
    </row>
    <row r="1958" spans="1:7" x14ac:dyDescent="0.25">
      <c r="A1958" s="2">
        <v>1957</v>
      </c>
      <c r="B1958" s="3" t="s">
        <v>13</v>
      </c>
      <c r="C1958" s="4" t="str">
        <f t="shared" si="165"/>
        <v>Hòa Bình</v>
      </c>
      <c r="D1958" s="3" t="s">
        <v>180</v>
      </c>
      <c r="E1958" s="4" t="str">
        <f t="shared" si="166"/>
        <v>Thành phố Hòa Bình</v>
      </c>
      <c r="F1958" s="3" t="s">
        <v>2722</v>
      </c>
      <c r="G1958" s="4" t="str">
        <f>HYPERLINK("https://diaocthongthai.com/xa-thinh-minh-tp-hoa-binh/","Xã Thịnh Minh")</f>
        <v>Xã Thịnh Minh</v>
      </c>
    </row>
    <row r="1959" spans="1:7" x14ac:dyDescent="0.25">
      <c r="A1959" s="2">
        <v>1958</v>
      </c>
      <c r="B1959" s="3" t="s">
        <v>13</v>
      </c>
      <c r="C1959" s="4" t="str">
        <f t="shared" si="165"/>
        <v>Hòa Bình</v>
      </c>
      <c r="D1959" s="3" t="s">
        <v>180</v>
      </c>
      <c r="E1959" s="4" t="str">
        <f t="shared" si="166"/>
        <v>Thành phố Hòa Bình</v>
      </c>
      <c r="F1959" s="3" t="s">
        <v>2723</v>
      </c>
      <c r="G1959" s="4" t="str">
        <f>HYPERLINK("https://diaocthongthai.com/xa-hop-thanh-tp-hoa-binh/","Xã Hợp Thành")</f>
        <v>Xã Hợp Thành</v>
      </c>
    </row>
    <row r="1960" spans="1:7" x14ac:dyDescent="0.25">
      <c r="A1960" s="2">
        <v>1959</v>
      </c>
      <c r="B1960" s="3" t="s">
        <v>13</v>
      </c>
      <c r="C1960" s="4" t="str">
        <f t="shared" si="165"/>
        <v>Hòa Bình</v>
      </c>
      <c r="D1960" s="3" t="s">
        <v>180</v>
      </c>
      <c r="E1960" s="4" t="str">
        <f t="shared" si="166"/>
        <v>Thành phố Hòa Bình</v>
      </c>
      <c r="F1960" s="3" t="s">
        <v>2724</v>
      </c>
      <c r="G1960" s="4" t="str">
        <f>HYPERLINK("https://diaocthongthai.com/xa-quang-tien-tp-hoa-binh/","Xã Quang Tiến")</f>
        <v>Xã Quang Tiến</v>
      </c>
    </row>
    <row r="1961" spans="1:7" x14ac:dyDescent="0.25">
      <c r="A1961" s="2">
        <v>1960</v>
      </c>
      <c r="B1961" s="3" t="s">
        <v>13</v>
      </c>
      <c r="C1961" s="4" t="str">
        <f t="shared" si="165"/>
        <v>Hòa Bình</v>
      </c>
      <c r="D1961" s="3" t="s">
        <v>180</v>
      </c>
      <c r="E1961" s="4" t="str">
        <f t="shared" si="166"/>
        <v>Thành phố Hòa Bình</v>
      </c>
      <c r="F1961" s="3" t="s">
        <v>2725</v>
      </c>
      <c r="G1961" s="4" t="str">
        <f>HYPERLINK("https://diaocthongthai.com/xa-mong-hoa-tp-hoa-binh/","Xã Mông Hóa")</f>
        <v>Xã Mông Hóa</v>
      </c>
    </row>
    <row r="1962" spans="1:7" x14ac:dyDescent="0.25">
      <c r="A1962" s="2">
        <v>1961</v>
      </c>
      <c r="B1962" s="3" t="s">
        <v>13</v>
      </c>
      <c r="C1962" s="4" t="str">
        <f t="shared" si="165"/>
        <v>Hòa Bình</v>
      </c>
      <c r="D1962" s="3" t="s">
        <v>180</v>
      </c>
      <c r="E1962" s="4" t="str">
        <f t="shared" si="166"/>
        <v>Thành phố Hòa Bình</v>
      </c>
      <c r="F1962" s="3" t="s">
        <v>2726</v>
      </c>
      <c r="G1962" s="4" t="str">
        <f>HYPERLINK("https://diaocthongthai.com/phuong-trung-minh-tp-hoa-binh/","Phường Trung Minh")</f>
        <v>Phường Trung Minh</v>
      </c>
    </row>
    <row r="1963" spans="1:7" x14ac:dyDescent="0.25">
      <c r="A1963" s="2">
        <v>1962</v>
      </c>
      <c r="B1963" s="3" t="s">
        <v>13</v>
      </c>
      <c r="C1963" s="4" t="str">
        <f t="shared" si="165"/>
        <v>Hòa Bình</v>
      </c>
      <c r="D1963" s="3" t="s">
        <v>180</v>
      </c>
      <c r="E1963" s="4" t="str">
        <f t="shared" si="166"/>
        <v>Thành phố Hòa Bình</v>
      </c>
      <c r="F1963" s="3" t="s">
        <v>2727</v>
      </c>
      <c r="G1963" s="4" t="str">
        <f>HYPERLINK("https://diaocthongthai.com/xa-doc-lap-tp-hoa-binh/","Xã Độc Lập")</f>
        <v>Xã Độc Lập</v>
      </c>
    </row>
    <row r="1964" spans="1:7" x14ac:dyDescent="0.25">
      <c r="A1964" s="2">
        <v>1963</v>
      </c>
      <c r="B1964" s="3" t="s">
        <v>13</v>
      </c>
      <c r="C1964" s="4" t="str">
        <f t="shared" si="165"/>
        <v>Hòa Bình</v>
      </c>
      <c r="D1964" s="3" t="s">
        <v>181</v>
      </c>
      <c r="E1964" s="4" t="str">
        <f t="shared" ref="E1964:E1980" si="167">HYPERLINK("https://diaocthongthai.com/ban-do-huyen-da-bac-hoa-binh/","Huyện Đà Bắc")</f>
        <v>Huyện Đà Bắc</v>
      </c>
      <c r="F1964" s="3" t="s">
        <v>2728</v>
      </c>
      <c r="G1964" s="4" t="str">
        <f>HYPERLINK("https://diaocthongthai.com/thi-tran-da-bac-da-bac/","Thị trấn Đà Bắc")</f>
        <v>Thị trấn Đà Bắc</v>
      </c>
    </row>
    <row r="1965" spans="1:7" x14ac:dyDescent="0.25">
      <c r="A1965" s="2">
        <v>1964</v>
      </c>
      <c r="B1965" s="3" t="s">
        <v>13</v>
      </c>
      <c r="C1965" s="4" t="str">
        <f t="shared" si="165"/>
        <v>Hòa Bình</v>
      </c>
      <c r="D1965" s="3" t="s">
        <v>181</v>
      </c>
      <c r="E1965" s="4" t="str">
        <f t="shared" si="167"/>
        <v>Huyện Đà Bắc</v>
      </c>
      <c r="F1965" s="3" t="s">
        <v>2729</v>
      </c>
      <c r="G1965" s="4" t="str">
        <f>HYPERLINK("https://diaocthongthai.com/xa-nanh-nghe-da-bac/","Xã Nánh Nghê")</f>
        <v>Xã Nánh Nghê</v>
      </c>
    </row>
    <row r="1966" spans="1:7" x14ac:dyDescent="0.25">
      <c r="A1966" s="2">
        <v>1965</v>
      </c>
      <c r="B1966" s="3" t="s">
        <v>13</v>
      </c>
      <c r="C1966" s="4" t="str">
        <f t="shared" si="165"/>
        <v>Hòa Bình</v>
      </c>
      <c r="D1966" s="3" t="s">
        <v>181</v>
      </c>
      <c r="E1966" s="4" t="str">
        <f t="shared" si="167"/>
        <v>Huyện Đà Bắc</v>
      </c>
      <c r="F1966" s="3" t="s">
        <v>2730</v>
      </c>
      <c r="G1966" s="4" t="str">
        <f>HYPERLINK("https://diaocthongthai.com/xa-giap-dat-da-bac/","Xã Giáp Đắt")</f>
        <v>Xã Giáp Đắt</v>
      </c>
    </row>
    <row r="1967" spans="1:7" x14ac:dyDescent="0.25">
      <c r="A1967" s="2">
        <v>1966</v>
      </c>
      <c r="B1967" s="3" t="s">
        <v>13</v>
      </c>
      <c r="C1967" s="4" t="str">
        <f t="shared" si="165"/>
        <v>Hòa Bình</v>
      </c>
      <c r="D1967" s="3" t="s">
        <v>181</v>
      </c>
      <c r="E1967" s="4" t="str">
        <f t="shared" si="167"/>
        <v>Huyện Đà Bắc</v>
      </c>
      <c r="F1967" s="3" t="s">
        <v>2731</v>
      </c>
      <c r="G1967" s="4" t="str">
        <f>HYPERLINK("https://diaocthongthai.com/xa-muong-chieng-da-bac/","Xã Mường Chiềng")</f>
        <v>Xã Mường Chiềng</v>
      </c>
    </row>
    <row r="1968" spans="1:7" x14ac:dyDescent="0.25">
      <c r="A1968" s="2">
        <v>1967</v>
      </c>
      <c r="B1968" s="3" t="s">
        <v>13</v>
      </c>
      <c r="C1968" s="4" t="str">
        <f t="shared" si="165"/>
        <v>Hòa Bình</v>
      </c>
      <c r="D1968" s="3" t="s">
        <v>181</v>
      </c>
      <c r="E1968" s="4" t="str">
        <f t="shared" si="167"/>
        <v>Huyện Đà Bắc</v>
      </c>
      <c r="F1968" s="3" t="s">
        <v>2732</v>
      </c>
      <c r="G1968" s="4" t="str">
        <f>HYPERLINK("https://diaocthongthai.com/xa-tan-pheo-da-bac/","Xã Tân Pheo")</f>
        <v>Xã Tân Pheo</v>
      </c>
    </row>
    <row r="1969" spans="1:7" x14ac:dyDescent="0.25">
      <c r="A1969" s="2">
        <v>1968</v>
      </c>
      <c r="B1969" s="3" t="s">
        <v>13</v>
      </c>
      <c r="C1969" s="4" t="str">
        <f t="shared" si="165"/>
        <v>Hòa Bình</v>
      </c>
      <c r="D1969" s="3" t="s">
        <v>181</v>
      </c>
      <c r="E1969" s="4" t="str">
        <f t="shared" si="167"/>
        <v>Huyện Đà Bắc</v>
      </c>
      <c r="F1969" s="3" t="s">
        <v>2733</v>
      </c>
      <c r="G1969" s="4" t="str">
        <f>HYPERLINK("https://diaocthongthai.com/xa-dong-chum-da-bac/","Xã Đồng Chum")</f>
        <v>Xã Đồng Chum</v>
      </c>
    </row>
    <row r="1970" spans="1:7" x14ac:dyDescent="0.25">
      <c r="A1970" s="2">
        <v>1969</v>
      </c>
      <c r="B1970" s="3" t="s">
        <v>13</v>
      </c>
      <c r="C1970" s="4" t="str">
        <f t="shared" si="165"/>
        <v>Hòa Bình</v>
      </c>
      <c r="D1970" s="3" t="s">
        <v>181</v>
      </c>
      <c r="E1970" s="4" t="str">
        <f t="shared" si="167"/>
        <v>Huyện Đà Bắc</v>
      </c>
      <c r="F1970" s="3" t="s">
        <v>2734</v>
      </c>
      <c r="G1970" s="4" t="str">
        <f>HYPERLINK("https://diaocthongthai.com/xa-tan-minh-da-bac/","Xã Tân Minh")</f>
        <v>Xã Tân Minh</v>
      </c>
    </row>
    <row r="1971" spans="1:7" x14ac:dyDescent="0.25">
      <c r="A1971" s="2">
        <v>1970</v>
      </c>
      <c r="B1971" s="3" t="s">
        <v>13</v>
      </c>
      <c r="C1971" s="4" t="str">
        <f t="shared" si="165"/>
        <v>Hòa Bình</v>
      </c>
      <c r="D1971" s="3" t="s">
        <v>181</v>
      </c>
      <c r="E1971" s="4" t="str">
        <f t="shared" si="167"/>
        <v>Huyện Đà Bắc</v>
      </c>
      <c r="F1971" s="3" t="s">
        <v>2735</v>
      </c>
      <c r="G1971" s="4" t="str">
        <f>HYPERLINK("https://diaocthongthai.com/xa-doan-ket-da-bac/","Xã Đoàn Kết")</f>
        <v>Xã Đoàn Kết</v>
      </c>
    </row>
    <row r="1972" spans="1:7" x14ac:dyDescent="0.25">
      <c r="A1972" s="2">
        <v>1971</v>
      </c>
      <c r="B1972" s="3" t="s">
        <v>13</v>
      </c>
      <c r="C1972" s="4" t="str">
        <f t="shared" si="165"/>
        <v>Hòa Bình</v>
      </c>
      <c r="D1972" s="3" t="s">
        <v>181</v>
      </c>
      <c r="E1972" s="4" t="str">
        <f t="shared" si="167"/>
        <v>Huyện Đà Bắc</v>
      </c>
      <c r="F1972" s="3" t="s">
        <v>2736</v>
      </c>
      <c r="G1972" s="4" t="str">
        <f>HYPERLINK("https://diaocthongthai.com/xa-dong-ruong-da-bac/","Xã Đồng Ruộng")</f>
        <v>Xã Đồng Ruộng</v>
      </c>
    </row>
    <row r="1973" spans="1:7" x14ac:dyDescent="0.25">
      <c r="A1973" s="2">
        <v>1972</v>
      </c>
      <c r="B1973" s="3" t="s">
        <v>13</v>
      </c>
      <c r="C1973" s="4" t="str">
        <f t="shared" si="165"/>
        <v>Hòa Bình</v>
      </c>
      <c r="D1973" s="3" t="s">
        <v>181</v>
      </c>
      <c r="E1973" s="4" t="str">
        <f t="shared" si="167"/>
        <v>Huyện Đà Bắc</v>
      </c>
      <c r="F1973" s="3" t="s">
        <v>2737</v>
      </c>
      <c r="G1973" s="4" t="str">
        <f>HYPERLINK("https://diaocthongthai.com/xa-tu-ly-1-da-bac/","Xã Tú Lý")</f>
        <v>Xã Tú Lý</v>
      </c>
    </row>
    <row r="1974" spans="1:7" x14ac:dyDescent="0.25">
      <c r="A1974" s="2">
        <v>1973</v>
      </c>
      <c r="B1974" s="3" t="s">
        <v>13</v>
      </c>
      <c r="C1974" s="4" t="str">
        <f t="shared" si="165"/>
        <v>Hòa Bình</v>
      </c>
      <c r="D1974" s="3" t="s">
        <v>181</v>
      </c>
      <c r="E1974" s="4" t="str">
        <f t="shared" si="167"/>
        <v>Huyện Đà Bắc</v>
      </c>
      <c r="F1974" s="3" t="s">
        <v>2738</v>
      </c>
      <c r="G1974" s="4" t="str">
        <f>HYPERLINK("https://diaocthongthai.com/xa-trung-thanh-da-bac/","Xã Trung Thành")</f>
        <v>Xã Trung Thành</v>
      </c>
    </row>
    <row r="1975" spans="1:7" x14ac:dyDescent="0.25">
      <c r="A1975" s="2">
        <v>1974</v>
      </c>
      <c r="B1975" s="3" t="s">
        <v>13</v>
      </c>
      <c r="C1975" s="4" t="str">
        <f t="shared" si="165"/>
        <v>Hòa Bình</v>
      </c>
      <c r="D1975" s="3" t="s">
        <v>181</v>
      </c>
      <c r="E1975" s="4" t="str">
        <f t="shared" si="167"/>
        <v>Huyện Đà Bắc</v>
      </c>
      <c r="F1975" s="3" t="s">
        <v>2739</v>
      </c>
      <c r="G1975" s="4" t="str">
        <f>HYPERLINK("https://diaocthongthai.com/xa-yen-hoa-da-bac/","Xã Yên Hòa")</f>
        <v>Xã Yên Hòa</v>
      </c>
    </row>
    <row r="1976" spans="1:7" x14ac:dyDescent="0.25">
      <c r="A1976" s="2">
        <v>1975</v>
      </c>
      <c r="B1976" s="3" t="s">
        <v>13</v>
      </c>
      <c r="C1976" s="4" t="str">
        <f t="shared" si="165"/>
        <v>Hòa Bình</v>
      </c>
      <c r="D1976" s="3" t="s">
        <v>181</v>
      </c>
      <c r="E1976" s="4" t="str">
        <f t="shared" si="167"/>
        <v>Huyện Đà Bắc</v>
      </c>
      <c r="F1976" s="3" t="s">
        <v>2740</v>
      </c>
      <c r="G1976" s="4" t="str">
        <f>HYPERLINK("https://diaocthongthai.com/xa-cao-son-da-bac/","Xã Cao Sơn")</f>
        <v>Xã Cao Sơn</v>
      </c>
    </row>
    <row r="1977" spans="1:7" x14ac:dyDescent="0.25">
      <c r="A1977" s="2">
        <v>1976</v>
      </c>
      <c r="B1977" s="3" t="s">
        <v>13</v>
      </c>
      <c r="C1977" s="4" t="str">
        <f t="shared" ref="C1977:C2008" si="168">HYPERLINK("https://diaocthongthai.com/ban-do-hoa-binh/","Hòa Bình")</f>
        <v>Hòa Bình</v>
      </c>
      <c r="D1977" s="3" t="s">
        <v>181</v>
      </c>
      <c r="E1977" s="4" t="str">
        <f t="shared" si="167"/>
        <v>Huyện Đà Bắc</v>
      </c>
      <c r="F1977" s="3" t="s">
        <v>2741</v>
      </c>
      <c r="G1977" s="4" t="str">
        <f>HYPERLINK("https://diaocthongthai.com/xa-toan-son-da-bac/","Xã Toàn Sơn")</f>
        <v>Xã Toàn Sơn</v>
      </c>
    </row>
    <row r="1978" spans="1:7" x14ac:dyDescent="0.25">
      <c r="A1978" s="2">
        <v>1977</v>
      </c>
      <c r="B1978" s="3" t="s">
        <v>13</v>
      </c>
      <c r="C1978" s="4" t="str">
        <f t="shared" si="168"/>
        <v>Hòa Bình</v>
      </c>
      <c r="D1978" s="3" t="s">
        <v>181</v>
      </c>
      <c r="E1978" s="4" t="str">
        <f t="shared" si="167"/>
        <v>Huyện Đà Bắc</v>
      </c>
      <c r="F1978" s="3" t="s">
        <v>2742</v>
      </c>
      <c r="G1978" s="4" t="str">
        <f>HYPERLINK("https://diaocthongthai.com/xa-hien-luong-da-bac/","Xã Hiền Lương")</f>
        <v>Xã Hiền Lương</v>
      </c>
    </row>
    <row r="1979" spans="1:7" x14ac:dyDescent="0.25">
      <c r="A1979" s="2">
        <v>1978</v>
      </c>
      <c r="B1979" s="3" t="s">
        <v>13</v>
      </c>
      <c r="C1979" s="4" t="str">
        <f t="shared" si="168"/>
        <v>Hòa Bình</v>
      </c>
      <c r="D1979" s="3" t="s">
        <v>181</v>
      </c>
      <c r="E1979" s="4" t="str">
        <f t="shared" si="167"/>
        <v>Huyện Đà Bắc</v>
      </c>
      <c r="F1979" s="3" t="s">
        <v>2743</v>
      </c>
      <c r="G1979" s="4" t="str">
        <f>HYPERLINK("https://diaocthongthai.com/xa-tien-phong-da-bac/","Xã Tiền Phong")</f>
        <v>Xã Tiền Phong</v>
      </c>
    </row>
    <row r="1980" spans="1:7" x14ac:dyDescent="0.25">
      <c r="A1980" s="2">
        <v>1979</v>
      </c>
      <c r="B1980" s="3" t="s">
        <v>13</v>
      </c>
      <c r="C1980" s="4" t="str">
        <f t="shared" si="168"/>
        <v>Hòa Bình</v>
      </c>
      <c r="D1980" s="3" t="s">
        <v>181</v>
      </c>
      <c r="E1980" s="4" t="str">
        <f t="shared" si="167"/>
        <v>Huyện Đà Bắc</v>
      </c>
      <c r="F1980" s="3" t="s">
        <v>2744</v>
      </c>
      <c r="G1980" s="4" t="str">
        <f>HYPERLINK("https://diaocthongthai.com/xa-vay-nua-da-bac/","Xã Vầy Nưa")</f>
        <v>Xã Vầy Nưa</v>
      </c>
    </row>
    <row r="1981" spans="1:7" x14ac:dyDescent="0.25">
      <c r="A1981" s="2">
        <v>1980</v>
      </c>
      <c r="B1981" s="3" t="s">
        <v>13</v>
      </c>
      <c r="C1981" s="4" t="str">
        <f t="shared" si="168"/>
        <v>Hòa Bình</v>
      </c>
      <c r="D1981" s="3" t="s">
        <v>182</v>
      </c>
      <c r="E1981" s="4" t="str">
        <f t="shared" ref="E1981:E1991" si="169">HYPERLINK("https://diaocthongthai.com/ban-do-huyen-luong-son-hoa-binh/","Huyện Lương Sơn")</f>
        <v>Huyện Lương Sơn</v>
      </c>
      <c r="F1981" s="3" t="s">
        <v>2745</v>
      </c>
      <c r="G1981" s="4" t="str">
        <f>HYPERLINK("https://diaocthongthai.com/thi-tran-luong-son-luong-son/","Thị trấn Lương Sơn")</f>
        <v>Thị trấn Lương Sơn</v>
      </c>
    </row>
    <row r="1982" spans="1:7" x14ac:dyDescent="0.25">
      <c r="A1982" s="2">
        <v>1981</v>
      </c>
      <c r="B1982" s="3" t="s">
        <v>13</v>
      </c>
      <c r="C1982" s="4" t="str">
        <f t="shared" si="168"/>
        <v>Hòa Bình</v>
      </c>
      <c r="D1982" s="3" t="s">
        <v>182</v>
      </c>
      <c r="E1982" s="4" t="str">
        <f t="shared" si="169"/>
        <v>Huyện Lương Sơn</v>
      </c>
      <c r="F1982" s="3" t="s">
        <v>2746</v>
      </c>
      <c r="G1982" s="4" t="str">
        <f>HYPERLINK("https://diaocthongthai.com/xa-lam-son-luong-son/","Xã Lâm Sơn")</f>
        <v>Xã Lâm Sơn</v>
      </c>
    </row>
    <row r="1983" spans="1:7" x14ac:dyDescent="0.25">
      <c r="A1983" s="2">
        <v>1982</v>
      </c>
      <c r="B1983" s="3" t="s">
        <v>13</v>
      </c>
      <c r="C1983" s="4" t="str">
        <f t="shared" si="168"/>
        <v>Hòa Bình</v>
      </c>
      <c r="D1983" s="3" t="s">
        <v>182</v>
      </c>
      <c r="E1983" s="4" t="str">
        <f t="shared" si="169"/>
        <v>Huyện Lương Sơn</v>
      </c>
      <c r="F1983" s="3" t="s">
        <v>2747</v>
      </c>
      <c r="G1983" s="4" t="str">
        <f>HYPERLINK("https://diaocthongthai.com/xa-hoa-son-luong-son/","Xã Hòa Sơn")</f>
        <v>Xã Hòa Sơn</v>
      </c>
    </row>
    <row r="1984" spans="1:7" x14ac:dyDescent="0.25">
      <c r="A1984" s="2">
        <v>1983</v>
      </c>
      <c r="B1984" s="3" t="s">
        <v>13</v>
      </c>
      <c r="C1984" s="4" t="str">
        <f t="shared" si="168"/>
        <v>Hòa Bình</v>
      </c>
      <c r="D1984" s="3" t="s">
        <v>182</v>
      </c>
      <c r="E1984" s="4" t="str">
        <f t="shared" si="169"/>
        <v>Huyện Lương Sơn</v>
      </c>
      <c r="F1984" s="3" t="s">
        <v>2748</v>
      </c>
      <c r="G1984" s="4" t="str">
        <f>HYPERLINK("https://diaocthongthai.com/xa-tan-vinh-luong-son/","Xã Tân Vinh")</f>
        <v>Xã Tân Vinh</v>
      </c>
    </row>
    <row r="1985" spans="1:7" x14ac:dyDescent="0.25">
      <c r="A1985" s="2">
        <v>1984</v>
      </c>
      <c r="B1985" s="3" t="s">
        <v>13</v>
      </c>
      <c r="C1985" s="4" t="str">
        <f t="shared" si="168"/>
        <v>Hòa Bình</v>
      </c>
      <c r="D1985" s="3" t="s">
        <v>182</v>
      </c>
      <c r="E1985" s="4" t="str">
        <f t="shared" si="169"/>
        <v>Huyện Lương Sơn</v>
      </c>
      <c r="F1985" s="3" t="s">
        <v>2749</v>
      </c>
      <c r="G1985" s="4" t="str">
        <f>HYPERLINK("https://diaocthongthai.com/xa-nhuan-trach-luong-son/","Xã Nhuận Trạch")</f>
        <v>Xã Nhuận Trạch</v>
      </c>
    </row>
    <row r="1986" spans="1:7" x14ac:dyDescent="0.25">
      <c r="A1986" s="2">
        <v>1985</v>
      </c>
      <c r="B1986" s="3" t="s">
        <v>13</v>
      </c>
      <c r="C1986" s="4" t="str">
        <f t="shared" si="168"/>
        <v>Hòa Bình</v>
      </c>
      <c r="D1986" s="3" t="s">
        <v>182</v>
      </c>
      <c r="E1986" s="4" t="str">
        <f t="shared" si="169"/>
        <v>Huyện Lương Sơn</v>
      </c>
      <c r="F1986" s="3" t="s">
        <v>2750</v>
      </c>
      <c r="G1986" s="4" t="str">
        <f>HYPERLINK("https://diaocthongthai.com/xa-cao-son-luong-son/","Xã Cao Sơn")</f>
        <v>Xã Cao Sơn</v>
      </c>
    </row>
    <row r="1987" spans="1:7" x14ac:dyDescent="0.25">
      <c r="A1987" s="2">
        <v>1986</v>
      </c>
      <c r="B1987" s="3" t="s">
        <v>13</v>
      </c>
      <c r="C1987" s="4" t="str">
        <f t="shared" si="168"/>
        <v>Hòa Bình</v>
      </c>
      <c r="D1987" s="3" t="s">
        <v>182</v>
      </c>
      <c r="E1987" s="4" t="str">
        <f t="shared" si="169"/>
        <v>Huyện Lương Sơn</v>
      </c>
      <c r="F1987" s="3" t="s">
        <v>2751</v>
      </c>
      <c r="G1987" s="4" t="str">
        <f>HYPERLINK("https://diaocthongthai.com/xa-cu-yen-luong-son/","Xã Cư Yên")</f>
        <v>Xã Cư Yên</v>
      </c>
    </row>
    <row r="1988" spans="1:7" x14ac:dyDescent="0.25">
      <c r="A1988" s="2">
        <v>1987</v>
      </c>
      <c r="B1988" s="3" t="s">
        <v>13</v>
      </c>
      <c r="C1988" s="4" t="str">
        <f t="shared" si="168"/>
        <v>Hòa Bình</v>
      </c>
      <c r="D1988" s="3" t="s">
        <v>182</v>
      </c>
      <c r="E1988" s="4" t="str">
        <f t="shared" si="169"/>
        <v>Huyện Lương Sơn</v>
      </c>
      <c r="F1988" s="3" t="s">
        <v>2752</v>
      </c>
      <c r="G1988" s="4" t="str">
        <f>HYPERLINK("https://diaocthongthai.com/xa-lien-son-luong-son/","Xã Liên Sơn")</f>
        <v>Xã Liên Sơn</v>
      </c>
    </row>
    <row r="1989" spans="1:7" x14ac:dyDescent="0.25">
      <c r="A1989" s="2">
        <v>1988</v>
      </c>
      <c r="B1989" s="3" t="s">
        <v>13</v>
      </c>
      <c r="C1989" s="4" t="str">
        <f t="shared" si="168"/>
        <v>Hòa Bình</v>
      </c>
      <c r="D1989" s="3" t="s">
        <v>182</v>
      </c>
      <c r="E1989" s="4" t="str">
        <f t="shared" si="169"/>
        <v>Huyện Lương Sơn</v>
      </c>
      <c r="F1989" s="3" t="s">
        <v>2753</v>
      </c>
      <c r="G1989" s="4" t="str">
        <f>HYPERLINK("https://diaocthongthai.com/xa-cao-duong-luong-son/","Xã Cao Dương")</f>
        <v>Xã Cao Dương</v>
      </c>
    </row>
    <row r="1990" spans="1:7" x14ac:dyDescent="0.25">
      <c r="A1990" s="2">
        <v>1989</v>
      </c>
      <c r="B1990" s="3" t="s">
        <v>13</v>
      </c>
      <c r="C1990" s="4" t="str">
        <f t="shared" si="168"/>
        <v>Hòa Bình</v>
      </c>
      <c r="D1990" s="3" t="s">
        <v>182</v>
      </c>
      <c r="E1990" s="4" t="str">
        <f t="shared" si="169"/>
        <v>Huyện Lương Sơn</v>
      </c>
      <c r="F1990" s="3" t="s">
        <v>2754</v>
      </c>
      <c r="G1990" s="4" t="str">
        <f>HYPERLINK("https://diaocthongthai.com/xa-thanh-son-luong-son/","Xã Thanh Sơn")</f>
        <v>Xã Thanh Sơn</v>
      </c>
    </row>
    <row r="1991" spans="1:7" x14ac:dyDescent="0.25">
      <c r="A1991" s="2">
        <v>1990</v>
      </c>
      <c r="B1991" s="3" t="s">
        <v>13</v>
      </c>
      <c r="C1991" s="4" t="str">
        <f t="shared" si="168"/>
        <v>Hòa Bình</v>
      </c>
      <c r="D1991" s="3" t="s">
        <v>182</v>
      </c>
      <c r="E1991" s="4" t="str">
        <f t="shared" si="169"/>
        <v>Huyện Lương Sơn</v>
      </c>
      <c r="F1991" s="3" t="s">
        <v>2755</v>
      </c>
      <c r="G1991" s="4" t="str">
        <f>HYPERLINK("https://diaocthongthai.com/xa-thanh-cao-luong-son/","Xã Thanh Cao")</f>
        <v>Xã Thanh Cao</v>
      </c>
    </row>
    <row r="1992" spans="1:7" x14ac:dyDescent="0.25">
      <c r="A1992" s="2">
        <v>1991</v>
      </c>
      <c r="B1992" s="3" t="s">
        <v>13</v>
      </c>
      <c r="C1992" s="4" t="str">
        <f t="shared" si="168"/>
        <v>Hòa Bình</v>
      </c>
      <c r="D1992" s="3" t="s">
        <v>183</v>
      </c>
      <c r="E1992" s="4" t="str">
        <f t="shared" ref="E1992:E2008" si="170">HYPERLINK("https://diaocthongthai.com/ban-do-huyen-kim-boi-hoa-binh/","Huyện Kim Bôi")</f>
        <v>Huyện Kim Bôi</v>
      </c>
      <c r="F1992" s="3" t="s">
        <v>2756</v>
      </c>
      <c r="G1992" s="4" t="str">
        <f>HYPERLINK("https://diaocthongthai.com/thi-tran-bo-kim-boi/","Thị trấn Bo")</f>
        <v>Thị trấn Bo</v>
      </c>
    </row>
    <row r="1993" spans="1:7" x14ac:dyDescent="0.25">
      <c r="A1993" s="2">
        <v>1992</v>
      </c>
      <c r="B1993" s="3" t="s">
        <v>13</v>
      </c>
      <c r="C1993" s="4" t="str">
        <f t="shared" si="168"/>
        <v>Hòa Bình</v>
      </c>
      <c r="D1993" s="3" t="s">
        <v>183</v>
      </c>
      <c r="E1993" s="4" t="str">
        <f t="shared" si="170"/>
        <v>Huyện Kim Bôi</v>
      </c>
      <c r="F1993" s="3" t="s">
        <v>2757</v>
      </c>
      <c r="G1993" s="4" t="str">
        <f>HYPERLINK("https://diaocthongthai.com/xa-du-sang-kim-boi/","Xã Đú Sáng")</f>
        <v>Xã Đú Sáng</v>
      </c>
    </row>
    <row r="1994" spans="1:7" x14ac:dyDescent="0.25">
      <c r="A1994" s="2">
        <v>1993</v>
      </c>
      <c r="B1994" s="3" t="s">
        <v>13</v>
      </c>
      <c r="C1994" s="4" t="str">
        <f t="shared" si="168"/>
        <v>Hòa Bình</v>
      </c>
      <c r="D1994" s="3" t="s">
        <v>183</v>
      </c>
      <c r="E1994" s="4" t="str">
        <f t="shared" si="170"/>
        <v>Huyện Kim Bôi</v>
      </c>
      <c r="F1994" s="3" t="s">
        <v>2758</v>
      </c>
      <c r="G1994" s="4" t="str">
        <f>HYPERLINK("https://diaocthongthai.com/xa-hung-son-kim-boi/","Xã Hùng Sơn")</f>
        <v>Xã Hùng Sơn</v>
      </c>
    </row>
    <row r="1995" spans="1:7" x14ac:dyDescent="0.25">
      <c r="A1995" s="2">
        <v>1994</v>
      </c>
      <c r="B1995" s="3" t="s">
        <v>13</v>
      </c>
      <c r="C1995" s="4" t="str">
        <f t="shared" si="168"/>
        <v>Hòa Bình</v>
      </c>
      <c r="D1995" s="3" t="s">
        <v>183</v>
      </c>
      <c r="E1995" s="4" t="str">
        <f t="shared" si="170"/>
        <v>Huyện Kim Bôi</v>
      </c>
      <c r="F1995" s="3" t="s">
        <v>2759</v>
      </c>
      <c r="G1995" s="4" t="str">
        <f>HYPERLINK("https://diaocthongthai.com/xa-binh-son-kim-boi/","Xã Bình Sơn")</f>
        <v>Xã Bình Sơn</v>
      </c>
    </row>
    <row r="1996" spans="1:7" x14ac:dyDescent="0.25">
      <c r="A1996" s="2">
        <v>1995</v>
      </c>
      <c r="B1996" s="3" t="s">
        <v>13</v>
      </c>
      <c r="C1996" s="4" t="str">
        <f t="shared" si="168"/>
        <v>Hòa Bình</v>
      </c>
      <c r="D1996" s="3" t="s">
        <v>183</v>
      </c>
      <c r="E1996" s="4" t="str">
        <f t="shared" si="170"/>
        <v>Huyện Kim Bôi</v>
      </c>
      <c r="F1996" s="3" t="s">
        <v>2760</v>
      </c>
      <c r="G1996" s="4" t="str">
        <f>HYPERLINK("https://diaocthongthai.com/xa-tu-son-kim-boi/","Xã Tú Sơn")</f>
        <v>Xã Tú Sơn</v>
      </c>
    </row>
    <row r="1997" spans="1:7" x14ac:dyDescent="0.25">
      <c r="A1997" s="2">
        <v>1996</v>
      </c>
      <c r="B1997" s="3" t="s">
        <v>13</v>
      </c>
      <c r="C1997" s="4" t="str">
        <f t="shared" si="168"/>
        <v>Hòa Bình</v>
      </c>
      <c r="D1997" s="3" t="s">
        <v>183</v>
      </c>
      <c r="E1997" s="4" t="str">
        <f t="shared" si="170"/>
        <v>Huyện Kim Bôi</v>
      </c>
      <c r="F1997" s="3" t="s">
        <v>2761</v>
      </c>
      <c r="G1997" s="4" t="str">
        <f>HYPERLINK("https://diaocthongthai.com/xa-vinh-tien-kim-boi/","Xã Vĩnh Tiến")</f>
        <v>Xã Vĩnh Tiến</v>
      </c>
    </row>
    <row r="1998" spans="1:7" x14ac:dyDescent="0.25">
      <c r="A1998" s="2">
        <v>1997</v>
      </c>
      <c r="B1998" s="3" t="s">
        <v>13</v>
      </c>
      <c r="C1998" s="4" t="str">
        <f t="shared" si="168"/>
        <v>Hòa Bình</v>
      </c>
      <c r="D1998" s="3" t="s">
        <v>183</v>
      </c>
      <c r="E1998" s="4" t="str">
        <f t="shared" si="170"/>
        <v>Huyện Kim Bôi</v>
      </c>
      <c r="F1998" s="3" t="s">
        <v>2762</v>
      </c>
      <c r="G1998" s="4" t="str">
        <f>HYPERLINK("https://diaocthongthai.com/xa-dong-bac-kim-boi/","Xã Đông Bắc")</f>
        <v>Xã Đông Bắc</v>
      </c>
    </row>
    <row r="1999" spans="1:7" x14ac:dyDescent="0.25">
      <c r="A1999" s="2">
        <v>1998</v>
      </c>
      <c r="B1999" s="3" t="s">
        <v>13</v>
      </c>
      <c r="C1999" s="4" t="str">
        <f t="shared" si="168"/>
        <v>Hòa Bình</v>
      </c>
      <c r="D1999" s="3" t="s">
        <v>183</v>
      </c>
      <c r="E1999" s="4" t="str">
        <f t="shared" si="170"/>
        <v>Huyện Kim Bôi</v>
      </c>
      <c r="F1999" s="3" t="s">
        <v>2763</v>
      </c>
      <c r="G1999" s="4" t="str">
        <f>HYPERLINK("https://diaocthongthai.com/xa-xuan-thuy-kim-boi/","Xã Xuân Thủy")</f>
        <v>Xã Xuân Thủy</v>
      </c>
    </row>
    <row r="2000" spans="1:7" x14ac:dyDescent="0.25">
      <c r="A2000" s="2">
        <v>1999</v>
      </c>
      <c r="B2000" s="3" t="s">
        <v>13</v>
      </c>
      <c r="C2000" s="4" t="str">
        <f t="shared" si="168"/>
        <v>Hòa Bình</v>
      </c>
      <c r="D2000" s="3" t="s">
        <v>183</v>
      </c>
      <c r="E2000" s="4" t="str">
        <f t="shared" si="170"/>
        <v>Huyện Kim Bôi</v>
      </c>
      <c r="F2000" s="3" t="s">
        <v>2764</v>
      </c>
      <c r="G2000" s="4" t="str">
        <f>HYPERLINK("https://diaocthongthai.com/xa-vinh-dong-kim-boi/","Xã Vĩnh Đồng")</f>
        <v>Xã Vĩnh Đồng</v>
      </c>
    </row>
    <row r="2001" spans="1:7" x14ac:dyDescent="0.25">
      <c r="A2001" s="2">
        <v>2000</v>
      </c>
      <c r="B2001" s="3" t="s">
        <v>13</v>
      </c>
      <c r="C2001" s="4" t="str">
        <f t="shared" si="168"/>
        <v>Hòa Bình</v>
      </c>
      <c r="D2001" s="3" t="s">
        <v>183</v>
      </c>
      <c r="E2001" s="4" t="str">
        <f t="shared" si="170"/>
        <v>Huyện Kim Bôi</v>
      </c>
      <c r="F2001" s="3" t="s">
        <v>2765</v>
      </c>
      <c r="G2001" s="4" t="str">
        <f>HYPERLINK("https://diaocthongthai.com/xa-kim-lap-kim-boi/","Xã Kim Lập")</f>
        <v>Xã Kim Lập</v>
      </c>
    </row>
    <row r="2002" spans="1:7" x14ac:dyDescent="0.25">
      <c r="A2002" s="2">
        <v>2001</v>
      </c>
      <c r="B2002" s="3" t="s">
        <v>13</v>
      </c>
      <c r="C2002" s="4" t="str">
        <f t="shared" si="168"/>
        <v>Hòa Bình</v>
      </c>
      <c r="D2002" s="3" t="s">
        <v>183</v>
      </c>
      <c r="E2002" s="4" t="str">
        <f t="shared" si="170"/>
        <v>Huyện Kim Bôi</v>
      </c>
      <c r="F2002" s="3" t="s">
        <v>2766</v>
      </c>
      <c r="G2002" s="4" t="str">
        <f>HYPERLINK("https://diaocthongthai.com/xa-hop-tien-kim-boi/","Xã Hợp Tiến")</f>
        <v>Xã Hợp Tiến</v>
      </c>
    </row>
    <row r="2003" spans="1:7" x14ac:dyDescent="0.25">
      <c r="A2003" s="2">
        <v>2002</v>
      </c>
      <c r="B2003" s="3" t="s">
        <v>13</v>
      </c>
      <c r="C2003" s="4" t="str">
        <f t="shared" si="168"/>
        <v>Hòa Bình</v>
      </c>
      <c r="D2003" s="3" t="s">
        <v>183</v>
      </c>
      <c r="E2003" s="4" t="str">
        <f t="shared" si="170"/>
        <v>Huyện Kim Bôi</v>
      </c>
      <c r="F2003" s="3" t="s">
        <v>2767</v>
      </c>
      <c r="G2003" s="4" t="str">
        <f>HYPERLINK("https://diaocthongthai.com/xa-kim-boi-kim-boi/","Xã Kim Bôi")</f>
        <v>Xã Kim Bôi</v>
      </c>
    </row>
    <row r="2004" spans="1:7" x14ac:dyDescent="0.25">
      <c r="A2004" s="2">
        <v>2003</v>
      </c>
      <c r="B2004" s="3" t="s">
        <v>13</v>
      </c>
      <c r="C2004" s="4" t="str">
        <f t="shared" si="168"/>
        <v>Hòa Bình</v>
      </c>
      <c r="D2004" s="3" t="s">
        <v>183</v>
      </c>
      <c r="E2004" s="4" t="str">
        <f t="shared" si="170"/>
        <v>Huyện Kim Bôi</v>
      </c>
      <c r="F2004" s="3" t="s">
        <v>2768</v>
      </c>
      <c r="G2004" s="4" t="str">
        <f>HYPERLINK("https://diaocthongthai.com/xa-nam-thuong-kim-boi/","Xã Nam Thượng")</f>
        <v>Xã Nam Thượng</v>
      </c>
    </row>
    <row r="2005" spans="1:7" x14ac:dyDescent="0.25">
      <c r="A2005" s="2">
        <v>2004</v>
      </c>
      <c r="B2005" s="3" t="s">
        <v>13</v>
      </c>
      <c r="C2005" s="4" t="str">
        <f t="shared" si="168"/>
        <v>Hòa Bình</v>
      </c>
      <c r="D2005" s="3" t="s">
        <v>183</v>
      </c>
      <c r="E2005" s="4" t="str">
        <f t="shared" si="170"/>
        <v>Huyện Kim Bôi</v>
      </c>
      <c r="F2005" s="3" t="s">
        <v>2769</v>
      </c>
      <c r="G2005" s="4" t="str">
        <f>HYPERLINK("https://diaocthongthai.com/xa-cuoi-ha-kim-boi/","Xã Cuối Hạ")</f>
        <v>Xã Cuối Hạ</v>
      </c>
    </row>
    <row r="2006" spans="1:7" x14ac:dyDescent="0.25">
      <c r="A2006" s="2">
        <v>2005</v>
      </c>
      <c r="B2006" s="3" t="s">
        <v>13</v>
      </c>
      <c r="C2006" s="4" t="str">
        <f t="shared" si="168"/>
        <v>Hòa Bình</v>
      </c>
      <c r="D2006" s="3" t="s">
        <v>183</v>
      </c>
      <c r="E2006" s="4" t="str">
        <f t="shared" si="170"/>
        <v>Huyện Kim Bôi</v>
      </c>
      <c r="F2006" s="3" t="s">
        <v>2770</v>
      </c>
      <c r="G2006" s="4" t="str">
        <f>HYPERLINK("https://diaocthongthai.com/xa-sao-bay-kim-boi/","Xã Sào Báy")</f>
        <v>Xã Sào Báy</v>
      </c>
    </row>
    <row r="2007" spans="1:7" x14ac:dyDescent="0.25">
      <c r="A2007" s="2">
        <v>2006</v>
      </c>
      <c r="B2007" s="3" t="s">
        <v>13</v>
      </c>
      <c r="C2007" s="4" t="str">
        <f t="shared" si="168"/>
        <v>Hòa Bình</v>
      </c>
      <c r="D2007" s="3" t="s">
        <v>183</v>
      </c>
      <c r="E2007" s="4" t="str">
        <f t="shared" si="170"/>
        <v>Huyện Kim Bôi</v>
      </c>
      <c r="F2007" s="3" t="s">
        <v>2771</v>
      </c>
      <c r="G2007" s="4" t="str">
        <f>HYPERLINK("https://diaocthongthai.com/xa-my-hoa-kim-boi/","Xã Mi Hòa")</f>
        <v>Xã Mi Hòa</v>
      </c>
    </row>
    <row r="2008" spans="1:7" x14ac:dyDescent="0.25">
      <c r="A2008" s="2">
        <v>2007</v>
      </c>
      <c r="B2008" s="3" t="s">
        <v>13</v>
      </c>
      <c r="C2008" s="4" t="str">
        <f t="shared" si="168"/>
        <v>Hòa Bình</v>
      </c>
      <c r="D2008" s="3" t="s">
        <v>183</v>
      </c>
      <c r="E2008" s="4" t="str">
        <f t="shared" si="170"/>
        <v>Huyện Kim Bôi</v>
      </c>
      <c r="F2008" s="3" t="s">
        <v>2772</v>
      </c>
      <c r="G2008" s="4" t="str">
        <f>HYPERLINK("https://diaocthongthai.com/xa-nuong-dam-kim-boi/","Xã Nuông Dăm")</f>
        <v>Xã Nuông Dăm</v>
      </c>
    </row>
    <row r="2009" spans="1:7" x14ac:dyDescent="0.25">
      <c r="A2009" s="2">
        <v>2008</v>
      </c>
      <c r="B2009" s="3" t="s">
        <v>13</v>
      </c>
      <c r="C2009" s="4" t="str">
        <f t="shared" ref="C2009:C2040" si="171">HYPERLINK("https://diaocthongthai.com/ban-do-hoa-binh/","Hòa Bình")</f>
        <v>Hòa Bình</v>
      </c>
      <c r="D2009" s="3" t="s">
        <v>184</v>
      </c>
      <c r="E2009" s="4" t="str">
        <f t="shared" ref="E2009:E2018" si="172">HYPERLINK("https://diaocthongthai.com/ban-do-huyen-cao-phong-hoa-binh/","Huyện Cao Phong")</f>
        <v>Huyện Cao Phong</v>
      </c>
      <c r="F2009" s="3" t="s">
        <v>2773</v>
      </c>
      <c r="G2009" s="4" t="str">
        <f>HYPERLINK("https://diaocthongthai.com/thi-tran-cao-phong-cao-phong/","Thị trấn Cao Phong")</f>
        <v>Thị trấn Cao Phong</v>
      </c>
    </row>
    <row r="2010" spans="1:7" x14ac:dyDescent="0.25">
      <c r="A2010" s="2">
        <v>2009</v>
      </c>
      <c r="B2010" s="3" t="s">
        <v>13</v>
      </c>
      <c r="C2010" s="4" t="str">
        <f t="shared" si="171"/>
        <v>Hòa Bình</v>
      </c>
      <c r="D2010" s="3" t="s">
        <v>184</v>
      </c>
      <c r="E2010" s="4" t="str">
        <f t="shared" si="172"/>
        <v>Huyện Cao Phong</v>
      </c>
      <c r="F2010" s="3" t="s">
        <v>2774</v>
      </c>
      <c r="G2010" s="4" t="str">
        <f>HYPERLINK("https://diaocthongthai.com/xa-binh-thanh-cao-phong/","Xã Bình Thanh")</f>
        <v>Xã Bình Thanh</v>
      </c>
    </row>
    <row r="2011" spans="1:7" x14ac:dyDescent="0.25">
      <c r="A2011" s="2">
        <v>2010</v>
      </c>
      <c r="B2011" s="3" t="s">
        <v>13</v>
      </c>
      <c r="C2011" s="4" t="str">
        <f t="shared" si="171"/>
        <v>Hòa Bình</v>
      </c>
      <c r="D2011" s="3" t="s">
        <v>184</v>
      </c>
      <c r="E2011" s="4" t="str">
        <f t="shared" si="172"/>
        <v>Huyện Cao Phong</v>
      </c>
      <c r="F2011" s="3" t="s">
        <v>2775</v>
      </c>
      <c r="G2011" s="4" t="str">
        <f>HYPERLINK("https://diaocthongthai.com/xa-thung-nai-cao-phong/","Xã Thung Nai")</f>
        <v>Xã Thung Nai</v>
      </c>
    </row>
    <row r="2012" spans="1:7" x14ac:dyDescent="0.25">
      <c r="A2012" s="2">
        <v>2011</v>
      </c>
      <c r="B2012" s="3" t="s">
        <v>13</v>
      </c>
      <c r="C2012" s="4" t="str">
        <f t="shared" si="171"/>
        <v>Hòa Bình</v>
      </c>
      <c r="D2012" s="3" t="s">
        <v>184</v>
      </c>
      <c r="E2012" s="4" t="str">
        <f t="shared" si="172"/>
        <v>Huyện Cao Phong</v>
      </c>
      <c r="F2012" s="3" t="s">
        <v>2776</v>
      </c>
      <c r="G2012" s="4" t="str">
        <f>HYPERLINK("https://diaocthongthai.com/xa-bac-phong-cao-phong/","Xã Bắc Phong")</f>
        <v>Xã Bắc Phong</v>
      </c>
    </row>
    <row r="2013" spans="1:7" x14ac:dyDescent="0.25">
      <c r="A2013" s="2">
        <v>2012</v>
      </c>
      <c r="B2013" s="3" t="s">
        <v>13</v>
      </c>
      <c r="C2013" s="4" t="str">
        <f t="shared" si="171"/>
        <v>Hòa Bình</v>
      </c>
      <c r="D2013" s="3" t="s">
        <v>184</v>
      </c>
      <c r="E2013" s="4" t="str">
        <f t="shared" si="172"/>
        <v>Huyện Cao Phong</v>
      </c>
      <c r="F2013" s="3" t="s">
        <v>2777</v>
      </c>
      <c r="G2013" s="4" t="str">
        <f>HYPERLINK("https://diaocthongthai.com/xa-thu-phong-cao-phong/","Xã Thu Phong")</f>
        <v>Xã Thu Phong</v>
      </c>
    </row>
    <row r="2014" spans="1:7" x14ac:dyDescent="0.25">
      <c r="A2014" s="2">
        <v>2013</v>
      </c>
      <c r="B2014" s="3" t="s">
        <v>13</v>
      </c>
      <c r="C2014" s="4" t="str">
        <f t="shared" si="171"/>
        <v>Hòa Bình</v>
      </c>
      <c r="D2014" s="3" t="s">
        <v>184</v>
      </c>
      <c r="E2014" s="4" t="str">
        <f t="shared" si="172"/>
        <v>Huyện Cao Phong</v>
      </c>
      <c r="F2014" s="3" t="s">
        <v>2778</v>
      </c>
      <c r="G2014" s="4" t="str">
        <f>HYPERLINK("https://diaocthongthai.com/xa-hop-phong-cao-phong/","Xã Hợp Phong")</f>
        <v>Xã Hợp Phong</v>
      </c>
    </row>
    <row r="2015" spans="1:7" x14ac:dyDescent="0.25">
      <c r="A2015" s="2">
        <v>2014</v>
      </c>
      <c r="B2015" s="3" t="s">
        <v>13</v>
      </c>
      <c r="C2015" s="4" t="str">
        <f t="shared" si="171"/>
        <v>Hòa Bình</v>
      </c>
      <c r="D2015" s="3" t="s">
        <v>184</v>
      </c>
      <c r="E2015" s="4" t="str">
        <f t="shared" si="172"/>
        <v>Huyện Cao Phong</v>
      </c>
      <c r="F2015" s="3" t="s">
        <v>2779</v>
      </c>
      <c r="G2015" s="4" t="str">
        <f>HYPERLINK("https://diaocthongthai.com/xa-tay-phong-cao-phong/","Xã Tây Phong")</f>
        <v>Xã Tây Phong</v>
      </c>
    </row>
    <row r="2016" spans="1:7" x14ac:dyDescent="0.25">
      <c r="A2016" s="2">
        <v>2015</v>
      </c>
      <c r="B2016" s="3" t="s">
        <v>13</v>
      </c>
      <c r="C2016" s="4" t="str">
        <f t="shared" si="171"/>
        <v>Hòa Bình</v>
      </c>
      <c r="D2016" s="3" t="s">
        <v>184</v>
      </c>
      <c r="E2016" s="4" t="str">
        <f t="shared" si="172"/>
        <v>Huyện Cao Phong</v>
      </c>
      <c r="F2016" s="3" t="s">
        <v>2780</v>
      </c>
      <c r="G2016" s="4" t="str">
        <f>HYPERLINK("https://diaocthongthai.com/xa-dung-phong-cao-phong/","Xã Dũng Phong")</f>
        <v>Xã Dũng Phong</v>
      </c>
    </row>
    <row r="2017" spans="1:7" x14ac:dyDescent="0.25">
      <c r="A2017" s="2">
        <v>2016</v>
      </c>
      <c r="B2017" s="3" t="s">
        <v>13</v>
      </c>
      <c r="C2017" s="4" t="str">
        <f t="shared" si="171"/>
        <v>Hòa Bình</v>
      </c>
      <c r="D2017" s="3" t="s">
        <v>184</v>
      </c>
      <c r="E2017" s="4" t="str">
        <f t="shared" si="172"/>
        <v>Huyện Cao Phong</v>
      </c>
      <c r="F2017" s="3" t="s">
        <v>2781</v>
      </c>
      <c r="G2017" s="4" t="str">
        <f>HYPERLINK("https://diaocthongthai.com/xa-nam-phong-cao-phong/","Xã Nam Phong")</f>
        <v>Xã Nam Phong</v>
      </c>
    </row>
    <row r="2018" spans="1:7" x14ac:dyDescent="0.25">
      <c r="A2018" s="2">
        <v>2017</v>
      </c>
      <c r="B2018" s="3" t="s">
        <v>13</v>
      </c>
      <c r="C2018" s="4" t="str">
        <f t="shared" si="171"/>
        <v>Hòa Bình</v>
      </c>
      <c r="D2018" s="3" t="s">
        <v>184</v>
      </c>
      <c r="E2018" s="4" t="str">
        <f t="shared" si="172"/>
        <v>Huyện Cao Phong</v>
      </c>
      <c r="F2018" s="3" t="s">
        <v>2782</v>
      </c>
      <c r="G2018" s="4" t="str">
        <f>HYPERLINK("https://diaocthongthai.com/xa-thach-yen-cao-phong/","Xã Thạch Yên")</f>
        <v>Xã Thạch Yên</v>
      </c>
    </row>
    <row r="2019" spans="1:7" x14ac:dyDescent="0.25">
      <c r="A2019" s="2">
        <v>2018</v>
      </c>
      <c r="B2019" s="3" t="s">
        <v>13</v>
      </c>
      <c r="C2019" s="4" t="str">
        <f t="shared" si="171"/>
        <v>Hòa Bình</v>
      </c>
      <c r="D2019" s="3" t="s">
        <v>185</v>
      </c>
      <c r="E2019" s="4" t="str">
        <f t="shared" ref="E2019:E2034" si="173">HYPERLINK("https://diaocthongthai.com/ban-do-huyen-tan-lac-hoa-binh/","Huyện Tân Lạc")</f>
        <v>Huyện Tân Lạc</v>
      </c>
      <c r="F2019" s="3" t="s">
        <v>2783</v>
      </c>
      <c r="G2019" s="4" t="str">
        <f>HYPERLINK("https://diaocthongthai.com/thi-tran-man-duc-tan-lac/","Thị trấn Mãn Đức")</f>
        <v>Thị trấn Mãn Đức</v>
      </c>
    </row>
    <row r="2020" spans="1:7" x14ac:dyDescent="0.25">
      <c r="A2020" s="2">
        <v>2019</v>
      </c>
      <c r="B2020" s="3" t="s">
        <v>13</v>
      </c>
      <c r="C2020" s="4" t="str">
        <f t="shared" si="171"/>
        <v>Hòa Bình</v>
      </c>
      <c r="D2020" s="3" t="s">
        <v>185</v>
      </c>
      <c r="E2020" s="4" t="str">
        <f t="shared" si="173"/>
        <v>Huyện Tân Lạc</v>
      </c>
      <c r="F2020" s="3" t="s">
        <v>2784</v>
      </c>
      <c r="G2020" s="4" t="str">
        <f>HYPERLINK("https://diaocthongthai.com/xa-suoi-hoa-tan-lac/","Xã Suối Hoa")</f>
        <v>Xã Suối Hoa</v>
      </c>
    </row>
    <row r="2021" spans="1:7" x14ac:dyDescent="0.25">
      <c r="A2021" s="2">
        <v>2020</v>
      </c>
      <c r="B2021" s="3" t="s">
        <v>13</v>
      </c>
      <c r="C2021" s="4" t="str">
        <f t="shared" si="171"/>
        <v>Hòa Bình</v>
      </c>
      <c r="D2021" s="3" t="s">
        <v>185</v>
      </c>
      <c r="E2021" s="4" t="str">
        <f t="shared" si="173"/>
        <v>Huyện Tân Lạc</v>
      </c>
      <c r="F2021" s="3" t="s">
        <v>2785</v>
      </c>
      <c r="G2021" s="4" t="str">
        <f>HYPERLINK("https://diaocthongthai.com/xa-phu-vinh-tan-lac/","Xã Phú Vinh")</f>
        <v>Xã Phú Vinh</v>
      </c>
    </row>
    <row r="2022" spans="1:7" x14ac:dyDescent="0.25">
      <c r="A2022" s="2">
        <v>2021</v>
      </c>
      <c r="B2022" s="3" t="s">
        <v>13</v>
      </c>
      <c r="C2022" s="4" t="str">
        <f t="shared" si="171"/>
        <v>Hòa Bình</v>
      </c>
      <c r="D2022" s="3" t="s">
        <v>185</v>
      </c>
      <c r="E2022" s="4" t="str">
        <f t="shared" si="173"/>
        <v>Huyện Tân Lạc</v>
      </c>
      <c r="F2022" s="3" t="s">
        <v>2786</v>
      </c>
      <c r="G2022" s="4" t="str">
        <f>HYPERLINK("https://diaocthongthai.com/xa-phu-cuong-tan-lac/","Xã Phú Cường")</f>
        <v>Xã Phú Cường</v>
      </c>
    </row>
    <row r="2023" spans="1:7" x14ac:dyDescent="0.25">
      <c r="A2023" s="2">
        <v>2022</v>
      </c>
      <c r="B2023" s="3" t="s">
        <v>13</v>
      </c>
      <c r="C2023" s="4" t="str">
        <f t="shared" si="171"/>
        <v>Hòa Bình</v>
      </c>
      <c r="D2023" s="3" t="s">
        <v>185</v>
      </c>
      <c r="E2023" s="4" t="str">
        <f t="shared" si="173"/>
        <v>Huyện Tân Lạc</v>
      </c>
      <c r="F2023" s="3" t="s">
        <v>2787</v>
      </c>
      <c r="G2023" s="4" t="str">
        <f>HYPERLINK("https://diaocthongthai.com/xa-my-hoa-tan-lac/","Xã Mỹ Hòa")</f>
        <v>Xã Mỹ Hòa</v>
      </c>
    </row>
    <row r="2024" spans="1:7" x14ac:dyDescent="0.25">
      <c r="A2024" s="2">
        <v>2023</v>
      </c>
      <c r="B2024" s="3" t="s">
        <v>13</v>
      </c>
      <c r="C2024" s="4" t="str">
        <f t="shared" si="171"/>
        <v>Hòa Bình</v>
      </c>
      <c r="D2024" s="3" t="s">
        <v>185</v>
      </c>
      <c r="E2024" s="4" t="str">
        <f t="shared" si="173"/>
        <v>Huyện Tân Lạc</v>
      </c>
      <c r="F2024" s="3" t="s">
        <v>2788</v>
      </c>
      <c r="G2024" s="4" t="str">
        <f>HYPERLINK("https://diaocthongthai.com/xa-quyet-chien-tan-lac/","Xã Quyết Chiến")</f>
        <v>Xã Quyết Chiến</v>
      </c>
    </row>
    <row r="2025" spans="1:7" x14ac:dyDescent="0.25">
      <c r="A2025" s="2">
        <v>2024</v>
      </c>
      <c r="B2025" s="3" t="s">
        <v>13</v>
      </c>
      <c r="C2025" s="4" t="str">
        <f t="shared" si="171"/>
        <v>Hòa Bình</v>
      </c>
      <c r="D2025" s="3" t="s">
        <v>185</v>
      </c>
      <c r="E2025" s="4" t="str">
        <f t="shared" si="173"/>
        <v>Huyện Tân Lạc</v>
      </c>
      <c r="F2025" s="3" t="s">
        <v>2789</v>
      </c>
      <c r="G2025" s="4" t="str">
        <f>HYPERLINK("https://diaocthongthai.com/xa-phong-phu-tan-lac/","Xã Phong Phú")</f>
        <v>Xã Phong Phú</v>
      </c>
    </row>
    <row r="2026" spans="1:7" x14ac:dyDescent="0.25">
      <c r="A2026" s="2">
        <v>2025</v>
      </c>
      <c r="B2026" s="3" t="s">
        <v>13</v>
      </c>
      <c r="C2026" s="4" t="str">
        <f t="shared" si="171"/>
        <v>Hòa Bình</v>
      </c>
      <c r="D2026" s="3" t="s">
        <v>185</v>
      </c>
      <c r="E2026" s="4" t="str">
        <f t="shared" si="173"/>
        <v>Huyện Tân Lạc</v>
      </c>
      <c r="F2026" s="3" t="s">
        <v>2790</v>
      </c>
      <c r="G2026" s="4" t="str">
        <f>HYPERLINK("https://diaocthongthai.com/xa-tu-ne-tan-lac/","Xã Tử Nê")</f>
        <v>Xã Tử Nê</v>
      </c>
    </row>
    <row r="2027" spans="1:7" x14ac:dyDescent="0.25">
      <c r="A2027" s="2">
        <v>2026</v>
      </c>
      <c r="B2027" s="3" t="s">
        <v>13</v>
      </c>
      <c r="C2027" s="4" t="str">
        <f t="shared" si="171"/>
        <v>Hòa Bình</v>
      </c>
      <c r="D2027" s="3" t="s">
        <v>185</v>
      </c>
      <c r="E2027" s="4" t="str">
        <f t="shared" si="173"/>
        <v>Huyện Tân Lạc</v>
      </c>
      <c r="F2027" s="3" t="s">
        <v>2791</v>
      </c>
      <c r="G2027" s="4" t="str">
        <f>HYPERLINK("https://diaocthongthai.com/xa-thanh-hoi-tan-lac/","Xã Thanh Hối")</f>
        <v>Xã Thanh Hối</v>
      </c>
    </row>
    <row r="2028" spans="1:7" x14ac:dyDescent="0.25">
      <c r="A2028" s="2">
        <v>2027</v>
      </c>
      <c r="B2028" s="3" t="s">
        <v>13</v>
      </c>
      <c r="C2028" s="4" t="str">
        <f t="shared" si="171"/>
        <v>Hòa Bình</v>
      </c>
      <c r="D2028" s="3" t="s">
        <v>185</v>
      </c>
      <c r="E2028" s="4" t="str">
        <f t="shared" si="173"/>
        <v>Huyện Tân Lạc</v>
      </c>
      <c r="F2028" s="3" t="s">
        <v>2792</v>
      </c>
      <c r="G2028" s="4" t="str">
        <f>HYPERLINK("https://diaocthongthai.com/xa-ngoc-my-tan-lac/","Xã Ngọc Mỹ")</f>
        <v>Xã Ngọc Mỹ</v>
      </c>
    </row>
    <row r="2029" spans="1:7" x14ac:dyDescent="0.25">
      <c r="A2029" s="2">
        <v>2028</v>
      </c>
      <c r="B2029" s="3" t="s">
        <v>13</v>
      </c>
      <c r="C2029" s="4" t="str">
        <f t="shared" si="171"/>
        <v>Hòa Bình</v>
      </c>
      <c r="D2029" s="3" t="s">
        <v>185</v>
      </c>
      <c r="E2029" s="4" t="str">
        <f t="shared" si="173"/>
        <v>Huyện Tân Lạc</v>
      </c>
      <c r="F2029" s="3" t="s">
        <v>2793</v>
      </c>
      <c r="G2029" s="4" t="str">
        <f>HYPERLINK("https://diaocthongthai.com/xa-dong-lai-tan-lac/","Xã Đông Lai")</f>
        <v>Xã Đông Lai</v>
      </c>
    </row>
    <row r="2030" spans="1:7" x14ac:dyDescent="0.25">
      <c r="A2030" s="2">
        <v>2029</v>
      </c>
      <c r="B2030" s="3" t="s">
        <v>13</v>
      </c>
      <c r="C2030" s="4" t="str">
        <f t="shared" si="171"/>
        <v>Hòa Bình</v>
      </c>
      <c r="D2030" s="3" t="s">
        <v>185</v>
      </c>
      <c r="E2030" s="4" t="str">
        <f t="shared" si="173"/>
        <v>Huyện Tân Lạc</v>
      </c>
      <c r="F2030" s="3" t="s">
        <v>2794</v>
      </c>
      <c r="G2030" s="4" t="str">
        <f>HYPERLINK("https://diaocthongthai.com/xa-van-son-tan-lac/","Xã Vân Sơn")</f>
        <v>Xã Vân Sơn</v>
      </c>
    </row>
    <row r="2031" spans="1:7" x14ac:dyDescent="0.25">
      <c r="A2031" s="2">
        <v>2030</v>
      </c>
      <c r="B2031" s="3" t="s">
        <v>13</v>
      </c>
      <c r="C2031" s="4" t="str">
        <f t="shared" si="171"/>
        <v>Hòa Bình</v>
      </c>
      <c r="D2031" s="3" t="s">
        <v>185</v>
      </c>
      <c r="E2031" s="4" t="str">
        <f t="shared" si="173"/>
        <v>Huyện Tân Lạc</v>
      </c>
      <c r="F2031" s="3" t="s">
        <v>2795</v>
      </c>
      <c r="G2031" s="4" t="str">
        <f>HYPERLINK("https://diaocthongthai.com/xa-nhan-my-tan-lac/","Xã Nhân Mỹ")</f>
        <v>Xã Nhân Mỹ</v>
      </c>
    </row>
    <row r="2032" spans="1:7" x14ac:dyDescent="0.25">
      <c r="A2032" s="2">
        <v>2031</v>
      </c>
      <c r="B2032" s="3" t="s">
        <v>13</v>
      </c>
      <c r="C2032" s="4" t="str">
        <f t="shared" si="171"/>
        <v>Hòa Bình</v>
      </c>
      <c r="D2032" s="3" t="s">
        <v>185</v>
      </c>
      <c r="E2032" s="4" t="str">
        <f t="shared" si="173"/>
        <v>Huyện Tân Lạc</v>
      </c>
      <c r="F2032" s="3" t="s">
        <v>2796</v>
      </c>
      <c r="G2032" s="4" t="str">
        <f>HYPERLINK("https://diaocthongthai.com/xa-lo-son-tan-lac/","Xã Lỗ Sơn")</f>
        <v>Xã Lỗ Sơn</v>
      </c>
    </row>
    <row r="2033" spans="1:7" x14ac:dyDescent="0.25">
      <c r="A2033" s="2">
        <v>2032</v>
      </c>
      <c r="B2033" s="3" t="s">
        <v>13</v>
      </c>
      <c r="C2033" s="4" t="str">
        <f t="shared" si="171"/>
        <v>Hòa Bình</v>
      </c>
      <c r="D2033" s="3" t="s">
        <v>185</v>
      </c>
      <c r="E2033" s="4" t="str">
        <f t="shared" si="173"/>
        <v>Huyện Tân Lạc</v>
      </c>
      <c r="F2033" s="3" t="s">
        <v>2797</v>
      </c>
      <c r="G2033" s="4" t="str">
        <f>HYPERLINK("https://diaocthongthai.com/xa-ngo-luong-tan-lac/","Xã Ngổ Luông")</f>
        <v>Xã Ngổ Luông</v>
      </c>
    </row>
    <row r="2034" spans="1:7" x14ac:dyDescent="0.25">
      <c r="A2034" s="2">
        <v>2033</v>
      </c>
      <c r="B2034" s="3" t="s">
        <v>13</v>
      </c>
      <c r="C2034" s="4" t="str">
        <f t="shared" si="171"/>
        <v>Hòa Bình</v>
      </c>
      <c r="D2034" s="3" t="s">
        <v>185</v>
      </c>
      <c r="E2034" s="4" t="str">
        <f t="shared" si="173"/>
        <v>Huyện Tân Lạc</v>
      </c>
      <c r="F2034" s="3" t="s">
        <v>2798</v>
      </c>
      <c r="G2034" s="4" t="str">
        <f>HYPERLINK("https://diaocthongthai.com/xa-gia-mo-tan-lac/","Xã Gia Mô")</f>
        <v>Xã Gia Mô</v>
      </c>
    </row>
    <row r="2035" spans="1:7" x14ac:dyDescent="0.25">
      <c r="A2035" s="2">
        <v>2034</v>
      </c>
      <c r="B2035" s="3" t="s">
        <v>13</v>
      </c>
      <c r="C2035" s="4" t="str">
        <f t="shared" si="171"/>
        <v>Hòa Bình</v>
      </c>
      <c r="D2035" s="3" t="s">
        <v>186</v>
      </c>
      <c r="E2035" s="4" t="str">
        <f t="shared" ref="E2035:E2050" si="174">HYPERLINK("https://diaocthongthai.com/ban-do-huyen-mai-chau-hoa-binh/","Huyện Mai Châu")</f>
        <v>Huyện Mai Châu</v>
      </c>
      <c r="F2035" s="3" t="s">
        <v>2799</v>
      </c>
      <c r="G2035" s="4" t="str">
        <f>HYPERLINK("https://diaocthongthai.com/xa-tan-thanh-mai-chau/","Xã Tân Thành")</f>
        <v>Xã Tân Thành</v>
      </c>
    </row>
    <row r="2036" spans="1:7" x14ac:dyDescent="0.25">
      <c r="A2036" s="2">
        <v>2035</v>
      </c>
      <c r="B2036" s="3" t="s">
        <v>13</v>
      </c>
      <c r="C2036" s="4" t="str">
        <f t="shared" si="171"/>
        <v>Hòa Bình</v>
      </c>
      <c r="D2036" s="3" t="s">
        <v>186</v>
      </c>
      <c r="E2036" s="4" t="str">
        <f t="shared" si="174"/>
        <v>Huyện Mai Châu</v>
      </c>
      <c r="F2036" s="3" t="s">
        <v>2800</v>
      </c>
      <c r="G2036" s="4" t="str">
        <f>HYPERLINK("https://diaocthongthai.com/thi-tran-mai-chau-mai-chau/","Thị trấn Mai Châu")</f>
        <v>Thị trấn Mai Châu</v>
      </c>
    </row>
    <row r="2037" spans="1:7" x14ac:dyDescent="0.25">
      <c r="A2037" s="2">
        <v>2036</v>
      </c>
      <c r="B2037" s="3" t="s">
        <v>13</v>
      </c>
      <c r="C2037" s="4" t="str">
        <f t="shared" si="171"/>
        <v>Hòa Bình</v>
      </c>
      <c r="D2037" s="3" t="s">
        <v>186</v>
      </c>
      <c r="E2037" s="4" t="str">
        <f t="shared" si="174"/>
        <v>Huyện Mai Châu</v>
      </c>
      <c r="F2037" s="3" t="s">
        <v>2801</v>
      </c>
      <c r="G2037" s="4" t="str">
        <f>HYPERLINK("https://diaocthongthai.com/xa-son-thuy-mai-chau/","Xã Sơn Thủy")</f>
        <v>Xã Sơn Thủy</v>
      </c>
    </row>
    <row r="2038" spans="1:7" x14ac:dyDescent="0.25">
      <c r="A2038" s="2">
        <v>2037</v>
      </c>
      <c r="B2038" s="3" t="s">
        <v>13</v>
      </c>
      <c r="C2038" s="4" t="str">
        <f t="shared" si="171"/>
        <v>Hòa Bình</v>
      </c>
      <c r="D2038" s="3" t="s">
        <v>186</v>
      </c>
      <c r="E2038" s="4" t="str">
        <f t="shared" si="174"/>
        <v>Huyện Mai Châu</v>
      </c>
      <c r="F2038" s="3" t="s">
        <v>2802</v>
      </c>
      <c r="G2038" s="4" t="str">
        <f>HYPERLINK("https://diaocthongthai.com/xa-pa-co-mai-chau/","Xã Pà Cò")</f>
        <v>Xã Pà Cò</v>
      </c>
    </row>
    <row r="2039" spans="1:7" x14ac:dyDescent="0.25">
      <c r="A2039" s="2">
        <v>2038</v>
      </c>
      <c r="B2039" s="3" t="s">
        <v>13</v>
      </c>
      <c r="C2039" s="4" t="str">
        <f t="shared" si="171"/>
        <v>Hòa Bình</v>
      </c>
      <c r="D2039" s="3" t="s">
        <v>186</v>
      </c>
      <c r="E2039" s="4" t="str">
        <f t="shared" si="174"/>
        <v>Huyện Mai Châu</v>
      </c>
      <c r="F2039" s="3" t="s">
        <v>2803</v>
      </c>
      <c r="G2039" s="4" t="str">
        <f>HYPERLINK("https://diaocthongthai.com/xa-hang-kia-mai-chau/","Xã Hang Kia")</f>
        <v>Xã Hang Kia</v>
      </c>
    </row>
    <row r="2040" spans="1:7" x14ac:dyDescent="0.25">
      <c r="A2040" s="2">
        <v>2039</v>
      </c>
      <c r="B2040" s="3" t="s">
        <v>13</v>
      </c>
      <c r="C2040" s="4" t="str">
        <f t="shared" si="171"/>
        <v>Hòa Bình</v>
      </c>
      <c r="D2040" s="3" t="s">
        <v>186</v>
      </c>
      <c r="E2040" s="4" t="str">
        <f t="shared" si="174"/>
        <v>Huyện Mai Châu</v>
      </c>
      <c r="F2040" s="3" t="s">
        <v>2804</v>
      </c>
      <c r="G2040" s="4" t="str">
        <f>HYPERLINK("https://diaocthongthai.com/xa-dong-tan-mai-chau/","Xã Đồng Tân")</f>
        <v>Xã Đồng Tân</v>
      </c>
    </row>
    <row r="2041" spans="1:7" x14ac:dyDescent="0.25">
      <c r="A2041" s="2">
        <v>2040</v>
      </c>
      <c r="B2041" s="3" t="s">
        <v>13</v>
      </c>
      <c r="C2041" s="4" t="str">
        <f t="shared" ref="C2041:C2072" si="175">HYPERLINK("https://diaocthongthai.com/ban-do-hoa-binh/","Hòa Bình")</f>
        <v>Hòa Bình</v>
      </c>
      <c r="D2041" s="3" t="s">
        <v>186</v>
      </c>
      <c r="E2041" s="4" t="str">
        <f t="shared" si="174"/>
        <v>Huyện Mai Châu</v>
      </c>
      <c r="F2041" s="3" t="s">
        <v>2805</v>
      </c>
      <c r="G2041" s="4" t="str">
        <f>HYPERLINK("https://diaocthongthai.com/xa-cun-pheo-mai-chau/","Xã Cun Pheo")</f>
        <v>Xã Cun Pheo</v>
      </c>
    </row>
    <row r="2042" spans="1:7" x14ac:dyDescent="0.25">
      <c r="A2042" s="2">
        <v>2041</v>
      </c>
      <c r="B2042" s="3" t="s">
        <v>13</v>
      </c>
      <c r="C2042" s="4" t="str">
        <f t="shared" si="175"/>
        <v>Hòa Bình</v>
      </c>
      <c r="D2042" s="3" t="s">
        <v>186</v>
      </c>
      <c r="E2042" s="4" t="str">
        <f t="shared" si="174"/>
        <v>Huyện Mai Châu</v>
      </c>
      <c r="F2042" s="3" t="s">
        <v>2806</v>
      </c>
      <c r="G2042" s="4" t="str">
        <f>HYPERLINK("https://diaocthongthai.com/xa-bao-la-mai-chau/","Xã Bao La")</f>
        <v>Xã Bao La</v>
      </c>
    </row>
    <row r="2043" spans="1:7" x14ac:dyDescent="0.25">
      <c r="A2043" s="2">
        <v>2042</v>
      </c>
      <c r="B2043" s="3" t="s">
        <v>13</v>
      </c>
      <c r="C2043" s="4" t="str">
        <f t="shared" si="175"/>
        <v>Hòa Bình</v>
      </c>
      <c r="D2043" s="3" t="s">
        <v>186</v>
      </c>
      <c r="E2043" s="4" t="str">
        <f t="shared" si="174"/>
        <v>Huyện Mai Châu</v>
      </c>
      <c r="F2043" s="3" t="s">
        <v>2807</v>
      </c>
      <c r="G2043" s="4" t="str">
        <f>HYPERLINK("https://diaocthongthai.com/xa-tong-dau-mai-chau/","Xã Tòng Đậu")</f>
        <v>Xã Tòng Đậu</v>
      </c>
    </row>
    <row r="2044" spans="1:7" x14ac:dyDescent="0.25">
      <c r="A2044" s="2">
        <v>2043</v>
      </c>
      <c r="B2044" s="3" t="s">
        <v>13</v>
      </c>
      <c r="C2044" s="4" t="str">
        <f t="shared" si="175"/>
        <v>Hòa Bình</v>
      </c>
      <c r="D2044" s="3" t="s">
        <v>186</v>
      </c>
      <c r="E2044" s="4" t="str">
        <f t="shared" si="174"/>
        <v>Huyện Mai Châu</v>
      </c>
      <c r="F2044" s="3" t="s">
        <v>2808</v>
      </c>
      <c r="G2044" s="4" t="str">
        <f>HYPERLINK("https://diaocthongthai.com/xa-na-phon-mai-chau/","Xã Nà Phòn")</f>
        <v>Xã Nà Phòn</v>
      </c>
    </row>
    <row r="2045" spans="1:7" x14ac:dyDescent="0.25">
      <c r="A2045" s="2">
        <v>2044</v>
      </c>
      <c r="B2045" s="3" t="s">
        <v>13</v>
      </c>
      <c r="C2045" s="4" t="str">
        <f t="shared" si="175"/>
        <v>Hòa Bình</v>
      </c>
      <c r="D2045" s="3" t="s">
        <v>186</v>
      </c>
      <c r="E2045" s="4" t="str">
        <f t="shared" si="174"/>
        <v>Huyện Mai Châu</v>
      </c>
      <c r="F2045" s="3" t="s">
        <v>2809</v>
      </c>
      <c r="G2045" s="4" t="str">
        <f>HYPERLINK("https://diaocthongthai.com/xa-xam-khoe-mai-chau/","Xã Săm Khóe")</f>
        <v>Xã Săm Khóe</v>
      </c>
    </row>
    <row r="2046" spans="1:7" x14ac:dyDescent="0.25">
      <c r="A2046" s="2">
        <v>2045</v>
      </c>
      <c r="B2046" s="3" t="s">
        <v>13</v>
      </c>
      <c r="C2046" s="4" t="str">
        <f t="shared" si="175"/>
        <v>Hòa Bình</v>
      </c>
      <c r="D2046" s="3" t="s">
        <v>186</v>
      </c>
      <c r="E2046" s="4" t="str">
        <f t="shared" si="174"/>
        <v>Huyện Mai Châu</v>
      </c>
      <c r="F2046" s="3" t="s">
        <v>2810</v>
      </c>
      <c r="G2046" s="4" t="str">
        <f>HYPERLINK("https://diaocthongthai.com/xa-chieng-chau-mai-chau/","Xã Chiềng Châu")</f>
        <v>Xã Chiềng Châu</v>
      </c>
    </row>
    <row r="2047" spans="1:7" x14ac:dyDescent="0.25">
      <c r="A2047" s="2">
        <v>2046</v>
      </c>
      <c r="B2047" s="3" t="s">
        <v>13</v>
      </c>
      <c r="C2047" s="4" t="str">
        <f t="shared" si="175"/>
        <v>Hòa Bình</v>
      </c>
      <c r="D2047" s="3" t="s">
        <v>186</v>
      </c>
      <c r="E2047" s="4" t="str">
        <f t="shared" si="174"/>
        <v>Huyện Mai Châu</v>
      </c>
      <c r="F2047" s="3" t="s">
        <v>2811</v>
      </c>
      <c r="G2047" s="4" t="str">
        <f>HYPERLINK("https://diaocthongthai.com/xa-mai-ha-mai-chau/","Xã Mai Hạ")</f>
        <v>Xã Mai Hạ</v>
      </c>
    </row>
    <row r="2048" spans="1:7" x14ac:dyDescent="0.25">
      <c r="A2048" s="2">
        <v>2047</v>
      </c>
      <c r="B2048" s="3" t="s">
        <v>13</v>
      </c>
      <c r="C2048" s="4" t="str">
        <f t="shared" si="175"/>
        <v>Hòa Bình</v>
      </c>
      <c r="D2048" s="3" t="s">
        <v>186</v>
      </c>
      <c r="E2048" s="4" t="str">
        <f t="shared" si="174"/>
        <v>Huyện Mai Châu</v>
      </c>
      <c r="F2048" s="3" t="s">
        <v>2812</v>
      </c>
      <c r="G2048" s="4" t="str">
        <f>HYPERLINK("https://diaocthongthai.com/xa-thanh-son-mai-chau/","Xã Thành Sơn")</f>
        <v>Xã Thành Sơn</v>
      </c>
    </row>
    <row r="2049" spans="1:7" x14ac:dyDescent="0.25">
      <c r="A2049" s="2">
        <v>2048</v>
      </c>
      <c r="B2049" s="3" t="s">
        <v>13</v>
      </c>
      <c r="C2049" s="4" t="str">
        <f t="shared" si="175"/>
        <v>Hòa Bình</v>
      </c>
      <c r="D2049" s="3" t="s">
        <v>186</v>
      </c>
      <c r="E2049" s="4" t="str">
        <f t="shared" si="174"/>
        <v>Huyện Mai Châu</v>
      </c>
      <c r="F2049" s="3" t="s">
        <v>2813</v>
      </c>
      <c r="G2049" s="4" t="str">
        <f>HYPERLINK("https://diaocthongthai.com/xa-mai-hich-mai-chau/","Xã Mai Hịch")</f>
        <v>Xã Mai Hịch</v>
      </c>
    </row>
    <row r="2050" spans="1:7" x14ac:dyDescent="0.25">
      <c r="A2050" s="2">
        <v>2049</v>
      </c>
      <c r="B2050" s="3" t="s">
        <v>13</v>
      </c>
      <c r="C2050" s="4" t="str">
        <f t="shared" si="175"/>
        <v>Hòa Bình</v>
      </c>
      <c r="D2050" s="3" t="s">
        <v>186</v>
      </c>
      <c r="E2050" s="4" t="str">
        <f t="shared" si="174"/>
        <v>Huyện Mai Châu</v>
      </c>
      <c r="F2050" s="3" t="s">
        <v>2814</v>
      </c>
      <c r="G2050" s="4" t="str">
        <f>HYPERLINK("https://diaocthongthai.com/xa-van-mai-mai-chau/","Xã Vạn Mai")</f>
        <v>Xã Vạn Mai</v>
      </c>
    </row>
    <row r="2051" spans="1:7" x14ac:dyDescent="0.25">
      <c r="A2051" s="2">
        <v>2050</v>
      </c>
      <c r="B2051" s="3" t="s">
        <v>13</v>
      </c>
      <c r="C2051" s="4" t="str">
        <f t="shared" si="175"/>
        <v>Hòa Bình</v>
      </c>
      <c r="D2051" s="3" t="s">
        <v>187</v>
      </c>
      <c r="E2051" s="4" t="str">
        <f t="shared" ref="E2051:E2074" si="176">HYPERLINK("https://diaocthongthai.com/ban-do-huyen-lac-son-hoa-binh/","Huyện Lạc Sơn")</f>
        <v>Huyện Lạc Sơn</v>
      </c>
      <c r="F2051" s="3" t="s">
        <v>2815</v>
      </c>
      <c r="G2051" s="4" t="str">
        <f>HYPERLINK("https://diaocthongthai.com/thi-tran-vu-ban-lac-son/","Thị trấn Vụ Bản")</f>
        <v>Thị trấn Vụ Bản</v>
      </c>
    </row>
    <row r="2052" spans="1:7" x14ac:dyDescent="0.25">
      <c r="A2052" s="2">
        <v>2051</v>
      </c>
      <c r="B2052" s="3" t="s">
        <v>13</v>
      </c>
      <c r="C2052" s="4" t="str">
        <f t="shared" si="175"/>
        <v>Hòa Bình</v>
      </c>
      <c r="D2052" s="3" t="s">
        <v>187</v>
      </c>
      <c r="E2052" s="4" t="str">
        <f t="shared" si="176"/>
        <v>Huyện Lạc Sơn</v>
      </c>
      <c r="F2052" s="3" t="s">
        <v>2816</v>
      </c>
      <c r="G2052" s="4" t="str">
        <f>HYPERLINK("https://diaocthongthai.com/xa-quy-hoa-lac-son/","Xã Quý Hòa")</f>
        <v>Xã Quý Hòa</v>
      </c>
    </row>
    <row r="2053" spans="1:7" x14ac:dyDescent="0.25">
      <c r="A2053" s="2">
        <v>2052</v>
      </c>
      <c r="B2053" s="3" t="s">
        <v>13</v>
      </c>
      <c r="C2053" s="4" t="str">
        <f t="shared" si="175"/>
        <v>Hòa Bình</v>
      </c>
      <c r="D2053" s="3" t="s">
        <v>187</v>
      </c>
      <c r="E2053" s="4" t="str">
        <f t="shared" si="176"/>
        <v>Huyện Lạc Sơn</v>
      </c>
      <c r="F2053" s="3" t="s">
        <v>2817</v>
      </c>
      <c r="G2053" s="4" t="str">
        <f>HYPERLINK("https://diaocthongthai.com/xa-mien-doi-lac-son/","Xã Miền Đồi")</f>
        <v>Xã Miền Đồi</v>
      </c>
    </row>
    <row r="2054" spans="1:7" x14ac:dyDescent="0.25">
      <c r="A2054" s="2">
        <v>2053</v>
      </c>
      <c r="B2054" s="3" t="s">
        <v>13</v>
      </c>
      <c r="C2054" s="4" t="str">
        <f t="shared" si="175"/>
        <v>Hòa Bình</v>
      </c>
      <c r="D2054" s="3" t="s">
        <v>187</v>
      </c>
      <c r="E2054" s="4" t="str">
        <f t="shared" si="176"/>
        <v>Huyện Lạc Sơn</v>
      </c>
      <c r="F2054" s="3" t="s">
        <v>2818</v>
      </c>
      <c r="G2054" s="4" t="str">
        <f>HYPERLINK("https://diaocthongthai.com/xa-my-thanh-lac-son/","Xã Mỹ Thành")</f>
        <v>Xã Mỹ Thành</v>
      </c>
    </row>
    <row r="2055" spans="1:7" x14ac:dyDescent="0.25">
      <c r="A2055" s="2">
        <v>2054</v>
      </c>
      <c r="B2055" s="3" t="s">
        <v>13</v>
      </c>
      <c r="C2055" s="4" t="str">
        <f t="shared" si="175"/>
        <v>Hòa Bình</v>
      </c>
      <c r="D2055" s="3" t="s">
        <v>187</v>
      </c>
      <c r="E2055" s="4" t="str">
        <f t="shared" si="176"/>
        <v>Huyện Lạc Sơn</v>
      </c>
      <c r="F2055" s="3" t="s">
        <v>2819</v>
      </c>
      <c r="G2055" s="4" t="str">
        <f>HYPERLINK("https://diaocthongthai.com/xa-tuan-dao-lac-son/","Xã Tuân Đạo")</f>
        <v>Xã Tuân Đạo</v>
      </c>
    </row>
    <row r="2056" spans="1:7" x14ac:dyDescent="0.25">
      <c r="A2056" s="2">
        <v>2055</v>
      </c>
      <c r="B2056" s="3" t="s">
        <v>13</v>
      </c>
      <c r="C2056" s="4" t="str">
        <f t="shared" si="175"/>
        <v>Hòa Bình</v>
      </c>
      <c r="D2056" s="3" t="s">
        <v>187</v>
      </c>
      <c r="E2056" s="4" t="str">
        <f t="shared" si="176"/>
        <v>Huyện Lạc Sơn</v>
      </c>
      <c r="F2056" s="3" t="s">
        <v>2820</v>
      </c>
      <c r="G2056" s="4" t="str">
        <f>HYPERLINK("https://diaocthongthai.com/xa-van-nghia-lac-son/","Xã Văn Nghĩa")</f>
        <v>Xã Văn Nghĩa</v>
      </c>
    </row>
    <row r="2057" spans="1:7" x14ac:dyDescent="0.25">
      <c r="A2057" s="2">
        <v>2056</v>
      </c>
      <c r="B2057" s="3" t="s">
        <v>13</v>
      </c>
      <c r="C2057" s="4" t="str">
        <f t="shared" si="175"/>
        <v>Hòa Bình</v>
      </c>
      <c r="D2057" s="3" t="s">
        <v>187</v>
      </c>
      <c r="E2057" s="4" t="str">
        <f t="shared" si="176"/>
        <v>Huyện Lạc Sơn</v>
      </c>
      <c r="F2057" s="3" t="s">
        <v>2821</v>
      </c>
      <c r="G2057" s="4" t="str">
        <f>HYPERLINK("https://diaocthongthai.com/xa-van-son-lac-son/","Xã Văn Sơn")</f>
        <v>Xã Văn Sơn</v>
      </c>
    </row>
    <row r="2058" spans="1:7" x14ac:dyDescent="0.25">
      <c r="A2058" s="2">
        <v>2057</v>
      </c>
      <c r="B2058" s="3" t="s">
        <v>13</v>
      </c>
      <c r="C2058" s="4" t="str">
        <f t="shared" si="175"/>
        <v>Hòa Bình</v>
      </c>
      <c r="D2058" s="3" t="s">
        <v>187</v>
      </c>
      <c r="E2058" s="4" t="str">
        <f t="shared" si="176"/>
        <v>Huyện Lạc Sơn</v>
      </c>
      <c r="F2058" s="3" t="s">
        <v>2822</v>
      </c>
      <c r="G2058" s="4" t="str">
        <f>HYPERLINK("https://diaocthongthai.com/xa-tan-lap-lac-son/","Xã Tân Lập")</f>
        <v>Xã Tân Lập</v>
      </c>
    </row>
    <row r="2059" spans="1:7" x14ac:dyDescent="0.25">
      <c r="A2059" s="2">
        <v>2058</v>
      </c>
      <c r="B2059" s="3" t="s">
        <v>13</v>
      </c>
      <c r="C2059" s="4" t="str">
        <f t="shared" si="175"/>
        <v>Hòa Bình</v>
      </c>
      <c r="D2059" s="3" t="s">
        <v>187</v>
      </c>
      <c r="E2059" s="4" t="str">
        <f t="shared" si="176"/>
        <v>Huyện Lạc Sơn</v>
      </c>
      <c r="F2059" s="3" t="s">
        <v>2823</v>
      </c>
      <c r="G2059" s="4" t="str">
        <f>HYPERLINK("https://diaocthongthai.com/xa-nhan-nghia-lac-son/","Xã Nhân Nghĩa")</f>
        <v>Xã Nhân Nghĩa</v>
      </c>
    </row>
    <row r="2060" spans="1:7" x14ac:dyDescent="0.25">
      <c r="A2060" s="2">
        <v>2059</v>
      </c>
      <c r="B2060" s="3" t="s">
        <v>13</v>
      </c>
      <c r="C2060" s="4" t="str">
        <f t="shared" si="175"/>
        <v>Hòa Bình</v>
      </c>
      <c r="D2060" s="3" t="s">
        <v>187</v>
      </c>
      <c r="E2060" s="4" t="str">
        <f t="shared" si="176"/>
        <v>Huyện Lạc Sơn</v>
      </c>
      <c r="F2060" s="3" t="s">
        <v>2824</v>
      </c>
      <c r="G2060" s="4" t="str">
        <f>HYPERLINK("https://diaocthongthai.com/xa-thuong-coc-lac-son/","Xã Thượng Cốc")</f>
        <v>Xã Thượng Cốc</v>
      </c>
    </row>
    <row r="2061" spans="1:7" x14ac:dyDescent="0.25">
      <c r="A2061" s="2">
        <v>2060</v>
      </c>
      <c r="B2061" s="3" t="s">
        <v>13</v>
      </c>
      <c r="C2061" s="4" t="str">
        <f t="shared" si="175"/>
        <v>Hòa Bình</v>
      </c>
      <c r="D2061" s="3" t="s">
        <v>187</v>
      </c>
      <c r="E2061" s="4" t="str">
        <f t="shared" si="176"/>
        <v>Huyện Lạc Sơn</v>
      </c>
      <c r="F2061" s="3" t="s">
        <v>2825</v>
      </c>
      <c r="G2061" s="4" t="str">
        <f>HYPERLINK("https://diaocthongthai.com/xa-quyet-thang-lac-son/","Xã Quyết Thắng")</f>
        <v>Xã Quyết Thắng</v>
      </c>
    </row>
    <row r="2062" spans="1:7" x14ac:dyDescent="0.25">
      <c r="A2062" s="2">
        <v>2061</v>
      </c>
      <c r="B2062" s="3" t="s">
        <v>13</v>
      </c>
      <c r="C2062" s="4" t="str">
        <f t="shared" si="175"/>
        <v>Hòa Bình</v>
      </c>
      <c r="D2062" s="3" t="s">
        <v>187</v>
      </c>
      <c r="E2062" s="4" t="str">
        <f t="shared" si="176"/>
        <v>Huyện Lạc Sơn</v>
      </c>
      <c r="F2062" s="3" t="s">
        <v>2826</v>
      </c>
      <c r="G2062" s="4" t="str">
        <f>HYPERLINK("https://diaocthongthai.com/xa-xuat-hoa-lac-son/","Xã Xuất Hóa")</f>
        <v>Xã Xuất Hóa</v>
      </c>
    </row>
    <row r="2063" spans="1:7" x14ac:dyDescent="0.25">
      <c r="A2063" s="2">
        <v>2062</v>
      </c>
      <c r="B2063" s="3" t="s">
        <v>13</v>
      </c>
      <c r="C2063" s="4" t="str">
        <f t="shared" si="175"/>
        <v>Hòa Bình</v>
      </c>
      <c r="D2063" s="3" t="s">
        <v>187</v>
      </c>
      <c r="E2063" s="4" t="str">
        <f t="shared" si="176"/>
        <v>Huyện Lạc Sơn</v>
      </c>
      <c r="F2063" s="3" t="s">
        <v>2827</v>
      </c>
      <c r="G2063" s="4" t="str">
        <f>HYPERLINK("https://diaocthongthai.com/xa-yen-phu-lac-son/","Xã Yên Phú")</f>
        <v>Xã Yên Phú</v>
      </c>
    </row>
    <row r="2064" spans="1:7" x14ac:dyDescent="0.25">
      <c r="A2064" s="2">
        <v>2063</v>
      </c>
      <c r="B2064" s="3" t="s">
        <v>13</v>
      </c>
      <c r="C2064" s="4" t="str">
        <f t="shared" si="175"/>
        <v>Hòa Bình</v>
      </c>
      <c r="D2064" s="3" t="s">
        <v>187</v>
      </c>
      <c r="E2064" s="4" t="str">
        <f t="shared" si="176"/>
        <v>Huyện Lạc Sơn</v>
      </c>
      <c r="F2064" s="3" t="s">
        <v>2828</v>
      </c>
      <c r="G2064" s="4" t="str">
        <f>HYPERLINK("https://diaocthongthai.com/xa-binh-hem-lac-son/","Xã Bình Hẻm")</f>
        <v>Xã Bình Hẻm</v>
      </c>
    </row>
    <row r="2065" spans="1:7" x14ac:dyDescent="0.25">
      <c r="A2065" s="2">
        <v>2064</v>
      </c>
      <c r="B2065" s="3" t="s">
        <v>13</v>
      </c>
      <c r="C2065" s="4" t="str">
        <f t="shared" si="175"/>
        <v>Hòa Bình</v>
      </c>
      <c r="D2065" s="3" t="s">
        <v>187</v>
      </c>
      <c r="E2065" s="4" t="str">
        <f t="shared" si="176"/>
        <v>Huyện Lạc Sơn</v>
      </c>
      <c r="F2065" s="3" t="s">
        <v>2829</v>
      </c>
      <c r="G2065" s="4" t="str">
        <f>HYPERLINK("https://diaocthongthai.com/xa-dinh-cu-lac-son/","Xã Định Cư")</f>
        <v>Xã Định Cư</v>
      </c>
    </row>
    <row r="2066" spans="1:7" x14ac:dyDescent="0.25">
      <c r="A2066" s="2">
        <v>2065</v>
      </c>
      <c r="B2066" s="3" t="s">
        <v>13</v>
      </c>
      <c r="C2066" s="4" t="str">
        <f t="shared" si="175"/>
        <v>Hòa Bình</v>
      </c>
      <c r="D2066" s="3" t="s">
        <v>187</v>
      </c>
      <c r="E2066" s="4" t="str">
        <f t="shared" si="176"/>
        <v>Huyện Lạc Sơn</v>
      </c>
      <c r="F2066" s="3" t="s">
        <v>2830</v>
      </c>
      <c r="G2066" s="4" t="str">
        <f>HYPERLINK("https://diaocthongthai.com/xa-chi-dao-lac-son/","Xã Chí Đạo")</f>
        <v>Xã Chí Đạo</v>
      </c>
    </row>
    <row r="2067" spans="1:7" x14ac:dyDescent="0.25">
      <c r="A2067" s="2">
        <v>2066</v>
      </c>
      <c r="B2067" s="3" t="s">
        <v>13</v>
      </c>
      <c r="C2067" s="4" t="str">
        <f t="shared" si="175"/>
        <v>Hòa Bình</v>
      </c>
      <c r="D2067" s="3" t="s">
        <v>187</v>
      </c>
      <c r="E2067" s="4" t="str">
        <f t="shared" si="176"/>
        <v>Huyện Lạc Sơn</v>
      </c>
      <c r="F2067" s="3" t="s">
        <v>2831</v>
      </c>
      <c r="G2067" s="4" t="str">
        <f>HYPERLINK("https://diaocthongthai.com/xa-ngoc-son-lac-son/","Xã Ngọc Sơn")</f>
        <v>Xã Ngọc Sơn</v>
      </c>
    </row>
    <row r="2068" spans="1:7" x14ac:dyDescent="0.25">
      <c r="A2068" s="2">
        <v>2067</v>
      </c>
      <c r="B2068" s="3" t="s">
        <v>13</v>
      </c>
      <c r="C2068" s="4" t="str">
        <f t="shared" si="175"/>
        <v>Hòa Bình</v>
      </c>
      <c r="D2068" s="3" t="s">
        <v>187</v>
      </c>
      <c r="E2068" s="4" t="str">
        <f t="shared" si="176"/>
        <v>Huyện Lạc Sơn</v>
      </c>
      <c r="F2068" s="3" t="s">
        <v>2832</v>
      </c>
      <c r="G2068" s="4" t="str">
        <f>HYPERLINK("https://diaocthongthai.com/xa-huong-nhuong-lac-son/","Xã Hương Nhượng")</f>
        <v>Xã Hương Nhượng</v>
      </c>
    </row>
    <row r="2069" spans="1:7" x14ac:dyDescent="0.25">
      <c r="A2069" s="2">
        <v>2068</v>
      </c>
      <c r="B2069" s="3" t="s">
        <v>13</v>
      </c>
      <c r="C2069" s="4" t="str">
        <f t="shared" si="175"/>
        <v>Hòa Bình</v>
      </c>
      <c r="D2069" s="3" t="s">
        <v>187</v>
      </c>
      <c r="E2069" s="4" t="str">
        <f t="shared" si="176"/>
        <v>Huyện Lạc Sơn</v>
      </c>
      <c r="F2069" s="3" t="s">
        <v>2833</v>
      </c>
      <c r="G2069" s="4" t="str">
        <f>HYPERLINK("https://diaocthongthai.com/xa-vu-binh-lac-son/","Xã Vũ Bình")</f>
        <v>Xã Vũ Bình</v>
      </c>
    </row>
    <row r="2070" spans="1:7" x14ac:dyDescent="0.25">
      <c r="A2070" s="2">
        <v>2069</v>
      </c>
      <c r="B2070" s="3" t="s">
        <v>13</v>
      </c>
      <c r="C2070" s="4" t="str">
        <f t="shared" si="175"/>
        <v>Hòa Bình</v>
      </c>
      <c r="D2070" s="3" t="s">
        <v>187</v>
      </c>
      <c r="E2070" s="4" t="str">
        <f t="shared" si="176"/>
        <v>Huyện Lạc Sơn</v>
      </c>
      <c r="F2070" s="3" t="s">
        <v>2834</v>
      </c>
      <c r="G2070" s="4" t="str">
        <f>HYPERLINK("https://diaocthongthai.com/xa-tu-do-lac-son/","Xã Tự Do")</f>
        <v>Xã Tự Do</v>
      </c>
    </row>
    <row r="2071" spans="1:7" x14ac:dyDescent="0.25">
      <c r="A2071" s="2">
        <v>2070</v>
      </c>
      <c r="B2071" s="3" t="s">
        <v>13</v>
      </c>
      <c r="C2071" s="4" t="str">
        <f t="shared" si="175"/>
        <v>Hòa Bình</v>
      </c>
      <c r="D2071" s="3" t="s">
        <v>187</v>
      </c>
      <c r="E2071" s="4" t="str">
        <f t="shared" si="176"/>
        <v>Huyện Lạc Sơn</v>
      </c>
      <c r="F2071" s="3" t="s">
        <v>2835</v>
      </c>
      <c r="G2071" s="4" t="str">
        <f>HYPERLINK("https://diaocthongthai.com/xa-yen-nghiep-lac-son/","Xã Yên Nghiệp")</f>
        <v>Xã Yên Nghiệp</v>
      </c>
    </row>
    <row r="2072" spans="1:7" x14ac:dyDescent="0.25">
      <c r="A2072" s="2">
        <v>2071</v>
      </c>
      <c r="B2072" s="3" t="s">
        <v>13</v>
      </c>
      <c r="C2072" s="4" t="str">
        <f t="shared" si="175"/>
        <v>Hòa Bình</v>
      </c>
      <c r="D2072" s="3" t="s">
        <v>187</v>
      </c>
      <c r="E2072" s="4" t="str">
        <f t="shared" si="176"/>
        <v>Huyện Lạc Sơn</v>
      </c>
      <c r="F2072" s="3" t="s">
        <v>2836</v>
      </c>
      <c r="G2072" s="4" t="str">
        <f>HYPERLINK("https://diaocthongthai.com/xa-tan-my-lac-son/","Xã Tân Mỹ")</f>
        <v>Xã Tân Mỹ</v>
      </c>
    </row>
    <row r="2073" spans="1:7" x14ac:dyDescent="0.25">
      <c r="A2073" s="2">
        <v>2072</v>
      </c>
      <c r="B2073" s="3" t="s">
        <v>13</v>
      </c>
      <c r="C2073" s="4" t="str">
        <f t="shared" ref="C2073:C2095" si="177">HYPERLINK("https://diaocthongthai.com/ban-do-hoa-binh/","Hòa Bình")</f>
        <v>Hòa Bình</v>
      </c>
      <c r="D2073" s="3" t="s">
        <v>187</v>
      </c>
      <c r="E2073" s="4" t="str">
        <f t="shared" si="176"/>
        <v>Huyện Lạc Sơn</v>
      </c>
      <c r="F2073" s="3" t="s">
        <v>2837</v>
      </c>
      <c r="G2073" s="4" t="str">
        <f>HYPERLINK("https://diaocthongthai.com/xa-an-nghia-lac-son/","Xã Ân Nghĩa")</f>
        <v>Xã Ân Nghĩa</v>
      </c>
    </row>
    <row r="2074" spans="1:7" x14ac:dyDescent="0.25">
      <c r="A2074" s="2">
        <v>2073</v>
      </c>
      <c r="B2074" s="3" t="s">
        <v>13</v>
      </c>
      <c r="C2074" s="4" t="str">
        <f t="shared" si="177"/>
        <v>Hòa Bình</v>
      </c>
      <c r="D2074" s="3" t="s">
        <v>187</v>
      </c>
      <c r="E2074" s="4" t="str">
        <f t="shared" si="176"/>
        <v>Huyện Lạc Sơn</v>
      </c>
      <c r="F2074" s="3" t="s">
        <v>2838</v>
      </c>
      <c r="G2074" s="4" t="str">
        <f>HYPERLINK("https://diaocthongthai.com/xa-ngoc-lau-lac-son/","Xã Ngọc Lâu")</f>
        <v>Xã Ngọc Lâu</v>
      </c>
    </row>
    <row r="2075" spans="1:7" x14ac:dyDescent="0.25">
      <c r="A2075" s="2">
        <v>2074</v>
      </c>
      <c r="B2075" s="3" t="s">
        <v>13</v>
      </c>
      <c r="C2075" s="4" t="str">
        <f t="shared" si="177"/>
        <v>Hòa Bình</v>
      </c>
      <c r="D2075" s="3" t="s">
        <v>188</v>
      </c>
      <c r="E2075" s="4" t="str">
        <f t="shared" ref="E2075:E2085" si="178">HYPERLINK("https://diaocthongthai.com/ban-do-huyen-yen-thuy-hoa-binh/","Huyện Yên Thủy")</f>
        <v>Huyện Yên Thủy</v>
      </c>
      <c r="F2075" s="3" t="s">
        <v>2839</v>
      </c>
      <c r="G2075" s="4" t="str">
        <f>HYPERLINK("https://diaocthongthai.com/thi-tran-hang-tram-yen-thuy/","Thị trấn Hàng Trạm")</f>
        <v>Thị trấn Hàng Trạm</v>
      </c>
    </row>
    <row r="2076" spans="1:7" x14ac:dyDescent="0.25">
      <c r="A2076" s="2">
        <v>2075</v>
      </c>
      <c r="B2076" s="3" t="s">
        <v>13</v>
      </c>
      <c r="C2076" s="4" t="str">
        <f t="shared" si="177"/>
        <v>Hòa Bình</v>
      </c>
      <c r="D2076" s="3" t="s">
        <v>188</v>
      </c>
      <c r="E2076" s="4" t="str">
        <f t="shared" si="178"/>
        <v>Huyện Yên Thủy</v>
      </c>
      <c r="F2076" s="3" t="s">
        <v>2840</v>
      </c>
      <c r="G2076" s="4" t="str">
        <f>HYPERLINK("https://diaocthongthai.com/xa-lac-sy-yen-thuy/","Xã Lạc Sỹ")</f>
        <v>Xã Lạc Sỹ</v>
      </c>
    </row>
    <row r="2077" spans="1:7" x14ac:dyDescent="0.25">
      <c r="A2077" s="2">
        <v>2076</v>
      </c>
      <c r="B2077" s="3" t="s">
        <v>13</v>
      </c>
      <c r="C2077" s="4" t="str">
        <f t="shared" si="177"/>
        <v>Hòa Bình</v>
      </c>
      <c r="D2077" s="3" t="s">
        <v>188</v>
      </c>
      <c r="E2077" s="4" t="str">
        <f t="shared" si="178"/>
        <v>Huyện Yên Thủy</v>
      </c>
      <c r="F2077" s="3" t="s">
        <v>2841</v>
      </c>
      <c r="G2077" s="4" t="str">
        <f>HYPERLINK("https://diaocthongthai.com/xa-lac-luong-yen-thuy/","Xã Lạc Lương")</f>
        <v>Xã Lạc Lương</v>
      </c>
    </row>
    <row r="2078" spans="1:7" x14ac:dyDescent="0.25">
      <c r="A2078" s="2">
        <v>2077</v>
      </c>
      <c r="B2078" s="3" t="s">
        <v>13</v>
      </c>
      <c r="C2078" s="4" t="str">
        <f t="shared" si="177"/>
        <v>Hòa Bình</v>
      </c>
      <c r="D2078" s="3" t="s">
        <v>188</v>
      </c>
      <c r="E2078" s="4" t="str">
        <f t="shared" si="178"/>
        <v>Huyện Yên Thủy</v>
      </c>
      <c r="F2078" s="3" t="s">
        <v>2842</v>
      </c>
      <c r="G2078" s="4" t="str">
        <f>HYPERLINK("https://diaocthongthai.com/xa-bao-hieu-yen-thuy/","Xã Bảo Hiệu")</f>
        <v>Xã Bảo Hiệu</v>
      </c>
    </row>
    <row r="2079" spans="1:7" x14ac:dyDescent="0.25">
      <c r="A2079" s="2">
        <v>2078</v>
      </c>
      <c r="B2079" s="3" t="s">
        <v>13</v>
      </c>
      <c r="C2079" s="4" t="str">
        <f t="shared" si="177"/>
        <v>Hòa Bình</v>
      </c>
      <c r="D2079" s="3" t="s">
        <v>188</v>
      </c>
      <c r="E2079" s="4" t="str">
        <f t="shared" si="178"/>
        <v>Huyện Yên Thủy</v>
      </c>
      <c r="F2079" s="3" t="s">
        <v>2843</v>
      </c>
      <c r="G2079" s="4" t="str">
        <f>HYPERLINK("https://diaocthongthai.com/xa-da-phuc-yen-thuy/","Xã Đa Phúc")</f>
        <v>Xã Đa Phúc</v>
      </c>
    </row>
    <row r="2080" spans="1:7" x14ac:dyDescent="0.25">
      <c r="A2080" s="2">
        <v>2079</v>
      </c>
      <c r="B2080" s="3" t="s">
        <v>13</v>
      </c>
      <c r="C2080" s="4" t="str">
        <f t="shared" si="177"/>
        <v>Hòa Bình</v>
      </c>
      <c r="D2080" s="3" t="s">
        <v>188</v>
      </c>
      <c r="E2080" s="4" t="str">
        <f t="shared" si="178"/>
        <v>Huyện Yên Thủy</v>
      </c>
      <c r="F2080" s="3" t="s">
        <v>2844</v>
      </c>
      <c r="G2080" s="4" t="str">
        <f>HYPERLINK("https://diaocthongthai.com/xa-huu-loi-yen-thuy/","Xã Hữu Lợi")</f>
        <v>Xã Hữu Lợi</v>
      </c>
    </row>
    <row r="2081" spans="1:7" x14ac:dyDescent="0.25">
      <c r="A2081" s="2">
        <v>2080</v>
      </c>
      <c r="B2081" s="3" t="s">
        <v>13</v>
      </c>
      <c r="C2081" s="4" t="str">
        <f t="shared" si="177"/>
        <v>Hòa Bình</v>
      </c>
      <c r="D2081" s="3" t="s">
        <v>188</v>
      </c>
      <c r="E2081" s="4" t="str">
        <f t="shared" si="178"/>
        <v>Huyện Yên Thủy</v>
      </c>
      <c r="F2081" s="3" t="s">
        <v>2845</v>
      </c>
      <c r="G2081" s="4" t="str">
        <f>HYPERLINK("https://diaocthongthai.com/xa-lac-thinh-yen-thuy/","Xã Lạc Thịnh")</f>
        <v>Xã Lạc Thịnh</v>
      </c>
    </row>
    <row r="2082" spans="1:7" x14ac:dyDescent="0.25">
      <c r="A2082" s="2">
        <v>2081</v>
      </c>
      <c r="B2082" s="3" t="s">
        <v>13</v>
      </c>
      <c r="C2082" s="4" t="str">
        <f t="shared" si="177"/>
        <v>Hòa Bình</v>
      </c>
      <c r="D2082" s="3" t="s">
        <v>188</v>
      </c>
      <c r="E2082" s="4" t="str">
        <f t="shared" si="178"/>
        <v>Huyện Yên Thủy</v>
      </c>
      <c r="F2082" s="3" t="s">
        <v>2846</v>
      </c>
      <c r="G2082" s="4" t="str">
        <f>HYPERLINK("https://diaocthongthai.com/xa-doan-ket-yen-thuy/","Xã Đoàn Kết")</f>
        <v>Xã Đoàn Kết</v>
      </c>
    </row>
    <row r="2083" spans="1:7" x14ac:dyDescent="0.25">
      <c r="A2083" s="2">
        <v>2082</v>
      </c>
      <c r="B2083" s="3" t="s">
        <v>13</v>
      </c>
      <c r="C2083" s="4" t="str">
        <f t="shared" si="177"/>
        <v>Hòa Bình</v>
      </c>
      <c r="D2083" s="3" t="s">
        <v>188</v>
      </c>
      <c r="E2083" s="4" t="str">
        <f t="shared" si="178"/>
        <v>Huyện Yên Thủy</v>
      </c>
      <c r="F2083" s="3" t="s">
        <v>2847</v>
      </c>
      <c r="G2083" s="4" t="str">
        <f>HYPERLINK("https://diaocthongthai.com/xa-phu-lai-yen-thuy/","Xã Phú Lai")</f>
        <v>Xã Phú Lai</v>
      </c>
    </row>
    <row r="2084" spans="1:7" x14ac:dyDescent="0.25">
      <c r="A2084" s="2">
        <v>2083</v>
      </c>
      <c r="B2084" s="3" t="s">
        <v>13</v>
      </c>
      <c r="C2084" s="4" t="str">
        <f t="shared" si="177"/>
        <v>Hòa Bình</v>
      </c>
      <c r="D2084" s="3" t="s">
        <v>188</v>
      </c>
      <c r="E2084" s="4" t="str">
        <f t="shared" si="178"/>
        <v>Huyện Yên Thủy</v>
      </c>
      <c r="F2084" s="3" t="s">
        <v>2848</v>
      </c>
      <c r="G2084" s="4" t="str">
        <f>HYPERLINK("https://diaocthongthai.com/xa-yen-tri-yen-thuy/","Xã Yên Trị")</f>
        <v>Xã Yên Trị</v>
      </c>
    </row>
    <row r="2085" spans="1:7" x14ac:dyDescent="0.25">
      <c r="A2085" s="2">
        <v>2084</v>
      </c>
      <c r="B2085" s="3" t="s">
        <v>13</v>
      </c>
      <c r="C2085" s="4" t="str">
        <f t="shared" si="177"/>
        <v>Hòa Bình</v>
      </c>
      <c r="D2085" s="3" t="s">
        <v>188</v>
      </c>
      <c r="E2085" s="4" t="str">
        <f t="shared" si="178"/>
        <v>Huyện Yên Thủy</v>
      </c>
      <c r="F2085" s="3" t="s">
        <v>2849</v>
      </c>
      <c r="G2085" s="4" t="str">
        <f>HYPERLINK("https://diaocthongthai.com/xa-ngoc-luong-yen-thuy/","Xã Ngọc Lương")</f>
        <v>Xã Ngọc Lương</v>
      </c>
    </row>
    <row r="2086" spans="1:7" x14ac:dyDescent="0.25">
      <c r="A2086" s="2">
        <v>2085</v>
      </c>
      <c r="B2086" s="3" t="s">
        <v>13</v>
      </c>
      <c r="C2086" s="4" t="str">
        <f t="shared" si="177"/>
        <v>Hòa Bình</v>
      </c>
      <c r="D2086" s="3" t="s">
        <v>189</v>
      </c>
      <c r="E2086" s="4" t="str">
        <f t="shared" ref="E2086:E2095" si="179">HYPERLINK("https://diaocthongthai.com/ban-do-huyen-lac-thuy-hoa-binh/","Huyện Lạc Thủy")</f>
        <v>Huyện Lạc Thủy</v>
      </c>
      <c r="F2086" s="3" t="s">
        <v>2850</v>
      </c>
      <c r="G2086" s="4" t="str">
        <f>HYPERLINK("https://diaocthongthai.com/thi-tran-ba-hang-doi-lac-thuy/","Thị trấn Ba Hàng Đồi")</f>
        <v>Thị trấn Ba Hàng Đồi</v>
      </c>
    </row>
    <row r="2087" spans="1:7" x14ac:dyDescent="0.25">
      <c r="A2087" s="2">
        <v>2086</v>
      </c>
      <c r="B2087" s="3" t="s">
        <v>13</v>
      </c>
      <c r="C2087" s="4" t="str">
        <f t="shared" si="177"/>
        <v>Hòa Bình</v>
      </c>
      <c r="D2087" s="3" t="s">
        <v>189</v>
      </c>
      <c r="E2087" s="4" t="str">
        <f t="shared" si="179"/>
        <v>Huyện Lạc Thủy</v>
      </c>
      <c r="F2087" s="3" t="s">
        <v>2851</v>
      </c>
      <c r="G2087" s="4" t="str">
        <f>HYPERLINK("https://diaocthongthai.com/thi-tran-chi-ne-lac-thuy/","Thị trấn Chi Nê")</f>
        <v>Thị trấn Chi Nê</v>
      </c>
    </row>
    <row r="2088" spans="1:7" x14ac:dyDescent="0.25">
      <c r="A2088" s="2">
        <v>2087</v>
      </c>
      <c r="B2088" s="3" t="s">
        <v>13</v>
      </c>
      <c r="C2088" s="4" t="str">
        <f t="shared" si="177"/>
        <v>Hòa Bình</v>
      </c>
      <c r="D2088" s="3" t="s">
        <v>189</v>
      </c>
      <c r="E2088" s="4" t="str">
        <f t="shared" si="179"/>
        <v>Huyện Lạc Thủy</v>
      </c>
      <c r="F2088" s="3" t="s">
        <v>2852</v>
      </c>
      <c r="G2088" s="4" t="str">
        <f>HYPERLINK("https://diaocthongthai.com/xa-phu-nghia-lac-thuy/","Xã Phú Nghĩa")</f>
        <v>Xã Phú Nghĩa</v>
      </c>
    </row>
    <row r="2089" spans="1:7" x14ac:dyDescent="0.25">
      <c r="A2089" s="2">
        <v>2088</v>
      </c>
      <c r="B2089" s="3" t="s">
        <v>13</v>
      </c>
      <c r="C2089" s="4" t="str">
        <f t="shared" si="177"/>
        <v>Hòa Bình</v>
      </c>
      <c r="D2089" s="3" t="s">
        <v>189</v>
      </c>
      <c r="E2089" s="4" t="str">
        <f t="shared" si="179"/>
        <v>Huyện Lạc Thủy</v>
      </c>
      <c r="F2089" s="3" t="s">
        <v>2853</v>
      </c>
      <c r="G2089" s="4" t="str">
        <f>HYPERLINK("https://diaocthongthai.com/xa-phu-thanh-lac-thuy/","Xã Phú Thành")</f>
        <v>Xã Phú Thành</v>
      </c>
    </row>
    <row r="2090" spans="1:7" x14ac:dyDescent="0.25">
      <c r="A2090" s="2">
        <v>2089</v>
      </c>
      <c r="B2090" s="3" t="s">
        <v>13</v>
      </c>
      <c r="C2090" s="4" t="str">
        <f t="shared" si="177"/>
        <v>Hòa Bình</v>
      </c>
      <c r="D2090" s="3" t="s">
        <v>189</v>
      </c>
      <c r="E2090" s="4" t="str">
        <f t="shared" si="179"/>
        <v>Huyện Lạc Thủy</v>
      </c>
      <c r="F2090" s="3" t="s">
        <v>2854</v>
      </c>
      <c r="G2090" s="4" t="str">
        <f>HYPERLINK("https://diaocthongthai.com/xa-hung-thi-lac-thuy/","Xã Hưng Thi")</f>
        <v>Xã Hưng Thi</v>
      </c>
    </row>
    <row r="2091" spans="1:7" x14ac:dyDescent="0.25">
      <c r="A2091" s="2">
        <v>2090</v>
      </c>
      <c r="B2091" s="3" t="s">
        <v>13</v>
      </c>
      <c r="C2091" s="4" t="str">
        <f t="shared" si="177"/>
        <v>Hòa Bình</v>
      </c>
      <c r="D2091" s="3" t="s">
        <v>189</v>
      </c>
      <c r="E2091" s="4" t="str">
        <f t="shared" si="179"/>
        <v>Huyện Lạc Thủy</v>
      </c>
      <c r="F2091" s="3" t="s">
        <v>2855</v>
      </c>
      <c r="G2091" s="4" t="str">
        <f>HYPERLINK("https://diaocthongthai.com/xa-khoan-du-lac-thuy/","Xã Khoan Dụ")</f>
        <v>Xã Khoan Dụ</v>
      </c>
    </row>
    <row r="2092" spans="1:7" x14ac:dyDescent="0.25">
      <c r="A2092" s="2">
        <v>2091</v>
      </c>
      <c r="B2092" s="3" t="s">
        <v>13</v>
      </c>
      <c r="C2092" s="4" t="str">
        <f t="shared" si="177"/>
        <v>Hòa Bình</v>
      </c>
      <c r="D2092" s="3" t="s">
        <v>189</v>
      </c>
      <c r="E2092" s="4" t="str">
        <f t="shared" si="179"/>
        <v>Huyện Lạc Thủy</v>
      </c>
      <c r="F2092" s="3" t="s">
        <v>2856</v>
      </c>
      <c r="G2092" s="4" t="str">
        <f>HYPERLINK("https://diaocthongthai.com/xa-dong-tam-lac-thuy/","Xã Đồng Tâm")</f>
        <v>Xã Đồng Tâm</v>
      </c>
    </row>
    <row r="2093" spans="1:7" x14ac:dyDescent="0.25">
      <c r="A2093" s="2">
        <v>2092</v>
      </c>
      <c r="B2093" s="3" t="s">
        <v>13</v>
      </c>
      <c r="C2093" s="4" t="str">
        <f t="shared" si="177"/>
        <v>Hòa Bình</v>
      </c>
      <c r="D2093" s="3" t="s">
        <v>189</v>
      </c>
      <c r="E2093" s="4" t="str">
        <f t="shared" si="179"/>
        <v>Huyện Lạc Thủy</v>
      </c>
      <c r="F2093" s="3" t="s">
        <v>2857</v>
      </c>
      <c r="G2093" s="4" t="str">
        <f>HYPERLINK("https://diaocthongthai.com/xa-yen-bong-lac-thuy/","Xã Yên Bồng")</f>
        <v>Xã Yên Bồng</v>
      </c>
    </row>
    <row r="2094" spans="1:7" x14ac:dyDescent="0.25">
      <c r="A2094" s="2">
        <v>2093</v>
      </c>
      <c r="B2094" s="3" t="s">
        <v>13</v>
      </c>
      <c r="C2094" s="4" t="str">
        <f t="shared" si="177"/>
        <v>Hòa Bình</v>
      </c>
      <c r="D2094" s="3" t="s">
        <v>189</v>
      </c>
      <c r="E2094" s="4" t="str">
        <f t="shared" si="179"/>
        <v>Huyện Lạc Thủy</v>
      </c>
      <c r="F2094" s="3" t="s">
        <v>2858</v>
      </c>
      <c r="G2094" s="4" t="str">
        <f>HYPERLINK("https://diaocthongthai.com/xa-thong-nhat-lac-thuy/","Xã Thống Nhất")</f>
        <v>Xã Thống Nhất</v>
      </c>
    </row>
    <row r="2095" spans="1:7" x14ac:dyDescent="0.25">
      <c r="A2095" s="2">
        <v>2094</v>
      </c>
      <c r="B2095" s="3" t="s">
        <v>13</v>
      </c>
      <c r="C2095" s="4" t="str">
        <f t="shared" si="177"/>
        <v>Hòa Bình</v>
      </c>
      <c r="D2095" s="3" t="s">
        <v>189</v>
      </c>
      <c r="E2095" s="4" t="str">
        <f t="shared" si="179"/>
        <v>Huyện Lạc Thủy</v>
      </c>
      <c r="F2095" s="3" t="s">
        <v>2859</v>
      </c>
      <c r="G2095" s="4" t="str">
        <f>HYPERLINK("https://diaocthongthai.com/xa-an-binh-lac-thuy/","Xã An Bình")</f>
        <v>Xã An Bình</v>
      </c>
    </row>
    <row r="2096" spans="1:7" x14ac:dyDescent="0.25">
      <c r="A2096" s="2">
        <v>2095</v>
      </c>
      <c r="B2096" s="3" t="s">
        <v>14</v>
      </c>
      <c r="C2096" s="4" t="str">
        <f t="shared" ref="C2096:C2127" si="180">HYPERLINK("https://diaocthongthai.com/ban-do-thai-nguyen/","Thái Nguyên")</f>
        <v>Thái Nguyên</v>
      </c>
      <c r="D2096" s="3" t="s">
        <v>190</v>
      </c>
      <c r="E2096" s="4" t="str">
        <f t="shared" ref="E2096:E2127" si="181">HYPERLINK("https://diaocthongthai.com/ban-do-tp-thai-nguyen-thai-nguyen/","Thành phố Thái Nguyên")</f>
        <v>Thành phố Thái Nguyên</v>
      </c>
      <c r="F2096" s="3" t="s">
        <v>2860</v>
      </c>
      <c r="G2096" s="4" t="str">
        <f>HYPERLINK("https://diaocthongthai.com/phuong-quan-trieu-tp-thai-nguyen/","Phường Quán Triều")</f>
        <v>Phường Quán Triều</v>
      </c>
    </row>
    <row r="2097" spans="1:7" x14ac:dyDescent="0.25">
      <c r="A2097" s="2">
        <v>2096</v>
      </c>
      <c r="B2097" s="3" t="s">
        <v>14</v>
      </c>
      <c r="C2097" s="4" t="str">
        <f t="shared" si="180"/>
        <v>Thái Nguyên</v>
      </c>
      <c r="D2097" s="3" t="s">
        <v>190</v>
      </c>
      <c r="E2097" s="4" t="str">
        <f t="shared" si="181"/>
        <v>Thành phố Thái Nguyên</v>
      </c>
      <c r="F2097" s="3" t="s">
        <v>2861</v>
      </c>
      <c r="G2097" s="4" t="str">
        <f>HYPERLINK("https://diaocthongthai.com/phuong-quang-vinh-tp-thai-nguyen/","Phường Quang Vinh")</f>
        <v>Phường Quang Vinh</v>
      </c>
    </row>
    <row r="2098" spans="1:7" x14ac:dyDescent="0.25">
      <c r="A2098" s="2">
        <v>2097</v>
      </c>
      <c r="B2098" s="3" t="s">
        <v>14</v>
      </c>
      <c r="C2098" s="4" t="str">
        <f t="shared" si="180"/>
        <v>Thái Nguyên</v>
      </c>
      <c r="D2098" s="3" t="s">
        <v>190</v>
      </c>
      <c r="E2098" s="4" t="str">
        <f t="shared" si="181"/>
        <v>Thành phố Thái Nguyên</v>
      </c>
      <c r="F2098" s="3" t="s">
        <v>2862</v>
      </c>
      <c r="G2098" s="4" t="str">
        <f>HYPERLINK("https://diaocthongthai.com/phuong-tuc-duyen-tp-thai-nguyen/","Phường Túc Duyên")</f>
        <v>Phường Túc Duyên</v>
      </c>
    </row>
    <row r="2099" spans="1:7" x14ac:dyDescent="0.25">
      <c r="A2099" s="2">
        <v>2098</v>
      </c>
      <c r="B2099" s="3" t="s">
        <v>14</v>
      </c>
      <c r="C2099" s="4" t="str">
        <f t="shared" si="180"/>
        <v>Thái Nguyên</v>
      </c>
      <c r="D2099" s="3" t="s">
        <v>190</v>
      </c>
      <c r="E2099" s="4" t="str">
        <f t="shared" si="181"/>
        <v>Thành phố Thái Nguyên</v>
      </c>
      <c r="F2099" s="3" t="s">
        <v>2863</v>
      </c>
      <c r="G2099" s="4" t="str">
        <f>HYPERLINK("https://diaocthongthai.com/phuong-hoang-van-thu-tp-thai-nguyen/","Phường Hoàng Văn Thụ")</f>
        <v>Phường Hoàng Văn Thụ</v>
      </c>
    </row>
    <row r="2100" spans="1:7" x14ac:dyDescent="0.25">
      <c r="A2100" s="2">
        <v>2099</v>
      </c>
      <c r="B2100" s="3" t="s">
        <v>14</v>
      </c>
      <c r="C2100" s="4" t="str">
        <f t="shared" si="180"/>
        <v>Thái Nguyên</v>
      </c>
      <c r="D2100" s="3" t="s">
        <v>190</v>
      </c>
      <c r="E2100" s="4" t="str">
        <f t="shared" si="181"/>
        <v>Thành phố Thái Nguyên</v>
      </c>
      <c r="F2100" s="3" t="s">
        <v>2864</v>
      </c>
      <c r="G2100" s="4" t="str">
        <f>HYPERLINK("https://diaocthongthai.com/phuong-trung-vuong-tp-thai-nguyen/","Phường Trưng Vương")</f>
        <v>Phường Trưng Vương</v>
      </c>
    </row>
    <row r="2101" spans="1:7" x14ac:dyDescent="0.25">
      <c r="A2101" s="2">
        <v>2100</v>
      </c>
      <c r="B2101" s="3" t="s">
        <v>14</v>
      </c>
      <c r="C2101" s="4" t="str">
        <f t="shared" si="180"/>
        <v>Thái Nguyên</v>
      </c>
      <c r="D2101" s="3" t="s">
        <v>190</v>
      </c>
      <c r="E2101" s="4" t="str">
        <f t="shared" si="181"/>
        <v>Thành phố Thái Nguyên</v>
      </c>
      <c r="F2101" s="3" t="s">
        <v>2865</v>
      </c>
      <c r="G2101" s="4" t="str">
        <f>HYPERLINK("https://diaocthongthai.com/phuong-quang-trung-tp-thai-nguyen/","Phường Quang Trung")</f>
        <v>Phường Quang Trung</v>
      </c>
    </row>
    <row r="2102" spans="1:7" x14ac:dyDescent="0.25">
      <c r="A2102" s="2">
        <v>2101</v>
      </c>
      <c r="B2102" s="3" t="s">
        <v>14</v>
      </c>
      <c r="C2102" s="4" t="str">
        <f t="shared" si="180"/>
        <v>Thái Nguyên</v>
      </c>
      <c r="D2102" s="3" t="s">
        <v>190</v>
      </c>
      <c r="E2102" s="4" t="str">
        <f t="shared" si="181"/>
        <v>Thành phố Thái Nguyên</v>
      </c>
      <c r="F2102" s="3" t="s">
        <v>2866</v>
      </c>
      <c r="G2102" s="4" t="str">
        <f>HYPERLINK("https://diaocthongthai.com/phuong-phan-dinh-phung-tp-thai-nguyen/","Phường Phan Đình Phùng")</f>
        <v>Phường Phan Đình Phùng</v>
      </c>
    </row>
    <row r="2103" spans="1:7" x14ac:dyDescent="0.25">
      <c r="A2103" s="2">
        <v>2102</v>
      </c>
      <c r="B2103" s="3" t="s">
        <v>14</v>
      </c>
      <c r="C2103" s="4" t="str">
        <f t="shared" si="180"/>
        <v>Thái Nguyên</v>
      </c>
      <c r="D2103" s="3" t="s">
        <v>190</v>
      </c>
      <c r="E2103" s="4" t="str">
        <f t="shared" si="181"/>
        <v>Thành phố Thái Nguyên</v>
      </c>
      <c r="F2103" s="3" t="s">
        <v>2867</v>
      </c>
      <c r="G2103" s="4" t="str">
        <f>HYPERLINK("https://diaocthongthai.com/phuong-tan-thinh-tp-thai-nguyen/","Phường Tân Thịnh")</f>
        <v>Phường Tân Thịnh</v>
      </c>
    </row>
    <row r="2104" spans="1:7" x14ac:dyDescent="0.25">
      <c r="A2104" s="2">
        <v>2103</v>
      </c>
      <c r="B2104" s="3" t="s">
        <v>14</v>
      </c>
      <c r="C2104" s="4" t="str">
        <f t="shared" si="180"/>
        <v>Thái Nguyên</v>
      </c>
      <c r="D2104" s="3" t="s">
        <v>190</v>
      </c>
      <c r="E2104" s="4" t="str">
        <f t="shared" si="181"/>
        <v>Thành phố Thái Nguyên</v>
      </c>
      <c r="F2104" s="3" t="s">
        <v>2868</v>
      </c>
      <c r="G2104" s="4" t="str">
        <f>HYPERLINK("https://diaocthongthai.com/phuong-thinh-dan-tp-thai-nguyen/","Phường Thịnh Đán")</f>
        <v>Phường Thịnh Đán</v>
      </c>
    </row>
    <row r="2105" spans="1:7" x14ac:dyDescent="0.25">
      <c r="A2105" s="2">
        <v>2104</v>
      </c>
      <c r="B2105" s="3" t="s">
        <v>14</v>
      </c>
      <c r="C2105" s="4" t="str">
        <f t="shared" si="180"/>
        <v>Thái Nguyên</v>
      </c>
      <c r="D2105" s="3" t="s">
        <v>190</v>
      </c>
      <c r="E2105" s="4" t="str">
        <f t="shared" si="181"/>
        <v>Thành phố Thái Nguyên</v>
      </c>
      <c r="F2105" s="3" t="s">
        <v>2869</v>
      </c>
      <c r="G2105" s="4" t="str">
        <f>HYPERLINK("https://diaocthongthai.com/phuong-dong-quang-tp-thai-nguyen/","Phường Đồng Quang")</f>
        <v>Phường Đồng Quang</v>
      </c>
    </row>
    <row r="2106" spans="1:7" x14ac:dyDescent="0.25">
      <c r="A2106" s="2">
        <v>2105</v>
      </c>
      <c r="B2106" s="3" t="s">
        <v>14</v>
      </c>
      <c r="C2106" s="4" t="str">
        <f t="shared" si="180"/>
        <v>Thái Nguyên</v>
      </c>
      <c r="D2106" s="3" t="s">
        <v>190</v>
      </c>
      <c r="E2106" s="4" t="str">
        <f t="shared" si="181"/>
        <v>Thành phố Thái Nguyên</v>
      </c>
      <c r="F2106" s="3" t="s">
        <v>2870</v>
      </c>
      <c r="G2106" s="4" t="str">
        <f>HYPERLINK("https://diaocthongthai.com/phuong-gia-sang-tp-thai-nguyen/","Phường Gia Sàng")</f>
        <v>Phường Gia Sàng</v>
      </c>
    </row>
    <row r="2107" spans="1:7" x14ac:dyDescent="0.25">
      <c r="A2107" s="2">
        <v>2106</v>
      </c>
      <c r="B2107" s="3" t="s">
        <v>14</v>
      </c>
      <c r="C2107" s="4" t="str">
        <f t="shared" si="180"/>
        <v>Thái Nguyên</v>
      </c>
      <c r="D2107" s="3" t="s">
        <v>190</v>
      </c>
      <c r="E2107" s="4" t="str">
        <f t="shared" si="181"/>
        <v>Thành phố Thái Nguyên</v>
      </c>
      <c r="F2107" s="3" t="s">
        <v>2871</v>
      </c>
      <c r="G2107" s="4" t="str">
        <f>HYPERLINK("https://diaocthongthai.com/phuong-tan-lap-tp-thai-nguyen/","Phường Tân Lập")</f>
        <v>Phường Tân Lập</v>
      </c>
    </row>
    <row r="2108" spans="1:7" x14ac:dyDescent="0.25">
      <c r="A2108" s="2">
        <v>2107</v>
      </c>
      <c r="B2108" s="3" t="s">
        <v>14</v>
      </c>
      <c r="C2108" s="4" t="str">
        <f t="shared" si="180"/>
        <v>Thái Nguyên</v>
      </c>
      <c r="D2108" s="3" t="s">
        <v>190</v>
      </c>
      <c r="E2108" s="4" t="str">
        <f t="shared" si="181"/>
        <v>Thành phố Thái Nguyên</v>
      </c>
      <c r="F2108" s="3" t="s">
        <v>2872</v>
      </c>
      <c r="G2108" s="4" t="str">
        <f>HYPERLINK("https://diaocthongthai.com/phuong-cam-gia-tp-thai-nguyen/","Phường Cam Giá")</f>
        <v>Phường Cam Giá</v>
      </c>
    </row>
    <row r="2109" spans="1:7" x14ac:dyDescent="0.25">
      <c r="A2109" s="2">
        <v>2108</v>
      </c>
      <c r="B2109" s="3" t="s">
        <v>14</v>
      </c>
      <c r="C2109" s="4" t="str">
        <f t="shared" si="180"/>
        <v>Thái Nguyên</v>
      </c>
      <c r="D2109" s="3" t="s">
        <v>190</v>
      </c>
      <c r="E2109" s="4" t="str">
        <f t="shared" si="181"/>
        <v>Thành phố Thái Nguyên</v>
      </c>
      <c r="F2109" s="3" t="s">
        <v>2873</v>
      </c>
      <c r="G2109" s="4" t="str">
        <f>HYPERLINK("https://diaocthongthai.com/phuong-phu-xa-tp-thai-nguyen/","Phường Phú Xá")</f>
        <v>Phường Phú Xá</v>
      </c>
    </row>
    <row r="2110" spans="1:7" x14ac:dyDescent="0.25">
      <c r="A2110" s="2">
        <v>2109</v>
      </c>
      <c r="B2110" s="3" t="s">
        <v>14</v>
      </c>
      <c r="C2110" s="4" t="str">
        <f t="shared" si="180"/>
        <v>Thái Nguyên</v>
      </c>
      <c r="D2110" s="3" t="s">
        <v>190</v>
      </c>
      <c r="E2110" s="4" t="str">
        <f t="shared" si="181"/>
        <v>Thành phố Thái Nguyên</v>
      </c>
      <c r="F2110" s="3" t="s">
        <v>2874</v>
      </c>
      <c r="G2110" s="4" t="str">
        <f>HYPERLINK("https://diaocthongthai.com/phuong-huong-son-tp-thai-nguyen/","Phường Hương Sơn")</f>
        <v>Phường Hương Sơn</v>
      </c>
    </row>
    <row r="2111" spans="1:7" x14ac:dyDescent="0.25">
      <c r="A2111" s="2">
        <v>2110</v>
      </c>
      <c r="B2111" s="3" t="s">
        <v>14</v>
      </c>
      <c r="C2111" s="4" t="str">
        <f t="shared" si="180"/>
        <v>Thái Nguyên</v>
      </c>
      <c r="D2111" s="3" t="s">
        <v>190</v>
      </c>
      <c r="E2111" s="4" t="str">
        <f t="shared" si="181"/>
        <v>Thành phố Thái Nguyên</v>
      </c>
      <c r="F2111" s="3" t="s">
        <v>2875</v>
      </c>
      <c r="G2111" s="4" t="str">
        <f>HYPERLINK("https://diaocthongthai.com/phuong-trung-thanh-tp-thai-nguyen/","Phường Trung Thành")</f>
        <v>Phường Trung Thành</v>
      </c>
    </row>
    <row r="2112" spans="1:7" x14ac:dyDescent="0.25">
      <c r="A2112" s="2">
        <v>2111</v>
      </c>
      <c r="B2112" s="3" t="s">
        <v>14</v>
      </c>
      <c r="C2112" s="4" t="str">
        <f t="shared" si="180"/>
        <v>Thái Nguyên</v>
      </c>
      <c r="D2112" s="3" t="s">
        <v>190</v>
      </c>
      <c r="E2112" s="4" t="str">
        <f t="shared" si="181"/>
        <v>Thành phố Thái Nguyên</v>
      </c>
      <c r="F2112" s="3" t="s">
        <v>2876</v>
      </c>
      <c r="G2112" s="4" t="str">
        <f>HYPERLINK("https://diaocthongthai.com/phuong-tan-thanh-tp-thai-nguyen/","Phường Tân Thành")</f>
        <v>Phường Tân Thành</v>
      </c>
    </row>
    <row r="2113" spans="1:7" x14ac:dyDescent="0.25">
      <c r="A2113" s="2">
        <v>2112</v>
      </c>
      <c r="B2113" s="3" t="s">
        <v>14</v>
      </c>
      <c r="C2113" s="4" t="str">
        <f t="shared" si="180"/>
        <v>Thái Nguyên</v>
      </c>
      <c r="D2113" s="3" t="s">
        <v>190</v>
      </c>
      <c r="E2113" s="4" t="str">
        <f t="shared" si="181"/>
        <v>Thành phố Thái Nguyên</v>
      </c>
      <c r="F2113" s="3" t="s">
        <v>2877</v>
      </c>
      <c r="G2113" s="4" t="str">
        <f>HYPERLINK("https://diaocthongthai.com/phuong-tan-long-tp-thai-nguyen/","Phường Tân Long")</f>
        <v>Phường Tân Long</v>
      </c>
    </row>
    <row r="2114" spans="1:7" x14ac:dyDescent="0.25">
      <c r="A2114" s="2">
        <v>2113</v>
      </c>
      <c r="B2114" s="3" t="s">
        <v>14</v>
      </c>
      <c r="C2114" s="4" t="str">
        <f t="shared" si="180"/>
        <v>Thái Nguyên</v>
      </c>
      <c r="D2114" s="3" t="s">
        <v>190</v>
      </c>
      <c r="E2114" s="4" t="str">
        <f t="shared" si="181"/>
        <v>Thành phố Thái Nguyên</v>
      </c>
      <c r="F2114" s="3" t="s">
        <v>2878</v>
      </c>
      <c r="G2114" s="4" t="str">
        <f>HYPERLINK("https://diaocthongthai.com/xa-phuc-ha-tp-thai-nguyen/","Xã Phúc Hà")</f>
        <v>Xã Phúc Hà</v>
      </c>
    </row>
    <row r="2115" spans="1:7" x14ac:dyDescent="0.25">
      <c r="A2115" s="2">
        <v>2114</v>
      </c>
      <c r="B2115" s="3" t="s">
        <v>14</v>
      </c>
      <c r="C2115" s="4" t="str">
        <f t="shared" si="180"/>
        <v>Thái Nguyên</v>
      </c>
      <c r="D2115" s="3" t="s">
        <v>190</v>
      </c>
      <c r="E2115" s="4" t="str">
        <f t="shared" si="181"/>
        <v>Thành phố Thái Nguyên</v>
      </c>
      <c r="F2115" s="3" t="s">
        <v>2879</v>
      </c>
      <c r="G2115" s="4" t="str">
        <f>HYPERLINK("https://diaocthongthai.com/xa-phuc-xuan-tp-thai-nguyen/","Xã Phúc Xuân")</f>
        <v>Xã Phúc Xuân</v>
      </c>
    </row>
    <row r="2116" spans="1:7" x14ac:dyDescent="0.25">
      <c r="A2116" s="2">
        <v>2115</v>
      </c>
      <c r="B2116" s="3" t="s">
        <v>14</v>
      </c>
      <c r="C2116" s="4" t="str">
        <f t="shared" si="180"/>
        <v>Thái Nguyên</v>
      </c>
      <c r="D2116" s="3" t="s">
        <v>190</v>
      </c>
      <c r="E2116" s="4" t="str">
        <f t="shared" si="181"/>
        <v>Thành phố Thái Nguyên</v>
      </c>
      <c r="F2116" s="3" t="s">
        <v>2880</v>
      </c>
      <c r="G2116" s="4" t="str">
        <f>HYPERLINK("https://diaocthongthai.com/xa-quyet-thang-tp-thai-nguyen/","Xã Quyết Thắng")</f>
        <v>Xã Quyết Thắng</v>
      </c>
    </row>
    <row r="2117" spans="1:7" x14ac:dyDescent="0.25">
      <c r="A2117" s="2">
        <v>2116</v>
      </c>
      <c r="B2117" s="3" t="s">
        <v>14</v>
      </c>
      <c r="C2117" s="4" t="str">
        <f t="shared" si="180"/>
        <v>Thái Nguyên</v>
      </c>
      <c r="D2117" s="3" t="s">
        <v>190</v>
      </c>
      <c r="E2117" s="4" t="str">
        <f t="shared" si="181"/>
        <v>Thành phố Thái Nguyên</v>
      </c>
      <c r="F2117" s="3" t="s">
        <v>2881</v>
      </c>
      <c r="G2117" s="4" t="str">
        <f>HYPERLINK("https://diaocthongthai.com/xa-phuc-triu-tp-thai-nguyen/","Xã Phúc Trìu")</f>
        <v>Xã Phúc Trìu</v>
      </c>
    </row>
    <row r="2118" spans="1:7" x14ac:dyDescent="0.25">
      <c r="A2118" s="2">
        <v>2117</v>
      </c>
      <c r="B2118" s="3" t="s">
        <v>14</v>
      </c>
      <c r="C2118" s="4" t="str">
        <f t="shared" si="180"/>
        <v>Thái Nguyên</v>
      </c>
      <c r="D2118" s="3" t="s">
        <v>190</v>
      </c>
      <c r="E2118" s="4" t="str">
        <f t="shared" si="181"/>
        <v>Thành phố Thái Nguyên</v>
      </c>
      <c r="F2118" s="3" t="s">
        <v>2882</v>
      </c>
      <c r="G2118" s="4" t="str">
        <f>HYPERLINK("https://diaocthongthai.com/xa-thinh-duc-tp-thai-nguyen/","Xã Thịnh Đức")</f>
        <v>Xã Thịnh Đức</v>
      </c>
    </row>
    <row r="2119" spans="1:7" x14ac:dyDescent="0.25">
      <c r="A2119" s="2">
        <v>2118</v>
      </c>
      <c r="B2119" s="3" t="s">
        <v>14</v>
      </c>
      <c r="C2119" s="4" t="str">
        <f t="shared" si="180"/>
        <v>Thái Nguyên</v>
      </c>
      <c r="D2119" s="3" t="s">
        <v>190</v>
      </c>
      <c r="E2119" s="4" t="str">
        <f t="shared" si="181"/>
        <v>Thành phố Thái Nguyên</v>
      </c>
      <c r="F2119" s="3" t="s">
        <v>2883</v>
      </c>
      <c r="G2119" s="4" t="str">
        <f>HYPERLINK("https://diaocthongthai.com/phuong-tich-luong-tp-thai-nguyen/","Phường Tích Lương")</f>
        <v>Phường Tích Lương</v>
      </c>
    </row>
    <row r="2120" spans="1:7" x14ac:dyDescent="0.25">
      <c r="A2120" s="2">
        <v>2119</v>
      </c>
      <c r="B2120" s="3" t="s">
        <v>14</v>
      </c>
      <c r="C2120" s="4" t="str">
        <f t="shared" si="180"/>
        <v>Thái Nguyên</v>
      </c>
      <c r="D2120" s="3" t="s">
        <v>190</v>
      </c>
      <c r="E2120" s="4" t="str">
        <f t="shared" si="181"/>
        <v>Thành phố Thái Nguyên</v>
      </c>
      <c r="F2120" s="3" t="s">
        <v>2884</v>
      </c>
      <c r="G2120" s="4" t="str">
        <f>HYPERLINK("https://diaocthongthai.com/xa-tan-cuong-tp-thai-nguyen/","Xã Tân Cương")</f>
        <v>Xã Tân Cương</v>
      </c>
    </row>
    <row r="2121" spans="1:7" x14ac:dyDescent="0.25">
      <c r="A2121" s="2">
        <v>2120</v>
      </c>
      <c r="B2121" s="3" t="s">
        <v>14</v>
      </c>
      <c r="C2121" s="4" t="str">
        <f t="shared" si="180"/>
        <v>Thái Nguyên</v>
      </c>
      <c r="D2121" s="3" t="s">
        <v>190</v>
      </c>
      <c r="E2121" s="4" t="str">
        <f t="shared" si="181"/>
        <v>Thành phố Thái Nguyên</v>
      </c>
      <c r="F2121" s="3" t="s">
        <v>2885</v>
      </c>
      <c r="G2121" s="4" t="str">
        <f>HYPERLINK("https://diaocthongthai.com/xa-son-cam-tp-thai-nguyen/","Xã Sơn Cẩm")</f>
        <v>Xã Sơn Cẩm</v>
      </c>
    </row>
    <row r="2122" spans="1:7" x14ac:dyDescent="0.25">
      <c r="A2122" s="2">
        <v>2121</v>
      </c>
      <c r="B2122" s="3" t="s">
        <v>14</v>
      </c>
      <c r="C2122" s="4" t="str">
        <f t="shared" si="180"/>
        <v>Thái Nguyên</v>
      </c>
      <c r="D2122" s="3" t="s">
        <v>190</v>
      </c>
      <c r="E2122" s="4" t="str">
        <f t="shared" si="181"/>
        <v>Thành phố Thái Nguyên</v>
      </c>
      <c r="F2122" s="3" t="s">
        <v>2886</v>
      </c>
      <c r="G2122" s="4" t="str">
        <f>HYPERLINK("https://diaocthongthai.com/phuong-chua-hang-tp-thai-nguyen/","Phường Chùa Hang")</f>
        <v>Phường Chùa Hang</v>
      </c>
    </row>
    <row r="2123" spans="1:7" x14ac:dyDescent="0.25">
      <c r="A2123" s="2">
        <v>2122</v>
      </c>
      <c r="B2123" s="3" t="s">
        <v>14</v>
      </c>
      <c r="C2123" s="4" t="str">
        <f t="shared" si="180"/>
        <v>Thái Nguyên</v>
      </c>
      <c r="D2123" s="3" t="s">
        <v>190</v>
      </c>
      <c r="E2123" s="4" t="str">
        <f t="shared" si="181"/>
        <v>Thành phố Thái Nguyên</v>
      </c>
      <c r="F2123" s="3" t="s">
        <v>2887</v>
      </c>
      <c r="G2123" s="4" t="str">
        <f>HYPERLINK("https://diaocthongthai.com/xa-cao-ngan-tp-thai-nguyen/","Xã Cao Ngạn")</f>
        <v>Xã Cao Ngạn</v>
      </c>
    </row>
    <row r="2124" spans="1:7" x14ac:dyDescent="0.25">
      <c r="A2124" s="2">
        <v>2123</v>
      </c>
      <c r="B2124" s="3" t="s">
        <v>14</v>
      </c>
      <c r="C2124" s="4" t="str">
        <f t="shared" si="180"/>
        <v>Thái Nguyên</v>
      </c>
      <c r="D2124" s="3" t="s">
        <v>190</v>
      </c>
      <c r="E2124" s="4" t="str">
        <f t="shared" si="181"/>
        <v>Thành phố Thái Nguyên</v>
      </c>
      <c r="F2124" s="3" t="s">
        <v>2888</v>
      </c>
      <c r="G2124" s="4" t="str">
        <f>HYPERLINK("https://diaocthongthai.com/xa-linh-son-tp-thai-nguyen/","Xã Linh Sơn")</f>
        <v>Xã Linh Sơn</v>
      </c>
    </row>
    <row r="2125" spans="1:7" x14ac:dyDescent="0.25">
      <c r="A2125" s="2">
        <v>2124</v>
      </c>
      <c r="B2125" s="3" t="s">
        <v>14</v>
      </c>
      <c r="C2125" s="4" t="str">
        <f t="shared" si="180"/>
        <v>Thái Nguyên</v>
      </c>
      <c r="D2125" s="3" t="s">
        <v>190</v>
      </c>
      <c r="E2125" s="4" t="str">
        <f t="shared" si="181"/>
        <v>Thành phố Thái Nguyên</v>
      </c>
      <c r="F2125" s="3" t="s">
        <v>2889</v>
      </c>
      <c r="G2125" s="4" t="str">
        <f>HYPERLINK("https://diaocthongthai.com/phuong-dong-bam-tp-thai-nguyen/","Phường Đồng Bẩm")</f>
        <v>Phường Đồng Bẩm</v>
      </c>
    </row>
    <row r="2126" spans="1:7" x14ac:dyDescent="0.25">
      <c r="A2126" s="2">
        <v>2125</v>
      </c>
      <c r="B2126" s="3" t="s">
        <v>14</v>
      </c>
      <c r="C2126" s="4" t="str">
        <f t="shared" si="180"/>
        <v>Thái Nguyên</v>
      </c>
      <c r="D2126" s="3" t="s">
        <v>190</v>
      </c>
      <c r="E2126" s="4" t="str">
        <f t="shared" si="181"/>
        <v>Thành phố Thái Nguyên</v>
      </c>
      <c r="F2126" s="3" t="s">
        <v>2890</v>
      </c>
      <c r="G2126" s="4" t="str">
        <f>HYPERLINK("https://diaocthongthai.com/xa-huong-thuong-tp-thai-nguyen/","Xã Huống Thượng")</f>
        <v>Xã Huống Thượng</v>
      </c>
    </row>
    <row r="2127" spans="1:7" x14ac:dyDescent="0.25">
      <c r="A2127" s="2">
        <v>2126</v>
      </c>
      <c r="B2127" s="3" t="s">
        <v>14</v>
      </c>
      <c r="C2127" s="4" t="str">
        <f t="shared" si="180"/>
        <v>Thái Nguyên</v>
      </c>
      <c r="D2127" s="3" t="s">
        <v>190</v>
      </c>
      <c r="E2127" s="4" t="str">
        <f t="shared" si="181"/>
        <v>Thành phố Thái Nguyên</v>
      </c>
      <c r="F2127" s="3" t="s">
        <v>2891</v>
      </c>
      <c r="G2127" s="4" t="str">
        <f>HYPERLINK("https://diaocthongthai.com/xa-dong-lien-tp-thai-nguyen/","Xã Đồng Liên")</f>
        <v>Xã Đồng Liên</v>
      </c>
    </row>
    <row r="2128" spans="1:7" x14ac:dyDescent="0.25">
      <c r="A2128" s="2">
        <v>2127</v>
      </c>
      <c r="B2128" s="3" t="s">
        <v>14</v>
      </c>
      <c r="C2128" s="4" t="str">
        <f t="shared" ref="C2128:C2159" si="182">HYPERLINK("https://diaocthongthai.com/ban-do-thai-nguyen/","Thái Nguyên")</f>
        <v>Thái Nguyên</v>
      </c>
      <c r="D2128" s="3" t="s">
        <v>191</v>
      </c>
      <c r="E2128" s="4" t="str">
        <f t="shared" ref="E2128:E2137" si="183">HYPERLINK("https://diaocthongthai.com/ban-do-tp-song-cong-thai-nguyen/","Thành phố Sông Công")</f>
        <v>Thành phố Sông Công</v>
      </c>
      <c r="F2128" s="3" t="s">
        <v>2892</v>
      </c>
      <c r="G2128" s="4" t="str">
        <f>HYPERLINK("https://diaocthongthai.com/phuong-luong-son-tp-song-cong/","Phường Lương Sơn")</f>
        <v>Phường Lương Sơn</v>
      </c>
    </row>
    <row r="2129" spans="1:7" x14ac:dyDescent="0.25">
      <c r="A2129" s="2">
        <v>2128</v>
      </c>
      <c r="B2129" s="3" t="s">
        <v>14</v>
      </c>
      <c r="C2129" s="4" t="str">
        <f t="shared" si="182"/>
        <v>Thái Nguyên</v>
      </c>
      <c r="D2129" s="3" t="s">
        <v>191</v>
      </c>
      <c r="E2129" s="4" t="str">
        <f t="shared" si="183"/>
        <v>Thành phố Sông Công</v>
      </c>
      <c r="F2129" s="3" t="s">
        <v>2893</v>
      </c>
      <c r="G2129" s="4" t="str">
        <f>HYPERLINK("https://diaocthongthai.com/phuong-chau-son-tp-song-cong/","Phường Châu Sơn")</f>
        <v>Phường Châu Sơn</v>
      </c>
    </row>
    <row r="2130" spans="1:7" x14ac:dyDescent="0.25">
      <c r="A2130" s="2">
        <v>2129</v>
      </c>
      <c r="B2130" s="3" t="s">
        <v>14</v>
      </c>
      <c r="C2130" s="4" t="str">
        <f t="shared" si="182"/>
        <v>Thái Nguyên</v>
      </c>
      <c r="D2130" s="3" t="s">
        <v>191</v>
      </c>
      <c r="E2130" s="4" t="str">
        <f t="shared" si="183"/>
        <v>Thành phố Sông Công</v>
      </c>
      <c r="F2130" s="3" t="s">
        <v>2894</v>
      </c>
      <c r="G2130" s="4" t="str">
        <f>HYPERLINK("https://diaocthongthai.com/phuong-mo-che-tp-song-cong/","Phường Mỏ Chè")</f>
        <v>Phường Mỏ Chè</v>
      </c>
    </row>
    <row r="2131" spans="1:7" x14ac:dyDescent="0.25">
      <c r="A2131" s="2">
        <v>2130</v>
      </c>
      <c r="B2131" s="3" t="s">
        <v>14</v>
      </c>
      <c r="C2131" s="4" t="str">
        <f t="shared" si="182"/>
        <v>Thái Nguyên</v>
      </c>
      <c r="D2131" s="3" t="s">
        <v>191</v>
      </c>
      <c r="E2131" s="4" t="str">
        <f t="shared" si="183"/>
        <v>Thành phố Sông Công</v>
      </c>
      <c r="F2131" s="3" t="s">
        <v>2895</v>
      </c>
      <c r="G2131" s="4" t="str">
        <f>HYPERLINK("https://diaocthongthai.com/phuong-cai-dan-tp-song-cong/","Phường Cải Đan")</f>
        <v>Phường Cải Đan</v>
      </c>
    </row>
    <row r="2132" spans="1:7" x14ac:dyDescent="0.25">
      <c r="A2132" s="2">
        <v>2131</v>
      </c>
      <c r="B2132" s="3" t="s">
        <v>14</v>
      </c>
      <c r="C2132" s="4" t="str">
        <f t="shared" si="182"/>
        <v>Thái Nguyên</v>
      </c>
      <c r="D2132" s="3" t="s">
        <v>191</v>
      </c>
      <c r="E2132" s="4" t="str">
        <f t="shared" si="183"/>
        <v>Thành phố Sông Công</v>
      </c>
      <c r="F2132" s="3" t="s">
        <v>2896</v>
      </c>
      <c r="G2132" s="4" t="str">
        <f>HYPERLINK("https://diaocthongthai.com/phuong-thang-loi-tp-song-cong/","Phường Thắng Lợi")</f>
        <v>Phường Thắng Lợi</v>
      </c>
    </row>
    <row r="2133" spans="1:7" x14ac:dyDescent="0.25">
      <c r="A2133" s="2">
        <v>2132</v>
      </c>
      <c r="B2133" s="3" t="s">
        <v>14</v>
      </c>
      <c r="C2133" s="4" t="str">
        <f t="shared" si="182"/>
        <v>Thái Nguyên</v>
      </c>
      <c r="D2133" s="3" t="s">
        <v>191</v>
      </c>
      <c r="E2133" s="4" t="str">
        <f t="shared" si="183"/>
        <v>Thành phố Sông Công</v>
      </c>
      <c r="F2133" s="3" t="s">
        <v>2897</v>
      </c>
      <c r="G2133" s="4" t="str">
        <f>HYPERLINK("https://diaocthongthai.com/phuong-pho-co-tp-song-cong/","Phường Phố Cò")</f>
        <v>Phường Phố Cò</v>
      </c>
    </row>
    <row r="2134" spans="1:7" x14ac:dyDescent="0.25">
      <c r="A2134" s="2">
        <v>2133</v>
      </c>
      <c r="B2134" s="3" t="s">
        <v>14</v>
      </c>
      <c r="C2134" s="4" t="str">
        <f t="shared" si="182"/>
        <v>Thái Nguyên</v>
      </c>
      <c r="D2134" s="3" t="s">
        <v>191</v>
      </c>
      <c r="E2134" s="4" t="str">
        <f t="shared" si="183"/>
        <v>Thành phố Sông Công</v>
      </c>
      <c r="F2134" s="3" t="s">
        <v>2898</v>
      </c>
      <c r="G2134" s="4" t="str">
        <f>HYPERLINK("https://diaocthongthai.com/xa-tan-quang-tp-song-cong/","Xã Tân Quang")</f>
        <v>Xã Tân Quang</v>
      </c>
    </row>
    <row r="2135" spans="1:7" x14ac:dyDescent="0.25">
      <c r="A2135" s="2">
        <v>2134</v>
      </c>
      <c r="B2135" s="3" t="s">
        <v>14</v>
      </c>
      <c r="C2135" s="4" t="str">
        <f t="shared" si="182"/>
        <v>Thái Nguyên</v>
      </c>
      <c r="D2135" s="3" t="s">
        <v>191</v>
      </c>
      <c r="E2135" s="4" t="str">
        <f t="shared" si="183"/>
        <v>Thành phố Sông Công</v>
      </c>
      <c r="F2135" s="3" t="s">
        <v>2899</v>
      </c>
      <c r="G2135" s="4" t="str">
        <f>HYPERLINK("https://diaocthongthai.com/phuong-bach-quang-tp-song-cong/","Phường Bách Quang")</f>
        <v>Phường Bách Quang</v>
      </c>
    </row>
    <row r="2136" spans="1:7" x14ac:dyDescent="0.25">
      <c r="A2136" s="2">
        <v>2135</v>
      </c>
      <c r="B2136" s="3" t="s">
        <v>14</v>
      </c>
      <c r="C2136" s="4" t="str">
        <f t="shared" si="182"/>
        <v>Thái Nguyên</v>
      </c>
      <c r="D2136" s="3" t="s">
        <v>191</v>
      </c>
      <c r="E2136" s="4" t="str">
        <f t="shared" si="183"/>
        <v>Thành phố Sông Công</v>
      </c>
      <c r="F2136" s="3" t="s">
        <v>2900</v>
      </c>
      <c r="G2136" s="4" t="str">
        <f>HYPERLINK("https://diaocthongthai.com/xa-binh-son-tp-song-cong/","Xã Bình Sơn")</f>
        <v>Xã Bình Sơn</v>
      </c>
    </row>
    <row r="2137" spans="1:7" x14ac:dyDescent="0.25">
      <c r="A2137" s="2">
        <v>2136</v>
      </c>
      <c r="B2137" s="3" t="s">
        <v>14</v>
      </c>
      <c r="C2137" s="4" t="str">
        <f t="shared" si="182"/>
        <v>Thái Nguyên</v>
      </c>
      <c r="D2137" s="3" t="s">
        <v>191</v>
      </c>
      <c r="E2137" s="4" t="str">
        <f t="shared" si="183"/>
        <v>Thành phố Sông Công</v>
      </c>
      <c r="F2137" s="3" t="s">
        <v>2901</v>
      </c>
      <c r="G2137" s="4" t="str">
        <f>HYPERLINK("https://diaocthongthai.com/xa-ba-xuyen-tp-song-cong/","Xã Bá Xuyên")</f>
        <v>Xã Bá Xuyên</v>
      </c>
    </row>
    <row r="2138" spans="1:7" x14ac:dyDescent="0.25">
      <c r="A2138" s="2">
        <v>2137</v>
      </c>
      <c r="B2138" s="3" t="s">
        <v>14</v>
      </c>
      <c r="C2138" s="4" t="str">
        <f t="shared" si="182"/>
        <v>Thái Nguyên</v>
      </c>
      <c r="D2138" s="3" t="s">
        <v>192</v>
      </c>
      <c r="E2138" s="4" t="str">
        <f t="shared" ref="E2138:E2160" si="184">HYPERLINK("https://diaocthongthai.com/ban-do-huyen-dinh-hoa-thai-nguyen/","Huyện Định Hóa")</f>
        <v>Huyện Định Hóa</v>
      </c>
      <c r="F2138" s="3" t="s">
        <v>2902</v>
      </c>
      <c r="G2138" s="4" t="str">
        <f>HYPERLINK("https://diaocthongthai.com/thi-tran-cho-chu-dinh-hoa/","Thị trấn Chợ Chu")</f>
        <v>Thị trấn Chợ Chu</v>
      </c>
    </row>
    <row r="2139" spans="1:7" x14ac:dyDescent="0.25">
      <c r="A2139" s="2">
        <v>2138</v>
      </c>
      <c r="B2139" s="3" t="s">
        <v>14</v>
      </c>
      <c r="C2139" s="4" t="str">
        <f t="shared" si="182"/>
        <v>Thái Nguyên</v>
      </c>
      <c r="D2139" s="3" t="s">
        <v>192</v>
      </c>
      <c r="E2139" s="4" t="str">
        <f t="shared" si="184"/>
        <v>Huyện Định Hóa</v>
      </c>
      <c r="F2139" s="3" t="s">
        <v>2903</v>
      </c>
      <c r="G2139" s="4" t="str">
        <f>HYPERLINK("https://diaocthongthai.com/xa-linh-thong-dinh-hoa/","Xã Linh Thông")</f>
        <v>Xã Linh Thông</v>
      </c>
    </row>
    <row r="2140" spans="1:7" x14ac:dyDescent="0.25">
      <c r="A2140" s="2">
        <v>2139</v>
      </c>
      <c r="B2140" s="3" t="s">
        <v>14</v>
      </c>
      <c r="C2140" s="4" t="str">
        <f t="shared" si="182"/>
        <v>Thái Nguyên</v>
      </c>
      <c r="D2140" s="3" t="s">
        <v>192</v>
      </c>
      <c r="E2140" s="4" t="str">
        <f t="shared" si="184"/>
        <v>Huyện Định Hóa</v>
      </c>
      <c r="F2140" s="3" t="s">
        <v>2904</v>
      </c>
      <c r="G2140" s="4" t="str">
        <f>HYPERLINK("https://diaocthongthai.com/xa-lam-vy-dinh-hoa/","Xã Lam Vỹ")</f>
        <v>Xã Lam Vỹ</v>
      </c>
    </row>
    <row r="2141" spans="1:7" x14ac:dyDescent="0.25">
      <c r="A2141" s="2">
        <v>2140</v>
      </c>
      <c r="B2141" s="3" t="s">
        <v>14</v>
      </c>
      <c r="C2141" s="4" t="str">
        <f t="shared" si="182"/>
        <v>Thái Nguyên</v>
      </c>
      <c r="D2141" s="3" t="s">
        <v>192</v>
      </c>
      <c r="E2141" s="4" t="str">
        <f t="shared" si="184"/>
        <v>Huyện Định Hóa</v>
      </c>
      <c r="F2141" s="3" t="s">
        <v>2905</v>
      </c>
      <c r="G2141" s="4" t="str">
        <f>HYPERLINK("https://diaocthongthai.com/xa-quy-ky-dinh-hoa/","Xã Quy Kỳ")</f>
        <v>Xã Quy Kỳ</v>
      </c>
    </row>
    <row r="2142" spans="1:7" x14ac:dyDescent="0.25">
      <c r="A2142" s="2">
        <v>2141</v>
      </c>
      <c r="B2142" s="3" t="s">
        <v>14</v>
      </c>
      <c r="C2142" s="4" t="str">
        <f t="shared" si="182"/>
        <v>Thái Nguyên</v>
      </c>
      <c r="D2142" s="3" t="s">
        <v>192</v>
      </c>
      <c r="E2142" s="4" t="str">
        <f t="shared" si="184"/>
        <v>Huyện Định Hóa</v>
      </c>
      <c r="F2142" s="3" t="s">
        <v>2906</v>
      </c>
      <c r="G2142" s="4" t="str">
        <f>HYPERLINK("https://diaocthongthai.com/xa-tan-thinh-dinh-hoa/","Xã Tân Thịnh")</f>
        <v>Xã Tân Thịnh</v>
      </c>
    </row>
    <row r="2143" spans="1:7" x14ac:dyDescent="0.25">
      <c r="A2143" s="2">
        <v>2142</v>
      </c>
      <c r="B2143" s="3" t="s">
        <v>14</v>
      </c>
      <c r="C2143" s="4" t="str">
        <f t="shared" si="182"/>
        <v>Thái Nguyên</v>
      </c>
      <c r="D2143" s="3" t="s">
        <v>192</v>
      </c>
      <c r="E2143" s="4" t="str">
        <f t="shared" si="184"/>
        <v>Huyện Định Hóa</v>
      </c>
      <c r="F2143" s="3" t="s">
        <v>2907</v>
      </c>
      <c r="G2143" s="4" t="str">
        <f>HYPERLINK("https://diaocthongthai.com/xa-kim-phuong-dinh-hoa/","Xã Kim Phượng")</f>
        <v>Xã Kim Phượng</v>
      </c>
    </row>
    <row r="2144" spans="1:7" x14ac:dyDescent="0.25">
      <c r="A2144" s="2">
        <v>2143</v>
      </c>
      <c r="B2144" s="3" t="s">
        <v>14</v>
      </c>
      <c r="C2144" s="4" t="str">
        <f t="shared" si="182"/>
        <v>Thái Nguyên</v>
      </c>
      <c r="D2144" s="3" t="s">
        <v>192</v>
      </c>
      <c r="E2144" s="4" t="str">
        <f t="shared" si="184"/>
        <v>Huyện Định Hóa</v>
      </c>
      <c r="F2144" s="3" t="s">
        <v>2908</v>
      </c>
      <c r="G2144" s="4" t="str">
        <f>HYPERLINK("https://diaocthongthai.com/xa-bao-linh-dinh-hoa/","Xã Bảo Linh")</f>
        <v>Xã Bảo Linh</v>
      </c>
    </row>
    <row r="2145" spans="1:7" x14ac:dyDescent="0.25">
      <c r="A2145" s="2">
        <v>2144</v>
      </c>
      <c r="B2145" s="3" t="s">
        <v>14</v>
      </c>
      <c r="C2145" s="4" t="str">
        <f t="shared" si="182"/>
        <v>Thái Nguyên</v>
      </c>
      <c r="D2145" s="3" t="s">
        <v>192</v>
      </c>
      <c r="E2145" s="4" t="str">
        <f t="shared" si="184"/>
        <v>Huyện Định Hóa</v>
      </c>
      <c r="F2145" s="3" t="s">
        <v>2909</v>
      </c>
      <c r="G2145" s="4" t="str">
        <f>HYPERLINK("https://diaocthongthai.com/xa-phuc-chu-dinh-hoa/","Xã Phúc Chu")</f>
        <v>Xã Phúc Chu</v>
      </c>
    </row>
    <row r="2146" spans="1:7" x14ac:dyDescent="0.25">
      <c r="A2146" s="2">
        <v>2145</v>
      </c>
      <c r="B2146" s="3" t="s">
        <v>14</v>
      </c>
      <c r="C2146" s="4" t="str">
        <f t="shared" si="182"/>
        <v>Thái Nguyên</v>
      </c>
      <c r="D2146" s="3" t="s">
        <v>192</v>
      </c>
      <c r="E2146" s="4" t="str">
        <f t="shared" si="184"/>
        <v>Huyện Định Hóa</v>
      </c>
      <c r="F2146" s="3" t="s">
        <v>2910</v>
      </c>
      <c r="G2146" s="4" t="str">
        <f>HYPERLINK("https://diaocthongthai.com/xa-tan-duong-dinh-hoa/","Xã Tân Dương")</f>
        <v>Xã Tân Dương</v>
      </c>
    </row>
    <row r="2147" spans="1:7" x14ac:dyDescent="0.25">
      <c r="A2147" s="2">
        <v>2146</v>
      </c>
      <c r="B2147" s="3" t="s">
        <v>14</v>
      </c>
      <c r="C2147" s="4" t="str">
        <f t="shared" si="182"/>
        <v>Thái Nguyên</v>
      </c>
      <c r="D2147" s="3" t="s">
        <v>192</v>
      </c>
      <c r="E2147" s="4" t="str">
        <f t="shared" si="184"/>
        <v>Huyện Định Hóa</v>
      </c>
      <c r="F2147" s="3" t="s">
        <v>2911</v>
      </c>
      <c r="G2147" s="4" t="str">
        <f>HYPERLINK("https://diaocthongthai.com/xa-phuong-tien-dinh-hoa/","Xã Phượng Tiến")</f>
        <v>Xã Phượng Tiến</v>
      </c>
    </row>
    <row r="2148" spans="1:7" x14ac:dyDescent="0.25">
      <c r="A2148" s="2">
        <v>2147</v>
      </c>
      <c r="B2148" s="3" t="s">
        <v>14</v>
      </c>
      <c r="C2148" s="4" t="str">
        <f t="shared" si="182"/>
        <v>Thái Nguyên</v>
      </c>
      <c r="D2148" s="3" t="s">
        <v>192</v>
      </c>
      <c r="E2148" s="4" t="str">
        <f t="shared" si="184"/>
        <v>Huyện Định Hóa</v>
      </c>
      <c r="F2148" s="3" t="s">
        <v>2912</v>
      </c>
      <c r="G2148" s="4" t="str">
        <f>HYPERLINK("https://diaocthongthai.com/xa-bao-cuong-dinh-hoa/","Xã Bảo Cường")</f>
        <v>Xã Bảo Cường</v>
      </c>
    </row>
    <row r="2149" spans="1:7" x14ac:dyDescent="0.25">
      <c r="A2149" s="2">
        <v>2148</v>
      </c>
      <c r="B2149" s="3" t="s">
        <v>14</v>
      </c>
      <c r="C2149" s="4" t="str">
        <f t="shared" si="182"/>
        <v>Thái Nguyên</v>
      </c>
      <c r="D2149" s="3" t="s">
        <v>192</v>
      </c>
      <c r="E2149" s="4" t="str">
        <f t="shared" si="184"/>
        <v>Huyện Định Hóa</v>
      </c>
      <c r="F2149" s="3" t="s">
        <v>2913</v>
      </c>
      <c r="G2149" s="4" t="str">
        <f>HYPERLINK("https://diaocthongthai.com/xa-dong-thinh-dinh-hoa/","Xã Đồng Thịnh")</f>
        <v>Xã Đồng Thịnh</v>
      </c>
    </row>
    <row r="2150" spans="1:7" x14ac:dyDescent="0.25">
      <c r="A2150" s="2">
        <v>2149</v>
      </c>
      <c r="B2150" s="3" t="s">
        <v>14</v>
      </c>
      <c r="C2150" s="4" t="str">
        <f t="shared" si="182"/>
        <v>Thái Nguyên</v>
      </c>
      <c r="D2150" s="3" t="s">
        <v>192</v>
      </c>
      <c r="E2150" s="4" t="str">
        <f t="shared" si="184"/>
        <v>Huyện Định Hóa</v>
      </c>
      <c r="F2150" s="3" t="s">
        <v>2914</v>
      </c>
      <c r="G2150" s="4" t="str">
        <f>HYPERLINK("https://diaocthongthai.com/xa-dinh-bien-dinh-hoa/","Xã Định Biên")</f>
        <v>Xã Định Biên</v>
      </c>
    </row>
    <row r="2151" spans="1:7" x14ac:dyDescent="0.25">
      <c r="A2151" s="2">
        <v>2150</v>
      </c>
      <c r="B2151" s="3" t="s">
        <v>14</v>
      </c>
      <c r="C2151" s="4" t="str">
        <f t="shared" si="182"/>
        <v>Thái Nguyên</v>
      </c>
      <c r="D2151" s="3" t="s">
        <v>192</v>
      </c>
      <c r="E2151" s="4" t="str">
        <f t="shared" si="184"/>
        <v>Huyện Định Hóa</v>
      </c>
      <c r="F2151" s="3" t="s">
        <v>2915</v>
      </c>
      <c r="G2151" s="4" t="str">
        <f>HYPERLINK("https://diaocthongthai.com/xa-thanh-dinh-dinh-hoa/","Xã Thanh Định")</f>
        <v>Xã Thanh Định</v>
      </c>
    </row>
    <row r="2152" spans="1:7" x14ac:dyDescent="0.25">
      <c r="A2152" s="2">
        <v>2151</v>
      </c>
      <c r="B2152" s="3" t="s">
        <v>14</v>
      </c>
      <c r="C2152" s="4" t="str">
        <f t="shared" si="182"/>
        <v>Thái Nguyên</v>
      </c>
      <c r="D2152" s="3" t="s">
        <v>192</v>
      </c>
      <c r="E2152" s="4" t="str">
        <f t="shared" si="184"/>
        <v>Huyện Định Hóa</v>
      </c>
      <c r="F2152" s="3" t="s">
        <v>2916</v>
      </c>
      <c r="G2152" s="4" t="str">
        <f>HYPERLINK("https://diaocthongthai.com/xa-trung-hoi-dinh-hoa/","Xã Trung Hội")</f>
        <v>Xã Trung Hội</v>
      </c>
    </row>
    <row r="2153" spans="1:7" x14ac:dyDescent="0.25">
      <c r="A2153" s="2">
        <v>2152</v>
      </c>
      <c r="B2153" s="3" t="s">
        <v>14</v>
      </c>
      <c r="C2153" s="4" t="str">
        <f t="shared" si="182"/>
        <v>Thái Nguyên</v>
      </c>
      <c r="D2153" s="3" t="s">
        <v>192</v>
      </c>
      <c r="E2153" s="4" t="str">
        <f t="shared" si="184"/>
        <v>Huyện Định Hóa</v>
      </c>
      <c r="F2153" s="3" t="s">
        <v>2917</v>
      </c>
      <c r="G2153" s="4" t="str">
        <f>HYPERLINK("https://diaocthongthai.com/xa-trung-luong-dinh-hoa/","Xã Trung Lương")</f>
        <v>Xã Trung Lương</v>
      </c>
    </row>
    <row r="2154" spans="1:7" x14ac:dyDescent="0.25">
      <c r="A2154" s="2">
        <v>2153</v>
      </c>
      <c r="B2154" s="3" t="s">
        <v>14</v>
      </c>
      <c r="C2154" s="4" t="str">
        <f t="shared" si="182"/>
        <v>Thái Nguyên</v>
      </c>
      <c r="D2154" s="3" t="s">
        <v>192</v>
      </c>
      <c r="E2154" s="4" t="str">
        <f t="shared" si="184"/>
        <v>Huyện Định Hóa</v>
      </c>
      <c r="F2154" s="3" t="s">
        <v>2918</v>
      </c>
      <c r="G2154" s="4" t="str">
        <f>HYPERLINK("https://diaocthongthai.com/xa-binh-yen-dinh-hoa/","Xã Bình Yên")</f>
        <v>Xã Bình Yên</v>
      </c>
    </row>
    <row r="2155" spans="1:7" x14ac:dyDescent="0.25">
      <c r="A2155" s="2">
        <v>2154</v>
      </c>
      <c r="B2155" s="3" t="s">
        <v>14</v>
      </c>
      <c r="C2155" s="4" t="str">
        <f t="shared" si="182"/>
        <v>Thái Nguyên</v>
      </c>
      <c r="D2155" s="3" t="s">
        <v>192</v>
      </c>
      <c r="E2155" s="4" t="str">
        <f t="shared" si="184"/>
        <v>Huyện Định Hóa</v>
      </c>
      <c r="F2155" s="3" t="s">
        <v>2919</v>
      </c>
      <c r="G2155" s="4" t="str">
        <f>HYPERLINK("https://diaocthongthai.com/xa-diem-mac-dinh-hoa/","Xã Điềm Mặc")</f>
        <v>Xã Điềm Mặc</v>
      </c>
    </row>
    <row r="2156" spans="1:7" x14ac:dyDescent="0.25">
      <c r="A2156" s="2">
        <v>2155</v>
      </c>
      <c r="B2156" s="3" t="s">
        <v>14</v>
      </c>
      <c r="C2156" s="4" t="str">
        <f t="shared" si="182"/>
        <v>Thái Nguyên</v>
      </c>
      <c r="D2156" s="3" t="s">
        <v>192</v>
      </c>
      <c r="E2156" s="4" t="str">
        <f t="shared" si="184"/>
        <v>Huyện Định Hóa</v>
      </c>
      <c r="F2156" s="3" t="s">
        <v>2920</v>
      </c>
      <c r="G2156" s="4" t="str">
        <f>HYPERLINK("https://diaocthongthai.com/xa-phu-tien-dinh-hoa/","Xã Phú Tiến")</f>
        <v>Xã Phú Tiến</v>
      </c>
    </row>
    <row r="2157" spans="1:7" x14ac:dyDescent="0.25">
      <c r="A2157" s="2">
        <v>2156</v>
      </c>
      <c r="B2157" s="3" t="s">
        <v>14</v>
      </c>
      <c r="C2157" s="4" t="str">
        <f t="shared" si="182"/>
        <v>Thái Nguyên</v>
      </c>
      <c r="D2157" s="3" t="s">
        <v>192</v>
      </c>
      <c r="E2157" s="4" t="str">
        <f t="shared" si="184"/>
        <v>Huyện Định Hóa</v>
      </c>
      <c r="F2157" s="3" t="s">
        <v>2921</v>
      </c>
      <c r="G2157" s="4" t="str">
        <f>HYPERLINK("https://diaocthongthai.com/xa-boc-nhieu-dinh-hoa/","Xã Bộc Nhiêu")</f>
        <v>Xã Bộc Nhiêu</v>
      </c>
    </row>
    <row r="2158" spans="1:7" x14ac:dyDescent="0.25">
      <c r="A2158" s="2">
        <v>2157</v>
      </c>
      <c r="B2158" s="3" t="s">
        <v>14</v>
      </c>
      <c r="C2158" s="4" t="str">
        <f t="shared" si="182"/>
        <v>Thái Nguyên</v>
      </c>
      <c r="D2158" s="3" t="s">
        <v>192</v>
      </c>
      <c r="E2158" s="4" t="str">
        <f t="shared" si="184"/>
        <v>Huyện Định Hóa</v>
      </c>
      <c r="F2158" s="3" t="s">
        <v>2922</v>
      </c>
      <c r="G2158" s="4" t="str">
        <f>HYPERLINK("https://diaocthongthai.com/xa-son-phu-dinh-hoa/","Xã Sơn Phú")</f>
        <v>Xã Sơn Phú</v>
      </c>
    </row>
    <row r="2159" spans="1:7" x14ac:dyDescent="0.25">
      <c r="A2159" s="2">
        <v>2158</v>
      </c>
      <c r="B2159" s="3" t="s">
        <v>14</v>
      </c>
      <c r="C2159" s="4" t="str">
        <f t="shared" si="182"/>
        <v>Thái Nguyên</v>
      </c>
      <c r="D2159" s="3" t="s">
        <v>192</v>
      </c>
      <c r="E2159" s="4" t="str">
        <f t="shared" si="184"/>
        <v>Huyện Định Hóa</v>
      </c>
      <c r="F2159" s="3" t="s">
        <v>2923</v>
      </c>
      <c r="G2159" s="4" t="str">
        <f>HYPERLINK("https://diaocthongthai.com/xa-phu-dinh-dinh-hoa/","Xã Phú Đình")</f>
        <v>Xã Phú Đình</v>
      </c>
    </row>
    <row r="2160" spans="1:7" x14ac:dyDescent="0.25">
      <c r="A2160" s="2">
        <v>2159</v>
      </c>
      <c r="B2160" s="3" t="s">
        <v>14</v>
      </c>
      <c r="C2160" s="4" t="str">
        <f t="shared" ref="C2160:C2191" si="185">HYPERLINK("https://diaocthongthai.com/ban-do-thai-nguyen/","Thái Nguyên")</f>
        <v>Thái Nguyên</v>
      </c>
      <c r="D2160" s="3" t="s">
        <v>192</v>
      </c>
      <c r="E2160" s="4" t="str">
        <f t="shared" si="184"/>
        <v>Huyện Định Hóa</v>
      </c>
      <c r="F2160" s="3" t="s">
        <v>2924</v>
      </c>
      <c r="G2160" s="4" t="str">
        <f>HYPERLINK("https://diaocthongthai.com/xa-binh-thanh-dinh-hoa/","Xã Bình Thành")</f>
        <v>Xã Bình Thành</v>
      </c>
    </row>
    <row r="2161" spans="1:7" x14ac:dyDescent="0.25">
      <c r="A2161" s="2">
        <v>2160</v>
      </c>
      <c r="B2161" s="3" t="s">
        <v>14</v>
      </c>
      <c r="C2161" s="4" t="str">
        <f t="shared" si="185"/>
        <v>Thái Nguyên</v>
      </c>
      <c r="D2161" s="3" t="s">
        <v>193</v>
      </c>
      <c r="E2161" s="4" t="str">
        <f t="shared" ref="E2161:E2175" si="186">HYPERLINK("https://diaocthongthai.com/ban-do-huyen-phu-luong-thai-nguyen/","Huyện Phú Lương")</f>
        <v>Huyện Phú Lương</v>
      </c>
      <c r="F2161" s="3" t="s">
        <v>2925</v>
      </c>
      <c r="G2161" s="4" t="str">
        <f>HYPERLINK("https://diaocthongthai.com/thi-tran-giang-tien-phu-luong/","Thị trấn Giang Tiên")</f>
        <v>Thị trấn Giang Tiên</v>
      </c>
    </row>
    <row r="2162" spans="1:7" x14ac:dyDescent="0.25">
      <c r="A2162" s="2">
        <v>2161</v>
      </c>
      <c r="B2162" s="3" t="s">
        <v>14</v>
      </c>
      <c r="C2162" s="4" t="str">
        <f t="shared" si="185"/>
        <v>Thái Nguyên</v>
      </c>
      <c r="D2162" s="3" t="s">
        <v>193</v>
      </c>
      <c r="E2162" s="4" t="str">
        <f t="shared" si="186"/>
        <v>Huyện Phú Lương</v>
      </c>
      <c r="F2162" s="3" t="s">
        <v>2926</v>
      </c>
      <c r="G2162" s="4" t="str">
        <f>HYPERLINK("https://diaocthongthai.com/thi-tran-du-phu-luong/","Thị trấn Đu")</f>
        <v>Thị trấn Đu</v>
      </c>
    </row>
    <row r="2163" spans="1:7" x14ac:dyDescent="0.25">
      <c r="A2163" s="2">
        <v>2162</v>
      </c>
      <c r="B2163" s="3" t="s">
        <v>14</v>
      </c>
      <c r="C2163" s="4" t="str">
        <f t="shared" si="185"/>
        <v>Thái Nguyên</v>
      </c>
      <c r="D2163" s="3" t="s">
        <v>193</v>
      </c>
      <c r="E2163" s="4" t="str">
        <f t="shared" si="186"/>
        <v>Huyện Phú Lương</v>
      </c>
      <c r="F2163" s="3" t="s">
        <v>2927</v>
      </c>
      <c r="G2163" s="4" t="str">
        <f>HYPERLINK("https://diaocthongthai.com/xa-yen-ninh-phu-luong/","Xã Yên Ninh")</f>
        <v>Xã Yên Ninh</v>
      </c>
    </row>
    <row r="2164" spans="1:7" x14ac:dyDescent="0.25">
      <c r="A2164" s="2">
        <v>2163</v>
      </c>
      <c r="B2164" s="3" t="s">
        <v>14</v>
      </c>
      <c r="C2164" s="4" t="str">
        <f t="shared" si="185"/>
        <v>Thái Nguyên</v>
      </c>
      <c r="D2164" s="3" t="s">
        <v>193</v>
      </c>
      <c r="E2164" s="4" t="str">
        <f t="shared" si="186"/>
        <v>Huyện Phú Lương</v>
      </c>
      <c r="F2164" s="3" t="s">
        <v>2928</v>
      </c>
      <c r="G2164" s="4" t="str">
        <f>HYPERLINK("https://diaocthongthai.com/xa-yen-trach-phu-luong/","Xã Yên Trạch")</f>
        <v>Xã Yên Trạch</v>
      </c>
    </row>
    <row r="2165" spans="1:7" x14ac:dyDescent="0.25">
      <c r="A2165" s="2">
        <v>2164</v>
      </c>
      <c r="B2165" s="3" t="s">
        <v>14</v>
      </c>
      <c r="C2165" s="4" t="str">
        <f t="shared" si="185"/>
        <v>Thái Nguyên</v>
      </c>
      <c r="D2165" s="3" t="s">
        <v>193</v>
      </c>
      <c r="E2165" s="4" t="str">
        <f t="shared" si="186"/>
        <v>Huyện Phú Lương</v>
      </c>
      <c r="F2165" s="3" t="s">
        <v>2929</v>
      </c>
      <c r="G2165" s="4" t="str">
        <f>HYPERLINK("https://diaocthongthai.com/xa-yen-do-phu-luong/","Xã Yên Đổ")</f>
        <v>Xã Yên Đổ</v>
      </c>
    </row>
    <row r="2166" spans="1:7" x14ac:dyDescent="0.25">
      <c r="A2166" s="2">
        <v>2165</v>
      </c>
      <c r="B2166" s="3" t="s">
        <v>14</v>
      </c>
      <c r="C2166" s="4" t="str">
        <f t="shared" si="185"/>
        <v>Thái Nguyên</v>
      </c>
      <c r="D2166" s="3" t="s">
        <v>193</v>
      </c>
      <c r="E2166" s="4" t="str">
        <f t="shared" si="186"/>
        <v>Huyện Phú Lương</v>
      </c>
      <c r="F2166" s="3" t="s">
        <v>2930</v>
      </c>
      <c r="G2166" s="4" t="str">
        <f>HYPERLINK("https://diaocthongthai.com/xa-yen-lac-phu-luong/","Xã Yên Lạc")</f>
        <v>Xã Yên Lạc</v>
      </c>
    </row>
    <row r="2167" spans="1:7" x14ac:dyDescent="0.25">
      <c r="A2167" s="2">
        <v>2166</v>
      </c>
      <c r="B2167" s="3" t="s">
        <v>14</v>
      </c>
      <c r="C2167" s="4" t="str">
        <f t="shared" si="185"/>
        <v>Thái Nguyên</v>
      </c>
      <c r="D2167" s="3" t="s">
        <v>193</v>
      </c>
      <c r="E2167" s="4" t="str">
        <f t="shared" si="186"/>
        <v>Huyện Phú Lương</v>
      </c>
      <c r="F2167" s="3" t="s">
        <v>2931</v>
      </c>
      <c r="G2167" s="4" t="str">
        <f>HYPERLINK("https://diaocthongthai.com/xa-on-luong-phu-luong/","Xã Ôn Lương")</f>
        <v>Xã Ôn Lương</v>
      </c>
    </row>
    <row r="2168" spans="1:7" x14ac:dyDescent="0.25">
      <c r="A2168" s="2">
        <v>2167</v>
      </c>
      <c r="B2168" s="3" t="s">
        <v>14</v>
      </c>
      <c r="C2168" s="4" t="str">
        <f t="shared" si="185"/>
        <v>Thái Nguyên</v>
      </c>
      <c r="D2168" s="3" t="s">
        <v>193</v>
      </c>
      <c r="E2168" s="4" t="str">
        <f t="shared" si="186"/>
        <v>Huyện Phú Lương</v>
      </c>
      <c r="F2168" s="3" t="s">
        <v>2932</v>
      </c>
      <c r="G2168" s="4" t="str">
        <f>HYPERLINK("https://diaocthongthai.com/xa-dong-dat-phu-luong/","Xã Động Đạt")</f>
        <v>Xã Động Đạt</v>
      </c>
    </row>
    <row r="2169" spans="1:7" x14ac:dyDescent="0.25">
      <c r="A2169" s="2">
        <v>2168</v>
      </c>
      <c r="B2169" s="3" t="s">
        <v>14</v>
      </c>
      <c r="C2169" s="4" t="str">
        <f t="shared" si="185"/>
        <v>Thái Nguyên</v>
      </c>
      <c r="D2169" s="3" t="s">
        <v>193</v>
      </c>
      <c r="E2169" s="4" t="str">
        <f t="shared" si="186"/>
        <v>Huyện Phú Lương</v>
      </c>
      <c r="F2169" s="3" t="s">
        <v>2933</v>
      </c>
      <c r="G2169" s="4" t="str">
        <f>HYPERLINK("https://diaocthongthai.com/xa-phu-ly-phu-luong/","Xã Phủ Lý")</f>
        <v>Xã Phủ Lý</v>
      </c>
    </row>
    <row r="2170" spans="1:7" x14ac:dyDescent="0.25">
      <c r="A2170" s="2">
        <v>2169</v>
      </c>
      <c r="B2170" s="3" t="s">
        <v>14</v>
      </c>
      <c r="C2170" s="4" t="str">
        <f t="shared" si="185"/>
        <v>Thái Nguyên</v>
      </c>
      <c r="D2170" s="3" t="s">
        <v>193</v>
      </c>
      <c r="E2170" s="4" t="str">
        <f t="shared" si="186"/>
        <v>Huyện Phú Lương</v>
      </c>
      <c r="F2170" s="3" t="s">
        <v>2934</v>
      </c>
      <c r="G2170" s="4" t="str">
        <f>HYPERLINK("https://diaocthongthai.com/xa-phu-do-phu-luong/","Xã Phú Đô")</f>
        <v>Xã Phú Đô</v>
      </c>
    </row>
    <row r="2171" spans="1:7" x14ac:dyDescent="0.25">
      <c r="A2171" s="2">
        <v>2170</v>
      </c>
      <c r="B2171" s="3" t="s">
        <v>14</v>
      </c>
      <c r="C2171" s="4" t="str">
        <f t="shared" si="185"/>
        <v>Thái Nguyên</v>
      </c>
      <c r="D2171" s="3" t="s">
        <v>193</v>
      </c>
      <c r="E2171" s="4" t="str">
        <f t="shared" si="186"/>
        <v>Huyện Phú Lương</v>
      </c>
      <c r="F2171" s="3" t="s">
        <v>2935</v>
      </c>
      <c r="G2171" s="4" t="str">
        <f>HYPERLINK("https://diaocthongthai.com/xa-hop-thanh-phu-luong/","Xã Hợp Thành")</f>
        <v>Xã Hợp Thành</v>
      </c>
    </row>
    <row r="2172" spans="1:7" x14ac:dyDescent="0.25">
      <c r="A2172" s="2">
        <v>2171</v>
      </c>
      <c r="B2172" s="3" t="s">
        <v>14</v>
      </c>
      <c r="C2172" s="4" t="str">
        <f t="shared" si="185"/>
        <v>Thái Nguyên</v>
      </c>
      <c r="D2172" s="3" t="s">
        <v>193</v>
      </c>
      <c r="E2172" s="4" t="str">
        <f t="shared" si="186"/>
        <v>Huyện Phú Lương</v>
      </c>
      <c r="F2172" s="3" t="s">
        <v>2936</v>
      </c>
      <c r="G2172" s="4" t="str">
        <f>HYPERLINK("https://diaocthongthai.com/xa-tuc-tranh-phu-luong/","Xã Tức Tranh")</f>
        <v>Xã Tức Tranh</v>
      </c>
    </row>
    <row r="2173" spans="1:7" x14ac:dyDescent="0.25">
      <c r="A2173" s="2">
        <v>2172</v>
      </c>
      <c r="B2173" s="3" t="s">
        <v>14</v>
      </c>
      <c r="C2173" s="4" t="str">
        <f t="shared" si="185"/>
        <v>Thái Nguyên</v>
      </c>
      <c r="D2173" s="3" t="s">
        <v>193</v>
      </c>
      <c r="E2173" s="4" t="str">
        <f t="shared" si="186"/>
        <v>Huyện Phú Lương</v>
      </c>
      <c r="F2173" s="3" t="s">
        <v>2937</v>
      </c>
      <c r="G2173" s="4" t="str">
        <f>HYPERLINK("https://diaocthongthai.com/xa-phan-me-phu-luong/","Xã Phấn Mễ")</f>
        <v>Xã Phấn Mễ</v>
      </c>
    </row>
    <row r="2174" spans="1:7" x14ac:dyDescent="0.25">
      <c r="A2174" s="2">
        <v>2173</v>
      </c>
      <c r="B2174" s="3" t="s">
        <v>14</v>
      </c>
      <c r="C2174" s="4" t="str">
        <f t="shared" si="185"/>
        <v>Thái Nguyên</v>
      </c>
      <c r="D2174" s="3" t="s">
        <v>193</v>
      </c>
      <c r="E2174" s="4" t="str">
        <f t="shared" si="186"/>
        <v>Huyện Phú Lương</v>
      </c>
      <c r="F2174" s="3" t="s">
        <v>2938</v>
      </c>
      <c r="G2174" s="4" t="str">
        <f>HYPERLINK("https://diaocthongthai.com/xa-vo-tranh-phu-luong/","Xã Vô Tranh")</f>
        <v>Xã Vô Tranh</v>
      </c>
    </row>
    <row r="2175" spans="1:7" x14ac:dyDescent="0.25">
      <c r="A2175" s="2">
        <v>2174</v>
      </c>
      <c r="B2175" s="3" t="s">
        <v>14</v>
      </c>
      <c r="C2175" s="4" t="str">
        <f t="shared" si="185"/>
        <v>Thái Nguyên</v>
      </c>
      <c r="D2175" s="3" t="s">
        <v>193</v>
      </c>
      <c r="E2175" s="4" t="str">
        <f t="shared" si="186"/>
        <v>Huyện Phú Lương</v>
      </c>
      <c r="F2175" s="3" t="s">
        <v>2939</v>
      </c>
      <c r="G2175" s="4" t="str">
        <f>HYPERLINK("https://diaocthongthai.com/xa-co-lung-phu-luong/","Xã Cổ Lũng")</f>
        <v>Xã Cổ Lũng</v>
      </c>
    </row>
    <row r="2176" spans="1:7" x14ac:dyDescent="0.25">
      <c r="A2176" s="2">
        <v>2175</v>
      </c>
      <c r="B2176" s="3" t="s">
        <v>14</v>
      </c>
      <c r="C2176" s="4" t="str">
        <f t="shared" si="185"/>
        <v>Thái Nguyên</v>
      </c>
      <c r="D2176" s="3" t="s">
        <v>194</v>
      </c>
      <c r="E2176" s="4" t="str">
        <f t="shared" ref="E2176:E2190" si="187">HYPERLINK("https://diaocthongthai.com/ban-do-huyen-dong-hy-thai-nguyen/","Huyện Đồng Hỷ")</f>
        <v>Huyện Đồng Hỷ</v>
      </c>
      <c r="F2176" s="3" t="s">
        <v>2940</v>
      </c>
      <c r="G2176" s="4" t="str">
        <f>HYPERLINK("https://diaocthongthai.com/thi-tran-song-cau-dong-hy/","Thị trấn Sông Cầu")</f>
        <v>Thị trấn Sông Cầu</v>
      </c>
    </row>
    <row r="2177" spans="1:7" x14ac:dyDescent="0.25">
      <c r="A2177" s="2">
        <v>2176</v>
      </c>
      <c r="B2177" s="3" t="s">
        <v>14</v>
      </c>
      <c r="C2177" s="4" t="str">
        <f t="shared" si="185"/>
        <v>Thái Nguyên</v>
      </c>
      <c r="D2177" s="3" t="s">
        <v>194</v>
      </c>
      <c r="E2177" s="4" t="str">
        <f t="shared" si="187"/>
        <v>Huyện Đồng Hỷ</v>
      </c>
      <c r="F2177" s="3" t="s">
        <v>2941</v>
      </c>
      <c r="G2177" s="4" t="str">
        <f>HYPERLINK("https://diaocthongthai.com/thi-tran-trai-cau-dong-hy/","Thị trấn Trại Cau")</f>
        <v>Thị trấn Trại Cau</v>
      </c>
    </row>
    <row r="2178" spans="1:7" x14ac:dyDescent="0.25">
      <c r="A2178" s="2">
        <v>2177</v>
      </c>
      <c r="B2178" s="3" t="s">
        <v>14</v>
      </c>
      <c r="C2178" s="4" t="str">
        <f t="shared" si="185"/>
        <v>Thái Nguyên</v>
      </c>
      <c r="D2178" s="3" t="s">
        <v>194</v>
      </c>
      <c r="E2178" s="4" t="str">
        <f t="shared" si="187"/>
        <v>Huyện Đồng Hỷ</v>
      </c>
      <c r="F2178" s="3" t="s">
        <v>2942</v>
      </c>
      <c r="G2178" s="4" t="str">
        <f>HYPERLINK("https://diaocthongthai.com/xa-van-lang-dong-hy/","Xã Văn Lăng")</f>
        <v>Xã Văn Lăng</v>
      </c>
    </row>
    <row r="2179" spans="1:7" x14ac:dyDescent="0.25">
      <c r="A2179" s="2">
        <v>2178</v>
      </c>
      <c r="B2179" s="3" t="s">
        <v>14</v>
      </c>
      <c r="C2179" s="4" t="str">
        <f t="shared" si="185"/>
        <v>Thái Nguyên</v>
      </c>
      <c r="D2179" s="3" t="s">
        <v>194</v>
      </c>
      <c r="E2179" s="4" t="str">
        <f t="shared" si="187"/>
        <v>Huyện Đồng Hỷ</v>
      </c>
      <c r="F2179" s="3" t="s">
        <v>2943</v>
      </c>
      <c r="G2179" s="4" t="str">
        <f>HYPERLINK("https://diaocthongthai.com/xa-tan-long-dong-hy/","Xã Tân Long")</f>
        <v>Xã Tân Long</v>
      </c>
    </row>
    <row r="2180" spans="1:7" x14ac:dyDescent="0.25">
      <c r="A2180" s="2">
        <v>2179</v>
      </c>
      <c r="B2180" s="3" t="s">
        <v>14</v>
      </c>
      <c r="C2180" s="4" t="str">
        <f t="shared" si="185"/>
        <v>Thái Nguyên</v>
      </c>
      <c r="D2180" s="3" t="s">
        <v>194</v>
      </c>
      <c r="E2180" s="4" t="str">
        <f t="shared" si="187"/>
        <v>Huyện Đồng Hỷ</v>
      </c>
      <c r="F2180" s="3" t="s">
        <v>2944</v>
      </c>
      <c r="G2180" s="4" t="str">
        <f>HYPERLINK("https://diaocthongthai.com/xa-hoa-binh-dong-hy/","Xã Hòa Bình")</f>
        <v>Xã Hòa Bình</v>
      </c>
    </row>
    <row r="2181" spans="1:7" x14ac:dyDescent="0.25">
      <c r="A2181" s="2">
        <v>2180</v>
      </c>
      <c r="B2181" s="3" t="s">
        <v>14</v>
      </c>
      <c r="C2181" s="4" t="str">
        <f t="shared" si="185"/>
        <v>Thái Nguyên</v>
      </c>
      <c r="D2181" s="3" t="s">
        <v>194</v>
      </c>
      <c r="E2181" s="4" t="str">
        <f t="shared" si="187"/>
        <v>Huyện Đồng Hỷ</v>
      </c>
      <c r="F2181" s="3" t="s">
        <v>2945</v>
      </c>
      <c r="G2181" s="4" t="str">
        <f>HYPERLINK("https://diaocthongthai.com/xa-quang-son-dong-hy/","Xã Quang Sơn")</f>
        <v>Xã Quang Sơn</v>
      </c>
    </row>
    <row r="2182" spans="1:7" x14ac:dyDescent="0.25">
      <c r="A2182" s="2">
        <v>2181</v>
      </c>
      <c r="B2182" s="3" t="s">
        <v>14</v>
      </c>
      <c r="C2182" s="4" t="str">
        <f t="shared" si="185"/>
        <v>Thái Nguyên</v>
      </c>
      <c r="D2182" s="3" t="s">
        <v>194</v>
      </c>
      <c r="E2182" s="4" t="str">
        <f t="shared" si="187"/>
        <v>Huyện Đồng Hỷ</v>
      </c>
      <c r="F2182" s="3" t="s">
        <v>2946</v>
      </c>
      <c r="G2182" s="4" t="str">
        <f>HYPERLINK("https://diaocthongthai.com/xa-minh-lap-dong-hy/","Xã Minh Lập")</f>
        <v>Xã Minh Lập</v>
      </c>
    </row>
    <row r="2183" spans="1:7" x14ac:dyDescent="0.25">
      <c r="A2183" s="2">
        <v>2182</v>
      </c>
      <c r="B2183" s="3" t="s">
        <v>14</v>
      </c>
      <c r="C2183" s="4" t="str">
        <f t="shared" si="185"/>
        <v>Thái Nguyên</v>
      </c>
      <c r="D2183" s="3" t="s">
        <v>194</v>
      </c>
      <c r="E2183" s="4" t="str">
        <f t="shared" si="187"/>
        <v>Huyện Đồng Hỷ</v>
      </c>
      <c r="F2183" s="3" t="s">
        <v>2947</v>
      </c>
      <c r="G2183" s="4" t="str">
        <f>HYPERLINK("https://diaocthongthai.com/xa-van-han-dong-hy/","Xã Văn Hán")</f>
        <v>Xã Văn Hán</v>
      </c>
    </row>
    <row r="2184" spans="1:7" x14ac:dyDescent="0.25">
      <c r="A2184" s="2">
        <v>2183</v>
      </c>
      <c r="B2184" s="3" t="s">
        <v>14</v>
      </c>
      <c r="C2184" s="4" t="str">
        <f t="shared" si="185"/>
        <v>Thái Nguyên</v>
      </c>
      <c r="D2184" s="3" t="s">
        <v>194</v>
      </c>
      <c r="E2184" s="4" t="str">
        <f t="shared" si="187"/>
        <v>Huyện Đồng Hỷ</v>
      </c>
      <c r="F2184" s="3" t="s">
        <v>2948</v>
      </c>
      <c r="G2184" s="4" t="str">
        <f>HYPERLINK("https://diaocthongthai.com/xa-hoa-trung-dong-hy/","Xã Hóa Trung")</f>
        <v>Xã Hóa Trung</v>
      </c>
    </row>
    <row r="2185" spans="1:7" x14ac:dyDescent="0.25">
      <c r="A2185" s="2">
        <v>2184</v>
      </c>
      <c r="B2185" s="3" t="s">
        <v>14</v>
      </c>
      <c r="C2185" s="4" t="str">
        <f t="shared" si="185"/>
        <v>Thái Nguyên</v>
      </c>
      <c r="D2185" s="3" t="s">
        <v>194</v>
      </c>
      <c r="E2185" s="4" t="str">
        <f t="shared" si="187"/>
        <v>Huyện Đồng Hỷ</v>
      </c>
      <c r="F2185" s="3" t="s">
        <v>2949</v>
      </c>
      <c r="G2185" s="4" t="str">
        <f>HYPERLINK("https://diaocthongthai.com/xa-khe-mo-dong-hy/","Xã Khe Mo")</f>
        <v>Xã Khe Mo</v>
      </c>
    </row>
    <row r="2186" spans="1:7" x14ac:dyDescent="0.25">
      <c r="A2186" s="2">
        <v>2185</v>
      </c>
      <c r="B2186" s="3" t="s">
        <v>14</v>
      </c>
      <c r="C2186" s="4" t="str">
        <f t="shared" si="185"/>
        <v>Thái Nguyên</v>
      </c>
      <c r="D2186" s="3" t="s">
        <v>194</v>
      </c>
      <c r="E2186" s="4" t="str">
        <f t="shared" si="187"/>
        <v>Huyện Đồng Hỷ</v>
      </c>
      <c r="F2186" s="3" t="s">
        <v>2950</v>
      </c>
      <c r="G2186" s="4" t="str">
        <f>HYPERLINK("https://diaocthongthai.com/xa-cay-thi-dong-hy/","Xã Cây Thị")</f>
        <v>Xã Cây Thị</v>
      </c>
    </row>
    <row r="2187" spans="1:7" x14ac:dyDescent="0.25">
      <c r="A2187" s="2">
        <v>2186</v>
      </c>
      <c r="B2187" s="3" t="s">
        <v>14</v>
      </c>
      <c r="C2187" s="4" t="str">
        <f t="shared" si="185"/>
        <v>Thái Nguyên</v>
      </c>
      <c r="D2187" s="3" t="s">
        <v>194</v>
      </c>
      <c r="E2187" s="4" t="str">
        <f t="shared" si="187"/>
        <v>Huyện Đồng Hỷ</v>
      </c>
      <c r="F2187" s="3" t="s">
        <v>2951</v>
      </c>
      <c r="G2187" s="4" t="str">
        <f>HYPERLINK("https://diaocthongthai.com/xa-hoa-thuong-dong-hy/","Xã Hóa Thượng")</f>
        <v>Xã Hóa Thượng</v>
      </c>
    </row>
    <row r="2188" spans="1:7" x14ac:dyDescent="0.25">
      <c r="A2188" s="2">
        <v>2187</v>
      </c>
      <c r="B2188" s="3" t="s">
        <v>14</v>
      </c>
      <c r="C2188" s="4" t="str">
        <f t="shared" si="185"/>
        <v>Thái Nguyên</v>
      </c>
      <c r="D2188" s="3" t="s">
        <v>194</v>
      </c>
      <c r="E2188" s="4" t="str">
        <f t="shared" si="187"/>
        <v>Huyện Đồng Hỷ</v>
      </c>
      <c r="F2188" s="3" t="s">
        <v>2952</v>
      </c>
      <c r="G2188" s="4" t="str">
        <f>HYPERLINK("https://diaocthongthai.com/xa-hop-tien-dong-hy/","Xã Hợp Tiến")</f>
        <v>Xã Hợp Tiến</v>
      </c>
    </row>
    <row r="2189" spans="1:7" x14ac:dyDescent="0.25">
      <c r="A2189" s="2">
        <v>2188</v>
      </c>
      <c r="B2189" s="3" t="s">
        <v>14</v>
      </c>
      <c r="C2189" s="4" t="str">
        <f t="shared" si="185"/>
        <v>Thái Nguyên</v>
      </c>
      <c r="D2189" s="3" t="s">
        <v>194</v>
      </c>
      <c r="E2189" s="4" t="str">
        <f t="shared" si="187"/>
        <v>Huyện Đồng Hỷ</v>
      </c>
      <c r="F2189" s="3" t="s">
        <v>2953</v>
      </c>
      <c r="G2189" s="4" t="str">
        <f>HYPERLINK("https://diaocthongthai.com/xa-tan-loi-dong-hy/","Xã Tân Lợi")</f>
        <v>Xã Tân Lợi</v>
      </c>
    </row>
    <row r="2190" spans="1:7" x14ac:dyDescent="0.25">
      <c r="A2190" s="2">
        <v>2189</v>
      </c>
      <c r="B2190" s="3" t="s">
        <v>14</v>
      </c>
      <c r="C2190" s="4" t="str">
        <f t="shared" si="185"/>
        <v>Thái Nguyên</v>
      </c>
      <c r="D2190" s="3" t="s">
        <v>194</v>
      </c>
      <c r="E2190" s="4" t="str">
        <f t="shared" si="187"/>
        <v>Huyện Đồng Hỷ</v>
      </c>
      <c r="F2190" s="3" t="s">
        <v>2954</v>
      </c>
      <c r="G2190" s="4" t="str">
        <f>HYPERLINK("https://diaocthongthai.com/xa-nam-hoa-dong-hy/","Xã Nam Hòa")</f>
        <v>Xã Nam Hòa</v>
      </c>
    </row>
    <row r="2191" spans="1:7" x14ac:dyDescent="0.25">
      <c r="A2191" s="2">
        <v>2190</v>
      </c>
      <c r="B2191" s="3" t="s">
        <v>14</v>
      </c>
      <c r="C2191" s="4" t="str">
        <f t="shared" si="185"/>
        <v>Thái Nguyên</v>
      </c>
      <c r="D2191" s="3" t="s">
        <v>195</v>
      </c>
      <c r="E2191" s="4" t="str">
        <f t="shared" ref="E2191:E2205" si="188">HYPERLINK("https://diaocthongthai.com/ban-do-huyen-vo-nhai-thai-nguyen/","Huyện Võ Nhai")</f>
        <v>Huyện Võ Nhai</v>
      </c>
      <c r="F2191" s="3" t="s">
        <v>2955</v>
      </c>
      <c r="G2191" s="4" t="str">
        <f>HYPERLINK("https://diaocthongthai.com/thi-tran-dinh-ca-vo-nhai/","Thị trấn Đình Cả")</f>
        <v>Thị trấn Đình Cả</v>
      </c>
    </row>
    <row r="2192" spans="1:7" x14ac:dyDescent="0.25">
      <c r="A2192" s="2">
        <v>2191</v>
      </c>
      <c r="B2192" s="3" t="s">
        <v>14</v>
      </c>
      <c r="C2192" s="4" t="str">
        <f t="shared" ref="C2192:C2223" si="189">HYPERLINK("https://diaocthongthai.com/ban-do-thai-nguyen/","Thái Nguyên")</f>
        <v>Thái Nguyên</v>
      </c>
      <c r="D2192" s="3" t="s">
        <v>195</v>
      </c>
      <c r="E2192" s="4" t="str">
        <f t="shared" si="188"/>
        <v>Huyện Võ Nhai</v>
      </c>
      <c r="F2192" s="3" t="s">
        <v>2956</v>
      </c>
      <c r="G2192" s="4" t="str">
        <f>HYPERLINK("https://diaocthongthai.com/xa-sang-moc-vo-nhai/","Xã Sảng Mộc")</f>
        <v>Xã Sảng Mộc</v>
      </c>
    </row>
    <row r="2193" spans="1:7" x14ac:dyDescent="0.25">
      <c r="A2193" s="2">
        <v>2192</v>
      </c>
      <c r="B2193" s="3" t="s">
        <v>14</v>
      </c>
      <c r="C2193" s="4" t="str">
        <f t="shared" si="189"/>
        <v>Thái Nguyên</v>
      </c>
      <c r="D2193" s="3" t="s">
        <v>195</v>
      </c>
      <c r="E2193" s="4" t="str">
        <f t="shared" si="188"/>
        <v>Huyện Võ Nhai</v>
      </c>
      <c r="F2193" s="3" t="s">
        <v>2957</v>
      </c>
      <c r="G2193" s="4" t="str">
        <f>HYPERLINK("https://diaocthongthai.com/xa-nghinh-tuong-vo-nhai/","Xã Nghinh Tường")</f>
        <v>Xã Nghinh Tường</v>
      </c>
    </row>
    <row r="2194" spans="1:7" x14ac:dyDescent="0.25">
      <c r="A2194" s="2">
        <v>2193</v>
      </c>
      <c r="B2194" s="3" t="s">
        <v>14</v>
      </c>
      <c r="C2194" s="4" t="str">
        <f t="shared" si="189"/>
        <v>Thái Nguyên</v>
      </c>
      <c r="D2194" s="3" t="s">
        <v>195</v>
      </c>
      <c r="E2194" s="4" t="str">
        <f t="shared" si="188"/>
        <v>Huyện Võ Nhai</v>
      </c>
      <c r="F2194" s="3" t="s">
        <v>2958</v>
      </c>
      <c r="G2194" s="4" t="str">
        <f>HYPERLINK("https://diaocthongthai.com/xa-than-sa-vo-nhai/","Xã Thần Xa")</f>
        <v>Xã Thần Xa</v>
      </c>
    </row>
    <row r="2195" spans="1:7" x14ac:dyDescent="0.25">
      <c r="A2195" s="2">
        <v>2194</v>
      </c>
      <c r="B2195" s="3" t="s">
        <v>14</v>
      </c>
      <c r="C2195" s="4" t="str">
        <f t="shared" si="189"/>
        <v>Thái Nguyên</v>
      </c>
      <c r="D2195" s="3" t="s">
        <v>195</v>
      </c>
      <c r="E2195" s="4" t="str">
        <f t="shared" si="188"/>
        <v>Huyện Võ Nhai</v>
      </c>
      <c r="F2195" s="3" t="s">
        <v>2959</v>
      </c>
      <c r="G2195" s="4" t="str">
        <f>HYPERLINK("https://diaocthongthai.com/xa-vu-chan-vo-nhai/","Xã Vũ Chấn")</f>
        <v>Xã Vũ Chấn</v>
      </c>
    </row>
    <row r="2196" spans="1:7" x14ac:dyDescent="0.25">
      <c r="A2196" s="2">
        <v>2195</v>
      </c>
      <c r="B2196" s="3" t="s">
        <v>14</v>
      </c>
      <c r="C2196" s="4" t="str">
        <f t="shared" si="189"/>
        <v>Thái Nguyên</v>
      </c>
      <c r="D2196" s="3" t="s">
        <v>195</v>
      </c>
      <c r="E2196" s="4" t="str">
        <f t="shared" si="188"/>
        <v>Huyện Võ Nhai</v>
      </c>
      <c r="F2196" s="3" t="s">
        <v>2960</v>
      </c>
      <c r="G2196" s="4" t="str">
        <f>HYPERLINK("https://diaocthongthai.com/xa-thuong-nung-vo-nhai/","Xã Thượng Nung")</f>
        <v>Xã Thượng Nung</v>
      </c>
    </row>
    <row r="2197" spans="1:7" x14ac:dyDescent="0.25">
      <c r="A2197" s="2">
        <v>2196</v>
      </c>
      <c r="B2197" s="3" t="s">
        <v>14</v>
      </c>
      <c r="C2197" s="4" t="str">
        <f t="shared" si="189"/>
        <v>Thái Nguyên</v>
      </c>
      <c r="D2197" s="3" t="s">
        <v>195</v>
      </c>
      <c r="E2197" s="4" t="str">
        <f t="shared" si="188"/>
        <v>Huyện Võ Nhai</v>
      </c>
      <c r="F2197" s="3" t="s">
        <v>2961</v>
      </c>
      <c r="G2197" s="4" t="str">
        <f>HYPERLINK("https://diaocthongthai.com/xa-phu-thuong-vo-nhai/","Xã Phú Thượng")</f>
        <v>Xã Phú Thượng</v>
      </c>
    </row>
    <row r="2198" spans="1:7" x14ac:dyDescent="0.25">
      <c r="A2198" s="2">
        <v>2197</v>
      </c>
      <c r="B2198" s="3" t="s">
        <v>14</v>
      </c>
      <c r="C2198" s="4" t="str">
        <f t="shared" si="189"/>
        <v>Thái Nguyên</v>
      </c>
      <c r="D2198" s="3" t="s">
        <v>195</v>
      </c>
      <c r="E2198" s="4" t="str">
        <f t="shared" si="188"/>
        <v>Huyện Võ Nhai</v>
      </c>
      <c r="F2198" s="3" t="s">
        <v>2962</v>
      </c>
      <c r="G2198" s="4" t="str">
        <f>HYPERLINK("https://diaocthongthai.com/xa-cuc-duong-vo-nhai/","Xã Cúc Đường")</f>
        <v>Xã Cúc Đường</v>
      </c>
    </row>
    <row r="2199" spans="1:7" x14ac:dyDescent="0.25">
      <c r="A2199" s="2">
        <v>2198</v>
      </c>
      <c r="B2199" s="3" t="s">
        <v>14</v>
      </c>
      <c r="C2199" s="4" t="str">
        <f t="shared" si="189"/>
        <v>Thái Nguyên</v>
      </c>
      <c r="D2199" s="3" t="s">
        <v>195</v>
      </c>
      <c r="E2199" s="4" t="str">
        <f t="shared" si="188"/>
        <v>Huyện Võ Nhai</v>
      </c>
      <c r="F2199" s="3" t="s">
        <v>2963</v>
      </c>
      <c r="G2199" s="4" t="str">
        <f>HYPERLINK("https://diaocthongthai.com/xa-la-hien-vo-nhai/","Xã La Hiên")</f>
        <v>Xã La Hiên</v>
      </c>
    </row>
    <row r="2200" spans="1:7" x14ac:dyDescent="0.25">
      <c r="A2200" s="2">
        <v>2199</v>
      </c>
      <c r="B2200" s="3" t="s">
        <v>14</v>
      </c>
      <c r="C2200" s="4" t="str">
        <f t="shared" si="189"/>
        <v>Thái Nguyên</v>
      </c>
      <c r="D2200" s="3" t="s">
        <v>195</v>
      </c>
      <c r="E2200" s="4" t="str">
        <f t="shared" si="188"/>
        <v>Huyện Võ Nhai</v>
      </c>
      <c r="F2200" s="3" t="s">
        <v>2964</v>
      </c>
      <c r="G2200" s="4" t="str">
        <f>HYPERLINK("https://diaocthongthai.com/xa-lau-thuong-vo-nhai/","Xã Lâu Thượng")</f>
        <v>Xã Lâu Thượng</v>
      </c>
    </row>
    <row r="2201" spans="1:7" x14ac:dyDescent="0.25">
      <c r="A2201" s="2">
        <v>2200</v>
      </c>
      <c r="B2201" s="3" t="s">
        <v>14</v>
      </c>
      <c r="C2201" s="4" t="str">
        <f t="shared" si="189"/>
        <v>Thái Nguyên</v>
      </c>
      <c r="D2201" s="3" t="s">
        <v>195</v>
      </c>
      <c r="E2201" s="4" t="str">
        <f t="shared" si="188"/>
        <v>Huyện Võ Nhai</v>
      </c>
      <c r="F2201" s="3" t="s">
        <v>2965</v>
      </c>
      <c r="G2201" s="4" t="str">
        <f>HYPERLINK("https://diaocthongthai.com/xa-trang-xa-vo-nhai/","Xã Tràng Xá")</f>
        <v>Xã Tràng Xá</v>
      </c>
    </row>
    <row r="2202" spans="1:7" x14ac:dyDescent="0.25">
      <c r="A2202" s="2">
        <v>2201</v>
      </c>
      <c r="B2202" s="3" t="s">
        <v>14</v>
      </c>
      <c r="C2202" s="4" t="str">
        <f t="shared" si="189"/>
        <v>Thái Nguyên</v>
      </c>
      <c r="D2202" s="3" t="s">
        <v>195</v>
      </c>
      <c r="E2202" s="4" t="str">
        <f t="shared" si="188"/>
        <v>Huyện Võ Nhai</v>
      </c>
      <c r="F2202" s="3" t="s">
        <v>2966</v>
      </c>
      <c r="G2202" s="4" t="str">
        <f>HYPERLINK("https://diaocthongthai.com/xa-phuong-giao-vo-nhai/","Xã Phương Giao")</f>
        <v>Xã Phương Giao</v>
      </c>
    </row>
    <row r="2203" spans="1:7" x14ac:dyDescent="0.25">
      <c r="A2203" s="2">
        <v>2202</v>
      </c>
      <c r="B2203" s="3" t="s">
        <v>14</v>
      </c>
      <c r="C2203" s="4" t="str">
        <f t="shared" si="189"/>
        <v>Thái Nguyên</v>
      </c>
      <c r="D2203" s="3" t="s">
        <v>195</v>
      </c>
      <c r="E2203" s="4" t="str">
        <f t="shared" si="188"/>
        <v>Huyện Võ Nhai</v>
      </c>
      <c r="F2203" s="3" t="s">
        <v>2967</v>
      </c>
      <c r="G2203" s="4" t="str">
        <f>HYPERLINK("https://diaocthongthai.com/xa-lien-minh-vo-nhai/","Xã Liên Minh")</f>
        <v>Xã Liên Minh</v>
      </c>
    </row>
    <row r="2204" spans="1:7" x14ac:dyDescent="0.25">
      <c r="A2204" s="2">
        <v>2203</v>
      </c>
      <c r="B2204" s="3" t="s">
        <v>14</v>
      </c>
      <c r="C2204" s="4" t="str">
        <f t="shared" si="189"/>
        <v>Thái Nguyên</v>
      </c>
      <c r="D2204" s="3" t="s">
        <v>195</v>
      </c>
      <c r="E2204" s="4" t="str">
        <f t="shared" si="188"/>
        <v>Huyện Võ Nhai</v>
      </c>
      <c r="F2204" s="3" t="s">
        <v>2968</v>
      </c>
      <c r="G2204" s="4" t="str">
        <f>HYPERLINK("https://diaocthongthai.com/xa-dan-tien-vo-nhai/","Xã Dân Tiến")</f>
        <v>Xã Dân Tiến</v>
      </c>
    </row>
    <row r="2205" spans="1:7" x14ac:dyDescent="0.25">
      <c r="A2205" s="2">
        <v>2204</v>
      </c>
      <c r="B2205" s="3" t="s">
        <v>14</v>
      </c>
      <c r="C2205" s="4" t="str">
        <f t="shared" si="189"/>
        <v>Thái Nguyên</v>
      </c>
      <c r="D2205" s="3" t="s">
        <v>195</v>
      </c>
      <c r="E2205" s="4" t="str">
        <f t="shared" si="188"/>
        <v>Huyện Võ Nhai</v>
      </c>
      <c r="F2205" s="3" t="s">
        <v>2969</v>
      </c>
      <c r="G2205" s="4" t="str">
        <f>HYPERLINK("https://diaocthongthai.com/xa-binh-long-vo-nhai/","Xã Bình Long")</f>
        <v>Xã Bình Long</v>
      </c>
    </row>
    <row r="2206" spans="1:7" x14ac:dyDescent="0.25">
      <c r="A2206" s="2">
        <v>2205</v>
      </c>
      <c r="B2206" s="3" t="s">
        <v>14</v>
      </c>
      <c r="C2206" s="4" t="str">
        <f t="shared" si="189"/>
        <v>Thái Nguyên</v>
      </c>
      <c r="D2206" s="3" t="s">
        <v>196</v>
      </c>
      <c r="E2206" s="4" t="str">
        <f t="shared" ref="E2206:E2235" si="190">HYPERLINK("https://diaocthongthai.com/ban-do-huyen-dai-tu-thai-nguyen/","Huyện Đại Từ")</f>
        <v>Huyện Đại Từ</v>
      </c>
      <c r="F2206" s="3" t="s">
        <v>2970</v>
      </c>
      <c r="G2206" s="4" t="str">
        <f>HYPERLINK("https://diaocthongthai.com/thi-tran-hung-son-dai-tu/","Thị trấn Hùng Sơn")</f>
        <v>Thị trấn Hùng Sơn</v>
      </c>
    </row>
    <row r="2207" spans="1:7" x14ac:dyDescent="0.25">
      <c r="A2207" s="2">
        <v>2206</v>
      </c>
      <c r="B2207" s="3" t="s">
        <v>14</v>
      </c>
      <c r="C2207" s="4" t="str">
        <f t="shared" si="189"/>
        <v>Thái Nguyên</v>
      </c>
      <c r="D2207" s="3" t="s">
        <v>196</v>
      </c>
      <c r="E2207" s="4" t="str">
        <f t="shared" si="190"/>
        <v>Huyện Đại Từ</v>
      </c>
      <c r="F2207" s="3" t="s">
        <v>2971</v>
      </c>
      <c r="G2207" s="4" t="str">
        <f>HYPERLINK("https://diaocthongthai.com/thi-tran-quan-chu-dai-tu/","Thị trấn Quân Chu")</f>
        <v>Thị trấn Quân Chu</v>
      </c>
    </row>
    <row r="2208" spans="1:7" x14ac:dyDescent="0.25">
      <c r="A2208" s="2">
        <v>2207</v>
      </c>
      <c r="B2208" s="3" t="s">
        <v>14</v>
      </c>
      <c r="C2208" s="4" t="str">
        <f t="shared" si="189"/>
        <v>Thái Nguyên</v>
      </c>
      <c r="D2208" s="3" t="s">
        <v>196</v>
      </c>
      <c r="E2208" s="4" t="str">
        <f t="shared" si="190"/>
        <v>Huyện Đại Từ</v>
      </c>
      <c r="F2208" s="3" t="s">
        <v>2972</v>
      </c>
      <c r="G2208" s="4" t="str">
        <f>HYPERLINK("https://diaocthongthai.com/xa-phuc-luong-dai-tu/","Xã Phúc Lương")</f>
        <v>Xã Phúc Lương</v>
      </c>
    </row>
    <row r="2209" spans="1:7" x14ac:dyDescent="0.25">
      <c r="A2209" s="2">
        <v>2208</v>
      </c>
      <c r="B2209" s="3" t="s">
        <v>14</v>
      </c>
      <c r="C2209" s="4" t="str">
        <f t="shared" si="189"/>
        <v>Thái Nguyên</v>
      </c>
      <c r="D2209" s="3" t="s">
        <v>196</v>
      </c>
      <c r="E2209" s="4" t="str">
        <f t="shared" si="190"/>
        <v>Huyện Đại Từ</v>
      </c>
      <c r="F2209" s="3" t="s">
        <v>2973</v>
      </c>
      <c r="G2209" s="4" t="str">
        <f>HYPERLINK("https://diaocthongthai.com/xa-minh-tien-dai-tu/","Xã Minh Tiến")</f>
        <v>Xã Minh Tiến</v>
      </c>
    </row>
    <row r="2210" spans="1:7" x14ac:dyDescent="0.25">
      <c r="A2210" s="2">
        <v>2209</v>
      </c>
      <c r="B2210" s="3" t="s">
        <v>14</v>
      </c>
      <c r="C2210" s="4" t="str">
        <f t="shared" si="189"/>
        <v>Thái Nguyên</v>
      </c>
      <c r="D2210" s="3" t="s">
        <v>196</v>
      </c>
      <c r="E2210" s="4" t="str">
        <f t="shared" si="190"/>
        <v>Huyện Đại Từ</v>
      </c>
      <c r="F2210" s="3" t="s">
        <v>2974</v>
      </c>
      <c r="G2210" s="4" t="str">
        <f>HYPERLINK("https://diaocthongthai.com/xa-yen-lang-dai-tu/","Xã Yên Lãng")</f>
        <v>Xã Yên Lãng</v>
      </c>
    </row>
    <row r="2211" spans="1:7" x14ac:dyDescent="0.25">
      <c r="A2211" s="2">
        <v>2210</v>
      </c>
      <c r="B2211" s="3" t="s">
        <v>14</v>
      </c>
      <c r="C2211" s="4" t="str">
        <f t="shared" si="189"/>
        <v>Thái Nguyên</v>
      </c>
      <c r="D2211" s="3" t="s">
        <v>196</v>
      </c>
      <c r="E2211" s="4" t="str">
        <f t="shared" si="190"/>
        <v>Huyện Đại Từ</v>
      </c>
      <c r="F2211" s="3" t="s">
        <v>2975</v>
      </c>
      <c r="G2211" s="4" t="str">
        <f>HYPERLINK("https://diaocthongthai.com/xa-duc-luong-dai-tu/","Xã Đức Lương")</f>
        <v>Xã Đức Lương</v>
      </c>
    </row>
    <row r="2212" spans="1:7" x14ac:dyDescent="0.25">
      <c r="A2212" s="2">
        <v>2211</v>
      </c>
      <c r="B2212" s="3" t="s">
        <v>14</v>
      </c>
      <c r="C2212" s="4" t="str">
        <f t="shared" si="189"/>
        <v>Thái Nguyên</v>
      </c>
      <c r="D2212" s="3" t="s">
        <v>196</v>
      </c>
      <c r="E2212" s="4" t="str">
        <f t="shared" si="190"/>
        <v>Huyện Đại Từ</v>
      </c>
      <c r="F2212" s="3" t="s">
        <v>2976</v>
      </c>
      <c r="G2212" s="4" t="str">
        <f>HYPERLINK("https://diaocthongthai.com/xa-phu-cuong-dai-tu/","Xã Phú Cường")</f>
        <v>Xã Phú Cường</v>
      </c>
    </row>
    <row r="2213" spans="1:7" x14ac:dyDescent="0.25">
      <c r="A2213" s="2">
        <v>2212</v>
      </c>
      <c r="B2213" s="3" t="s">
        <v>14</v>
      </c>
      <c r="C2213" s="4" t="str">
        <f t="shared" si="189"/>
        <v>Thái Nguyên</v>
      </c>
      <c r="D2213" s="3" t="s">
        <v>196</v>
      </c>
      <c r="E2213" s="4" t="str">
        <f t="shared" si="190"/>
        <v>Huyện Đại Từ</v>
      </c>
      <c r="F2213" s="3" t="s">
        <v>2977</v>
      </c>
      <c r="G2213" s="4" t="str">
        <f>HYPERLINK("https://diaocthongthai.com/xa-na-mao-dai-tu/","Xã Na Mao")</f>
        <v>Xã Na Mao</v>
      </c>
    </row>
    <row r="2214" spans="1:7" x14ac:dyDescent="0.25">
      <c r="A2214" s="2">
        <v>2213</v>
      </c>
      <c r="B2214" s="3" t="s">
        <v>14</v>
      </c>
      <c r="C2214" s="4" t="str">
        <f t="shared" si="189"/>
        <v>Thái Nguyên</v>
      </c>
      <c r="D2214" s="3" t="s">
        <v>196</v>
      </c>
      <c r="E2214" s="4" t="str">
        <f t="shared" si="190"/>
        <v>Huyện Đại Từ</v>
      </c>
      <c r="F2214" s="3" t="s">
        <v>2978</v>
      </c>
      <c r="G2214" s="4" t="str">
        <f>HYPERLINK("https://diaocthongthai.com/xa-phu-lac-dai-tu/","Xã Phú Lạc")</f>
        <v>Xã Phú Lạc</v>
      </c>
    </row>
    <row r="2215" spans="1:7" x14ac:dyDescent="0.25">
      <c r="A2215" s="2">
        <v>2214</v>
      </c>
      <c r="B2215" s="3" t="s">
        <v>14</v>
      </c>
      <c r="C2215" s="4" t="str">
        <f t="shared" si="189"/>
        <v>Thái Nguyên</v>
      </c>
      <c r="D2215" s="3" t="s">
        <v>196</v>
      </c>
      <c r="E2215" s="4" t="str">
        <f t="shared" si="190"/>
        <v>Huyện Đại Từ</v>
      </c>
      <c r="F2215" s="3" t="s">
        <v>2979</v>
      </c>
      <c r="G2215" s="4" t="str">
        <f>HYPERLINK("https://diaocthongthai.com/xa-tan-linh-dai-tu/","Xã Tân Linh")</f>
        <v>Xã Tân Linh</v>
      </c>
    </row>
    <row r="2216" spans="1:7" x14ac:dyDescent="0.25">
      <c r="A2216" s="2">
        <v>2215</v>
      </c>
      <c r="B2216" s="3" t="s">
        <v>14</v>
      </c>
      <c r="C2216" s="4" t="str">
        <f t="shared" si="189"/>
        <v>Thái Nguyên</v>
      </c>
      <c r="D2216" s="3" t="s">
        <v>196</v>
      </c>
      <c r="E2216" s="4" t="str">
        <f t="shared" si="190"/>
        <v>Huyện Đại Từ</v>
      </c>
      <c r="F2216" s="3" t="s">
        <v>2980</v>
      </c>
      <c r="G2216" s="4" t="str">
        <f>HYPERLINK("https://diaocthongthai.com/xa-phu-thinh-dai-tu/","Xã Phú Thịnh")</f>
        <v>Xã Phú Thịnh</v>
      </c>
    </row>
    <row r="2217" spans="1:7" x14ac:dyDescent="0.25">
      <c r="A2217" s="2">
        <v>2216</v>
      </c>
      <c r="B2217" s="3" t="s">
        <v>14</v>
      </c>
      <c r="C2217" s="4" t="str">
        <f t="shared" si="189"/>
        <v>Thái Nguyên</v>
      </c>
      <c r="D2217" s="3" t="s">
        <v>196</v>
      </c>
      <c r="E2217" s="4" t="str">
        <f t="shared" si="190"/>
        <v>Huyện Đại Từ</v>
      </c>
      <c r="F2217" s="3" t="s">
        <v>2981</v>
      </c>
      <c r="G2217" s="4" t="str">
        <f>HYPERLINK("https://diaocthongthai.com/xa-phuc-linh-dai-tu/","Xã Phục Linh")</f>
        <v>Xã Phục Linh</v>
      </c>
    </row>
    <row r="2218" spans="1:7" x14ac:dyDescent="0.25">
      <c r="A2218" s="2">
        <v>2217</v>
      </c>
      <c r="B2218" s="3" t="s">
        <v>14</v>
      </c>
      <c r="C2218" s="4" t="str">
        <f t="shared" si="189"/>
        <v>Thái Nguyên</v>
      </c>
      <c r="D2218" s="3" t="s">
        <v>196</v>
      </c>
      <c r="E2218" s="4" t="str">
        <f t="shared" si="190"/>
        <v>Huyện Đại Từ</v>
      </c>
      <c r="F2218" s="3" t="s">
        <v>2982</v>
      </c>
      <c r="G2218" s="4" t="str">
        <f>HYPERLINK("https://diaocthongthai.com/xa-phu-xuyen-dai-tu/","Xã Phú Xuyên")</f>
        <v>Xã Phú Xuyên</v>
      </c>
    </row>
    <row r="2219" spans="1:7" x14ac:dyDescent="0.25">
      <c r="A2219" s="2">
        <v>2218</v>
      </c>
      <c r="B2219" s="3" t="s">
        <v>14</v>
      </c>
      <c r="C2219" s="4" t="str">
        <f t="shared" si="189"/>
        <v>Thái Nguyên</v>
      </c>
      <c r="D2219" s="3" t="s">
        <v>196</v>
      </c>
      <c r="E2219" s="4" t="str">
        <f t="shared" si="190"/>
        <v>Huyện Đại Từ</v>
      </c>
      <c r="F2219" s="3" t="s">
        <v>2983</v>
      </c>
      <c r="G2219" s="4" t="str">
        <f>HYPERLINK("https://diaocthongthai.com/xa-ban-ngoai-dai-tu/","Xã Bản Ngoại")</f>
        <v>Xã Bản Ngoại</v>
      </c>
    </row>
    <row r="2220" spans="1:7" x14ac:dyDescent="0.25">
      <c r="A2220" s="2">
        <v>2219</v>
      </c>
      <c r="B2220" s="3" t="s">
        <v>14</v>
      </c>
      <c r="C2220" s="4" t="str">
        <f t="shared" si="189"/>
        <v>Thái Nguyên</v>
      </c>
      <c r="D2220" s="3" t="s">
        <v>196</v>
      </c>
      <c r="E2220" s="4" t="str">
        <f t="shared" si="190"/>
        <v>Huyện Đại Từ</v>
      </c>
      <c r="F2220" s="3" t="s">
        <v>2984</v>
      </c>
      <c r="G2220" s="4" t="str">
        <f>HYPERLINK("https://diaocthongthai.com/xa-tien-hoi-dai-tu/","Xã Tiên Hội")</f>
        <v>Xã Tiên Hội</v>
      </c>
    </row>
    <row r="2221" spans="1:7" x14ac:dyDescent="0.25">
      <c r="A2221" s="2">
        <v>2220</v>
      </c>
      <c r="B2221" s="3" t="s">
        <v>14</v>
      </c>
      <c r="C2221" s="4" t="str">
        <f t="shared" si="189"/>
        <v>Thái Nguyên</v>
      </c>
      <c r="D2221" s="3" t="s">
        <v>196</v>
      </c>
      <c r="E2221" s="4" t="str">
        <f t="shared" si="190"/>
        <v>Huyện Đại Từ</v>
      </c>
      <c r="F2221" s="3" t="s">
        <v>2985</v>
      </c>
      <c r="G2221" s="4" t="str">
        <f>HYPERLINK("https://diaocthongthai.com/xa-cu-van-dai-tu/","Xã Cù Vân")</f>
        <v>Xã Cù Vân</v>
      </c>
    </row>
    <row r="2222" spans="1:7" x14ac:dyDescent="0.25">
      <c r="A2222" s="2">
        <v>2221</v>
      </c>
      <c r="B2222" s="3" t="s">
        <v>14</v>
      </c>
      <c r="C2222" s="4" t="str">
        <f t="shared" si="189"/>
        <v>Thái Nguyên</v>
      </c>
      <c r="D2222" s="3" t="s">
        <v>196</v>
      </c>
      <c r="E2222" s="4" t="str">
        <f t="shared" si="190"/>
        <v>Huyện Đại Từ</v>
      </c>
      <c r="F2222" s="3" t="s">
        <v>2986</v>
      </c>
      <c r="G2222" s="4" t="str">
        <f>HYPERLINK("https://diaocthongthai.com/xa-ha-thuong-dai-tu/","Xã Hà Thượng")</f>
        <v>Xã Hà Thượng</v>
      </c>
    </row>
    <row r="2223" spans="1:7" x14ac:dyDescent="0.25">
      <c r="A2223" s="2">
        <v>2222</v>
      </c>
      <c r="B2223" s="3" t="s">
        <v>14</v>
      </c>
      <c r="C2223" s="4" t="str">
        <f t="shared" si="189"/>
        <v>Thái Nguyên</v>
      </c>
      <c r="D2223" s="3" t="s">
        <v>196</v>
      </c>
      <c r="E2223" s="4" t="str">
        <f t="shared" si="190"/>
        <v>Huyện Đại Từ</v>
      </c>
      <c r="F2223" s="3" t="s">
        <v>2987</v>
      </c>
      <c r="G2223" s="4" t="str">
        <f>HYPERLINK("https://diaocthongthai.com/xa-la-bang-dai-tu/","Xã La Bằng")</f>
        <v>Xã La Bằng</v>
      </c>
    </row>
    <row r="2224" spans="1:7" x14ac:dyDescent="0.25">
      <c r="A2224" s="2">
        <v>2223</v>
      </c>
      <c r="B2224" s="3" t="s">
        <v>14</v>
      </c>
      <c r="C2224" s="4" t="str">
        <f t="shared" ref="C2224:C2255" si="191">HYPERLINK("https://diaocthongthai.com/ban-do-thai-nguyen/","Thái Nguyên")</f>
        <v>Thái Nguyên</v>
      </c>
      <c r="D2224" s="3" t="s">
        <v>196</v>
      </c>
      <c r="E2224" s="4" t="str">
        <f t="shared" si="190"/>
        <v>Huyện Đại Từ</v>
      </c>
      <c r="F2224" s="3" t="s">
        <v>2988</v>
      </c>
      <c r="G2224" s="4" t="str">
        <f>HYPERLINK("https://diaocthongthai.com/xa-hoang-nong-dai-tu/","Xã Hoàng Nông")</f>
        <v>Xã Hoàng Nông</v>
      </c>
    </row>
    <row r="2225" spans="1:7" x14ac:dyDescent="0.25">
      <c r="A2225" s="2">
        <v>2224</v>
      </c>
      <c r="B2225" s="3" t="s">
        <v>14</v>
      </c>
      <c r="C2225" s="4" t="str">
        <f t="shared" si="191"/>
        <v>Thái Nguyên</v>
      </c>
      <c r="D2225" s="3" t="s">
        <v>196</v>
      </c>
      <c r="E2225" s="4" t="str">
        <f t="shared" si="190"/>
        <v>Huyện Đại Từ</v>
      </c>
      <c r="F2225" s="3" t="s">
        <v>2989</v>
      </c>
      <c r="G2225" s="4" t="str">
        <f>HYPERLINK("https://diaocthongthai.com/xa-khoi-ky-dai-tu/","Xã Khôi Kỳ")</f>
        <v>Xã Khôi Kỳ</v>
      </c>
    </row>
    <row r="2226" spans="1:7" x14ac:dyDescent="0.25">
      <c r="A2226" s="2">
        <v>2225</v>
      </c>
      <c r="B2226" s="3" t="s">
        <v>14</v>
      </c>
      <c r="C2226" s="4" t="str">
        <f t="shared" si="191"/>
        <v>Thái Nguyên</v>
      </c>
      <c r="D2226" s="3" t="s">
        <v>196</v>
      </c>
      <c r="E2226" s="4" t="str">
        <f t="shared" si="190"/>
        <v>Huyện Đại Từ</v>
      </c>
      <c r="F2226" s="3" t="s">
        <v>2990</v>
      </c>
      <c r="G2226" s="4" t="str">
        <f>HYPERLINK("https://diaocthongthai.com/xa-an-khanh-dai-tu/","Xã An Khánh")</f>
        <v>Xã An Khánh</v>
      </c>
    </row>
    <row r="2227" spans="1:7" x14ac:dyDescent="0.25">
      <c r="A2227" s="2">
        <v>2226</v>
      </c>
      <c r="B2227" s="3" t="s">
        <v>14</v>
      </c>
      <c r="C2227" s="4" t="str">
        <f t="shared" si="191"/>
        <v>Thái Nguyên</v>
      </c>
      <c r="D2227" s="3" t="s">
        <v>196</v>
      </c>
      <c r="E2227" s="4" t="str">
        <f t="shared" si="190"/>
        <v>Huyện Đại Từ</v>
      </c>
      <c r="F2227" s="3" t="s">
        <v>2991</v>
      </c>
      <c r="G2227" s="4" t="str">
        <f>HYPERLINK("https://diaocthongthai.com/xa-tan-thai-dai-tu/","Xã Tân Thái")</f>
        <v>Xã Tân Thái</v>
      </c>
    </row>
    <row r="2228" spans="1:7" x14ac:dyDescent="0.25">
      <c r="A2228" s="2">
        <v>2227</v>
      </c>
      <c r="B2228" s="3" t="s">
        <v>14</v>
      </c>
      <c r="C2228" s="4" t="str">
        <f t="shared" si="191"/>
        <v>Thái Nguyên</v>
      </c>
      <c r="D2228" s="3" t="s">
        <v>196</v>
      </c>
      <c r="E2228" s="4" t="str">
        <f t="shared" si="190"/>
        <v>Huyện Đại Từ</v>
      </c>
      <c r="F2228" s="3" t="s">
        <v>2992</v>
      </c>
      <c r="G2228" s="4" t="str">
        <f>HYPERLINK("https://diaocthongthai.com/xa-binh-thuan-dai-tu/","Xã Bình Thuận")</f>
        <v>Xã Bình Thuận</v>
      </c>
    </row>
    <row r="2229" spans="1:7" x14ac:dyDescent="0.25">
      <c r="A2229" s="2">
        <v>2228</v>
      </c>
      <c r="B2229" s="3" t="s">
        <v>14</v>
      </c>
      <c r="C2229" s="4" t="str">
        <f t="shared" si="191"/>
        <v>Thái Nguyên</v>
      </c>
      <c r="D2229" s="3" t="s">
        <v>196</v>
      </c>
      <c r="E2229" s="4" t="str">
        <f t="shared" si="190"/>
        <v>Huyện Đại Từ</v>
      </c>
      <c r="F2229" s="3" t="s">
        <v>2993</v>
      </c>
      <c r="G2229" s="4" t="str">
        <f>HYPERLINK("https://diaocthongthai.com/xa-luc-ba-dai-tu/","Xã Lục Ba")</f>
        <v>Xã Lục Ba</v>
      </c>
    </row>
    <row r="2230" spans="1:7" x14ac:dyDescent="0.25">
      <c r="A2230" s="2">
        <v>2229</v>
      </c>
      <c r="B2230" s="3" t="s">
        <v>14</v>
      </c>
      <c r="C2230" s="4" t="str">
        <f t="shared" si="191"/>
        <v>Thái Nguyên</v>
      </c>
      <c r="D2230" s="3" t="s">
        <v>196</v>
      </c>
      <c r="E2230" s="4" t="str">
        <f t="shared" si="190"/>
        <v>Huyện Đại Từ</v>
      </c>
      <c r="F2230" s="3" t="s">
        <v>2994</v>
      </c>
      <c r="G2230" s="4" t="str">
        <f>HYPERLINK("https://diaocthongthai.com/xa-my-yen-dai-tu/","Xã Mỹ Yên")</f>
        <v>Xã Mỹ Yên</v>
      </c>
    </row>
    <row r="2231" spans="1:7" x14ac:dyDescent="0.25">
      <c r="A2231" s="2">
        <v>2230</v>
      </c>
      <c r="B2231" s="3" t="s">
        <v>14</v>
      </c>
      <c r="C2231" s="4" t="str">
        <f t="shared" si="191"/>
        <v>Thái Nguyên</v>
      </c>
      <c r="D2231" s="3" t="s">
        <v>196</v>
      </c>
      <c r="E2231" s="4" t="str">
        <f t="shared" si="190"/>
        <v>Huyện Đại Từ</v>
      </c>
      <c r="F2231" s="3" t="s">
        <v>2995</v>
      </c>
      <c r="G2231" s="4" t="str">
        <f>HYPERLINK("https://diaocthongthai.com/xa-van-tho-dai-tu/","Xã Vạn Thọ")</f>
        <v>Xã Vạn Thọ</v>
      </c>
    </row>
    <row r="2232" spans="1:7" x14ac:dyDescent="0.25">
      <c r="A2232" s="2">
        <v>2231</v>
      </c>
      <c r="B2232" s="3" t="s">
        <v>14</v>
      </c>
      <c r="C2232" s="4" t="str">
        <f t="shared" si="191"/>
        <v>Thái Nguyên</v>
      </c>
      <c r="D2232" s="3" t="s">
        <v>196</v>
      </c>
      <c r="E2232" s="4" t="str">
        <f t="shared" si="190"/>
        <v>Huyện Đại Từ</v>
      </c>
      <c r="F2232" s="3" t="s">
        <v>2996</v>
      </c>
      <c r="G2232" s="4" t="str">
        <f>HYPERLINK("https://diaocthongthai.com/xa-van-yen-dai-tu/","Xã Văn Yên")</f>
        <v>Xã Văn Yên</v>
      </c>
    </row>
    <row r="2233" spans="1:7" x14ac:dyDescent="0.25">
      <c r="A2233" s="2">
        <v>2232</v>
      </c>
      <c r="B2233" s="3" t="s">
        <v>14</v>
      </c>
      <c r="C2233" s="4" t="str">
        <f t="shared" si="191"/>
        <v>Thái Nguyên</v>
      </c>
      <c r="D2233" s="3" t="s">
        <v>196</v>
      </c>
      <c r="E2233" s="4" t="str">
        <f t="shared" si="190"/>
        <v>Huyện Đại Từ</v>
      </c>
      <c r="F2233" s="3" t="s">
        <v>2997</v>
      </c>
      <c r="G2233" s="4" t="str">
        <f>HYPERLINK("https://diaocthongthai.com/xa-ky-phu-dai-tu/","Xã Ký Phú")</f>
        <v>Xã Ký Phú</v>
      </c>
    </row>
    <row r="2234" spans="1:7" x14ac:dyDescent="0.25">
      <c r="A2234" s="2">
        <v>2233</v>
      </c>
      <c r="B2234" s="3" t="s">
        <v>14</v>
      </c>
      <c r="C2234" s="4" t="str">
        <f t="shared" si="191"/>
        <v>Thái Nguyên</v>
      </c>
      <c r="D2234" s="3" t="s">
        <v>196</v>
      </c>
      <c r="E2234" s="4" t="str">
        <f t="shared" si="190"/>
        <v>Huyện Đại Từ</v>
      </c>
      <c r="F2234" s="3" t="s">
        <v>2998</v>
      </c>
      <c r="G2234" s="4" t="str">
        <f>HYPERLINK("https://diaocthongthai.com/xa-cat-ne-dai-tu/","Xã Cát Nê")</f>
        <v>Xã Cát Nê</v>
      </c>
    </row>
    <row r="2235" spans="1:7" x14ac:dyDescent="0.25">
      <c r="A2235" s="2">
        <v>2234</v>
      </c>
      <c r="B2235" s="3" t="s">
        <v>14</v>
      </c>
      <c r="C2235" s="4" t="str">
        <f t="shared" si="191"/>
        <v>Thái Nguyên</v>
      </c>
      <c r="D2235" s="3" t="s">
        <v>196</v>
      </c>
      <c r="E2235" s="4" t="str">
        <f t="shared" si="190"/>
        <v>Huyện Đại Từ</v>
      </c>
      <c r="F2235" s="3" t="s">
        <v>2999</v>
      </c>
      <c r="G2235" s="4" t="str">
        <f>HYPERLINK("https://diaocthongthai.com/xa-quan-chu-dai-tu/","Xã Quân Chu")</f>
        <v>Xã Quân Chu</v>
      </c>
    </row>
    <row r="2236" spans="1:7" x14ac:dyDescent="0.25">
      <c r="A2236" s="2">
        <v>2235</v>
      </c>
      <c r="B2236" s="3" t="s">
        <v>14</v>
      </c>
      <c r="C2236" s="4" t="str">
        <f t="shared" si="191"/>
        <v>Thái Nguyên</v>
      </c>
      <c r="D2236" s="3" t="s">
        <v>197</v>
      </c>
      <c r="E2236" s="4" t="str">
        <f t="shared" ref="E2236:E2253" si="192">HYPERLINK("https://diaocthongthai.com/ban-do-thi-xa-pho-yen-thai-nguyen/","Thành phố Phổ Yên")</f>
        <v>Thành phố Phổ Yên</v>
      </c>
      <c r="F2236" s="3" t="s">
        <v>3000</v>
      </c>
      <c r="G2236" s="4" t="str">
        <f>HYPERLINK("https://diaocthongthai.com/phuong-bai-bong-pho-yen/","Phường Bãi Bông")</f>
        <v>Phường Bãi Bông</v>
      </c>
    </row>
    <row r="2237" spans="1:7" x14ac:dyDescent="0.25">
      <c r="A2237" s="2">
        <v>2236</v>
      </c>
      <c r="B2237" s="3" t="s">
        <v>14</v>
      </c>
      <c r="C2237" s="4" t="str">
        <f t="shared" si="191"/>
        <v>Thái Nguyên</v>
      </c>
      <c r="D2237" s="3" t="s">
        <v>197</v>
      </c>
      <c r="E2237" s="4" t="str">
        <f t="shared" si="192"/>
        <v>Thành phố Phổ Yên</v>
      </c>
      <c r="F2237" s="3" t="s">
        <v>3001</v>
      </c>
      <c r="G2237" s="4" t="str">
        <f>HYPERLINK("https://diaocthongthai.com/phuong-bac-son-pho-yen/","Phường Bắc Sơn")</f>
        <v>Phường Bắc Sơn</v>
      </c>
    </row>
    <row r="2238" spans="1:7" x14ac:dyDescent="0.25">
      <c r="A2238" s="2">
        <v>2237</v>
      </c>
      <c r="B2238" s="3" t="s">
        <v>14</v>
      </c>
      <c r="C2238" s="4" t="str">
        <f t="shared" si="191"/>
        <v>Thái Nguyên</v>
      </c>
      <c r="D2238" s="3" t="s">
        <v>197</v>
      </c>
      <c r="E2238" s="4" t="str">
        <f t="shared" si="192"/>
        <v>Thành phố Phổ Yên</v>
      </c>
      <c r="F2238" s="3" t="s">
        <v>3002</v>
      </c>
      <c r="G2238" s="4" t="str">
        <f>HYPERLINK("https://diaocthongthai.com/phuong-ba-hang-pho-yen/","Phường Ba Hàng")</f>
        <v>Phường Ba Hàng</v>
      </c>
    </row>
    <row r="2239" spans="1:7" x14ac:dyDescent="0.25">
      <c r="A2239" s="2">
        <v>2238</v>
      </c>
      <c r="B2239" s="3" t="s">
        <v>14</v>
      </c>
      <c r="C2239" s="4" t="str">
        <f t="shared" si="191"/>
        <v>Thái Nguyên</v>
      </c>
      <c r="D2239" s="3" t="s">
        <v>197</v>
      </c>
      <c r="E2239" s="4" t="str">
        <f t="shared" si="192"/>
        <v>Thành phố Phổ Yên</v>
      </c>
      <c r="F2239" s="3" t="s">
        <v>3003</v>
      </c>
      <c r="G2239" s="4" t="str">
        <f>HYPERLINK("https://diaocthongthai.com/xa-phuc-tan-pho-yen/","Xã Phúc Tân")</f>
        <v>Xã Phúc Tân</v>
      </c>
    </row>
    <row r="2240" spans="1:7" x14ac:dyDescent="0.25">
      <c r="A2240" s="2">
        <v>2239</v>
      </c>
      <c r="B2240" s="3" t="s">
        <v>14</v>
      </c>
      <c r="C2240" s="4" t="str">
        <f t="shared" si="191"/>
        <v>Thái Nguyên</v>
      </c>
      <c r="D2240" s="3" t="s">
        <v>197</v>
      </c>
      <c r="E2240" s="4" t="str">
        <f t="shared" si="192"/>
        <v>Thành phố Phổ Yên</v>
      </c>
      <c r="F2240" s="3" t="s">
        <v>3004</v>
      </c>
      <c r="G2240" s="4" t="str">
        <f>HYPERLINK("https://diaocthongthai.com/xa-phuc-thuan-pho-yen/","Xã Phúc Thuận")</f>
        <v>Xã Phúc Thuận</v>
      </c>
    </row>
    <row r="2241" spans="1:7" x14ac:dyDescent="0.25">
      <c r="A2241" s="2">
        <v>2240</v>
      </c>
      <c r="B2241" s="3" t="s">
        <v>14</v>
      </c>
      <c r="C2241" s="4" t="str">
        <f t="shared" si="191"/>
        <v>Thái Nguyên</v>
      </c>
      <c r="D2241" s="3" t="s">
        <v>197</v>
      </c>
      <c r="E2241" s="4" t="str">
        <f t="shared" si="192"/>
        <v>Thành phố Phổ Yên</v>
      </c>
      <c r="F2241" s="3" t="s">
        <v>3005</v>
      </c>
      <c r="G2241" s="4" t="str">
        <f>HYPERLINK("https://diaocthongthai.com/xa-hong-tien-pho-yen/","Phường Hồng Tiến")</f>
        <v>Phường Hồng Tiến</v>
      </c>
    </row>
    <row r="2242" spans="1:7" x14ac:dyDescent="0.25">
      <c r="A2242" s="2">
        <v>2241</v>
      </c>
      <c r="B2242" s="3" t="s">
        <v>14</v>
      </c>
      <c r="C2242" s="4" t="str">
        <f t="shared" si="191"/>
        <v>Thái Nguyên</v>
      </c>
      <c r="D2242" s="3" t="s">
        <v>197</v>
      </c>
      <c r="E2242" s="4" t="str">
        <f t="shared" si="192"/>
        <v>Thành phố Phổ Yên</v>
      </c>
      <c r="F2242" s="3" t="s">
        <v>3006</v>
      </c>
      <c r="G2242" s="4" t="str">
        <f>HYPERLINK("https://diaocthongthai.com/xa-minh-duc-pho-yen/","Xã Minh Đức")</f>
        <v>Xã Minh Đức</v>
      </c>
    </row>
    <row r="2243" spans="1:7" x14ac:dyDescent="0.25">
      <c r="A2243" s="2">
        <v>2242</v>
      </c>
      <c r="B2243" s="3" t="s">
        <v>14</v>
      </c>
      <c r="C2243" s="4" t="str">
        <f t="shared" si="191"/>
        <v>Thái Nguyên</v>
      </c>
      <c r="D2243" s="3" t="s">
        <v>197</v>
      </c>
      <c r="E2243" s="4" t="str">
        <f t="shared" si="192"/>
        <v>Thành phố Phổ Yên</v>
      </c>
      <c r="F2243" s="3" t="s">
        <v>3007</v>
      </c>
      <c r="G2243" s="4" t="str">
        <f>HYPERLINK("https://diaocthongthai.com/xa-dac-son-pho-yen/","Phường Đắc Sơn")</f>
        <v>Phường Đắc Sơn</v>
      </c>
    </row>
    <row r="2244" spans="1:7" x14ac:dyDescent="0.25">
      <c r="A2244" s="2">
        <v>2243</v>
      </c>
      <c r="B2244" s="3" t="s">
        <v>14</v>
      </c>
      <c r="C2244" s="4" t="str">
        <f t="shared" si="191"/>
        <v>Thái Nguyên</v>
      </c>
      <c r="D2244" s="3" t="s">
        <v>197</v>
      </c>
      <c r="E2244" s="4" t="str">
        <f t="shared" si="192"/>
        <v>Thành phố Phổ Yên</v>
      </c>
      <c r="F2244" s="3" t="s">
        <v>3008</v>
      </c>
      <c r="G2244" s="4" t="str">
        <f>HYPERLINK("https://diaocthongthai.com/phuong-dong-tien-pho-yen/","Phường Đồng Tiến")</f>
        <v>Phường Đồng Tiến</v>
      </c>
    </row>
    <row r="2245" spans="1:7" x14ac:dyDescent="0.25">
      <c r="A2245" s="2">
        <v>2244</v>
      </c>
      <c r="B2245" s="3" t="s">
        <v>14</v>
      </c>
      <c r="C2245" s="4" t="str">
        <f t="shared" si="191"/>
        <v>Thái Nguyên</v>
      </c>
      <c r="D2245" s="3" t="s">
        <v>197</v>
      </c>
      <c r="E2245" s="4" t="str">
        <f t="shared" si="192"/>
        <v>Thành phố Phổ Yên</v>
      </c>
      <c r="F2245" s="3" t="s">
        <v>3009</v>
      </c>
      <c r="G2245" s="4" t="str">
        <f>HYPERLINK("https://diaocthongthai.com/xa-thanh-cong-pho-yen/","Xã Thành Công")</f>
        <v>Xã Thành Công</v>
      </c>
    </row>
    <row r="2246" spans="1:7" x14ac:dyDescent="0.25">
      <c r="A2246" s="2">
        <v>2245</v>
      </c>
      <c r="B2246" s="3" t="s">
        <v>14</v>
      </c>
      <c r="C2246" s="4" t="str">
        <f t="shared" si="191"/>
        <v>Thái Nguyên</v>
      </c>
      <c r="D2246" s="3" t="s">
        <v>197</v>
      </c>
      <c r="E2246" s="4" t="str">
        <f t="shared" si="192"/>
        <v>Thành phố Phổ Yên</v>
      </c>
      <c r="F2246" s="3" t="s">
        <v>3010</v>
      </c>
      <c r="G2246" s="4" t="str">
        <f>HYPERLINK("https://diaocthongthai.com/xa-tien-phong-pho-yen/","Phường Tiên Phong")</f>
        <v>Phường Tiên Phong</v>
      </c>
    </row>
    <row r="2247" spans="1:7" x14ac:dyDescent="0.25">
      <c r="A2247" s="2">
        <v>2246</v>
      </c>
      <c r="B2247" s="3" t="s">
        <v>14</v>
      </c>
      <c r="C2247" s="4" t="str">
        <f t="shared" si="191"/>
        <v>Thái Nguyên</v>
      </c>
      <c r="D2247" s="3" t="s">
        <v>197</v>
      </c>
      <c r="E2247" s="4" t="str">
        <f t="shared" si="192"/>
        <v>Thành phố Phổ Yên</v>
      </c>
      <c r="F2247" s="3" t="s">
        <v>3011</v>
      </c>
      <c r="G2247" s="4" t="str">
        <f>HYPERLINK("https://diaocthongthai.com/xa-van-phai-pho-yen/","Xã Vạn Phái")</f>
        <v>Xã Vạn Phái</v>
      </c>
    </row>
    <row r="2248" spans="1:7" x14ac:dyDescent="0.25">
      <c r="A2248" s="2">
        <v>2247</v>
      </c>
      <c r="B2248" s="3" t="s">
        <v>14</v>
      </c>
      <c r="C2248" s="4" t="str">
        <f t="shared" si="191"/>
        <v>Thái Nguyên</v>
      </c>
      <c r="D2248" s="3" t="s">
        <v>197</v>
      </c>
      <c r="E2248" s="4" t="str">
        <f t="shared" si="192"/>
        <v>Thành phố Phổ Yên</v>
      </c>
      <c r="F2248" s="3" t="s">
        <v>3012</v>
      </c>
      <c r="G2248" s="4" t="str">
        <f>HYPERLINK("https://diaocthongthai.com/xa-nam-tien-pho-yen/","Phường Nam Tiến")</f>
        <v>Phường Nam Tiến</v>
      </c>
    </row>
    <row r="2249" spans="1:7" x14ac:dyDescent="0.25">
      <c r="A2249" s="2">
        <v>2248</v>
      </c>
      <c r="B2249" s="3" t="s">
        <v>14</v>
      </c>
      <c r="C2249" s="4" t="str">
        <f t="shared" si="191"/>
        <v>Thái Nguyên</v>
      </c>
      <c r="D2249" s="3" t="s">
        <v>197</v>
      </c>
      <c r="E2249" s="4" t="str">
        <f t="shared" si="192"/>
        <v>Thành phố Phổ Yên</v>
      </c>
      <c r="F2249" s="3" t="s">
        <v>3013</v>
      </c>
      <c r="G2249" s="4" t="str">
        <f>HYPERLINK("https://diaocthongthai.com/xa-tan-huong-pho-yen/","Phường Tân Hương")</f>
        <v>Phường Tân Hương</v>
      </c>
    </row>
    <row r="2250" spans="1:7" x14ac:dyDescent="0.25">
      <c r="A2250" s="2">
        <v>2249</v>
      </c>
      <c r="B2250" s="3" t="s">
        <v>14</v>
      </c>
      <c r="C2250" s="4" t="str">
        <f t="shared" si="191"/>
        <v>Thái Nguyên</v>
      </c>
      <c r="D2250" s="3" t="s">
        <v>197</v>
      </c>
      <c r="E2250" s="4" t="str">
        <f t="shared" si="192"/>
        <v>Thành phố Phổ Yên</v>
      </c>
      <c r="F2250" s="3" t="s">
        <v>3014</v>
      </c>
      <c r="G2250" s="4" t="str">
        <f>HYPERLINK("https://diaocthongthai.com/xa-dong-cao-pho-yen/","Phường Đông Cao")</f>
        <v>Phường Đông Cao</v>
      </c>
    </row>
    <row r="2251" spans="1:7" x14ac:dyDescent="0.25">
      <c r="A2251" s="2">
        <v>2250</v>
      </c>
      <c r="B2251" s="3" t="s">
        <v>14</v>
      </c>
      <c r="C2251" s="4" t="str">
        <f t="shared" si="191"/>
        <v>Thái Nguyên</v>
      </c>
      <c r="D2251" s="3" t="s">
        <v>197</v>
      </c>
      <c r="E2251" s="4" t="str">
        <f t="shared" si="192"/>
        <v>Thành phố Phổ Yên</v>
      </c>
      <c r="F2251" s="3" t="s">
        <v>3015</v>
      </c>
      <c r="G2251" s="4" t="str">
        <f>HYPERLINK("https://diaocthongthai.com/xa-trung-thanh-pho-yen/","Phường Trung Thành")</f>
        <v>Phường Trung Thành</v>
      </c>
    </row>
    <row r="2252" spans="1:7" x14ac:dyDescent="0.25">
      <c r="A2252" s="2">
        <v>2251</v>
      </c>
      <c r="B2252" s="3" t="s">
        <v>14</v>
      </c>
      <c r="C2252" s="4" t="str">
        <f t="shared" si="191"/>
        <v>Thái Nguyên</v>
      </c>
      <c r="D2252" s="3" t="s">
        <v>197</v>
      </c>
      <c r="E2252" s="4" t="str">
        <f t="shared" si="192"/>
        <v>Thành phố Phổ Yên</v>
      </c>
      <c r="F2252" s="3" t="s">
        <v>3016</v>
      </c>
      <c r="G2252" s="4" t="str">
        <f>HYPERLINK("https://diaocthongthai.com/xa-tan-phu-pho-yen/","Phường Tân Phú")</f>
        <v>Phường Tân Phú</v>
      </c>
    </row>
    <row r="2253" spans="1:7" x14ac:dyDescent="0.25">
      <c r="A2253" s="2">
        <v>2252</v>
      </c>
      <c r="B2253" s="3" t="s">
        <v>14</v>
      </c>
      <c r="C2253" s="4" t="str">
        <f t="shared" si="191"/>
        <v>Thái Nguyên</v>
      </c>
      <c r="D2253" s="3" t="s">
        <v>197</v>
      </c>
      <c r="E2253" s="4" t="str">
        <f t="shared" si="192"/>
        <v>Thành phố Phổ Yên</v>
      </c>
      <c r="F2253" s="3" t="s">
        <v>3017</v>
      </c>
      <c r="G2253" s="4" t="str">
        <f>HYPERLINK("https://diaocthongthai.com/xa-thuan-thanh-pho-yen/","Phường Thuận Thành")</f>
        <v>Phường Thuận Thành</v>
      </c>
    </row>
    <row r="2254" spans="1:7" x14ac:dyDescent="0.25">
      <c r="A2254" s="2">
        <v>2253</v>
      </c>
      <c r="B2254" s="3" t="s">
        <v>14</v>
      </c>
      <c r="C2254" s="4" t="str">
        <f t="shared" si="191"/>
        <v>Thái Nguyên</v>
      </c>
      <c r="D2254" s="3" t="s">
        <v>198</v>
      </c>
      <c r="E2254" s="4" t="str">
        <f t="shared" ref="E2254:E2273" si="193">HYPERLINK("https://diaocthongthai.com/ban-do-huyen-phu-binh-thai-nguyen/","Huyện Phú Bình")</f>
        <v>Huyện Phú Bình</v>
      </c>
      <c r="F2254" s="3" t="s">
        <v>3018</v>
      </c>
      <c r="G2254" s="4" t="str">
        <f>HYPERLINK("https://diaocthongthai.com/thi-tran-huong-son-phu-binh/","Thị trấn Hương Sơn")</f>
        <v>Thị trấn Hương Sơn</v>
      </c>
    </row>
    <row r="2255" spans="1:7" x14ac:dyDescent="0.25">
      <c r="A2255" s="2">
        <v>2254</v>
      </c>
      <c r="B2255" s="3" t="s">
        <v>14</v>
      </c>
      <c r="C2255" s="4" t="str">
        <f t="shared" si="191"/>
        <v>Thái Nguyên</v>
      </c>
      <c r="D2255" s="3" t="s">
        <v>198</v>
      </c>
      <c r="E2255" s="4" t="str">
        <f t="shared" si="193"/>
        <v>Huyện Phú Bình</v>
      </c>
      <c r="F2255" s="3" t="s">
        <v>3019</v>
      </c>
      <c r="G2255" s="4" t="str">
        <f>HYPERLINK("https://diaocthongthai.com/xa-ban-dat-phu-binh/","Xã Bàn Đạt")</f>
        <v>Xã Bàn Đạt</v>
      </c>
    </row>
    <row r="2256" spans="1:7" x14ac:dyDescent="0.25">
      <c r="A2256" s="2">
        <v>2255</v>
      </c>
      <c r="B2256" s="3" t="s">
        <v>14</v>
      </c>
      <c r="C2256" s="4" t="str">
        <f t="shared" ref="C2256:C2273" si="194">HYPERLINK("https://diaocthongthai.com/ban-do-thai-nguyen/","Thái Nguyên")</f>
        <v>Thái Nguyên</v>
      </c>
      <c r="D2256" s="3" t="s">
        <v>198</v>
      </c>
      <c r="E2256" s="4" t="str">
        <f t="shared" si="193"/>
        <v>Huyện Phú Bình</v>
      </c>
      <c r="F2256" s="3" t="s">
        <v>3020</v>
      </c>
      <c r="G2256" s="4" t="str">
        <f>HYPERLINK("https://diaocthongthai.com/xa-tan-khanh-phu-binh/","Xã Tân Khánh")</f>
        <v>Xã Tân Khánh</v>
      </c>
    </row>
    <row r="2257" spans="1:7" x14ac:dyDescent="0.25">
      <c r="A2257" s="2">
        <v>2256</v>
      </c>
      <c r="B2257" s="3" t="s">
        <v>14</v>
      </c>
      <c r="C2257" s="4" t="str">
        <f t="shared" si="194"/>
        <v>Thái Nguyên</v>
      </c>
      <c r="D2257" s="3" t="s">
        <v>198</v>
      </c>
      <c r="E2257" s="4" t="str">
        <f t="shared" si="193"/>
        <v>Huyện Phú Bình</v>
      </c>
      <c r="F2257" s="3" t="s">
        <v>3021</v>
      </c>
      <c r="G2257" s="4" t="str">
        <f>HYPERLINK("https://diaocthongthai.com/xa-tan-kim-phu-binh/","Xã Tân Kim")</f>
        <v>Xã Tân Kim</v>
      </c>
    </row>
    <row r="2258" spans="1:7" x14ac:dyDescent="0.25">
      <c r="A2258" s="2">
        <v>2257</v>
      </c>
      <c r="B2258" s="3" t="s">
        <v>14</v>
      </c>
      <c r="C2258" s="4" t="str">
        <f t="shared" si="194"/>
        <v>Thái Nguyên</v>
      </c>
      <c r="D2258" s="3" t="s">
        <v>198</v>
      </c>
      <c r="E2258" s="4" t="str">
        <f t="shared" si="193"/>
        <v>Huyện Phú Bình</v>
      </c>
      <c r="F2258" s="3" t="s">
        <v>3022</v>
      </c>
      <c r="G2258" s="4" t="str">
        <f>HYPERLINK("https://diaocthongthai.com/xa-tan-thanh-phu-binh/","Xã Tân Thành")</f>
        <v>Xã Tân Thành</v>
      </c>
    </row>
    <row r="2259" spans="1:7" x14ac:dyDescent="0.25">
      <c r="A2259" s="2">
        <v>2258</v>
      </c>
      <c r="B2259" s="3" t="s">
        <v>14</v>
      </c>
      <c r="C2259" s="4" t="str">
        <f t="shared" si="194"/>
        <v>Thái Nguyên</v>
      </c>
      <c r="D2259" s="3" t="s">
        <v>198</v>
      </c>
      <c r="E2259" s="4" t="str">
        <f t="shared" si="193"/>
        <v>Huyện Phú Bình</v>
      </c>
      <c r="F2259" s="3" t="s">
        <v>3023</v>
      </c>
      <c r="G2259" s="4" t="str">
        <f>HYPERLINK("https://diaocthongthai.com/xa-dao-xa-phu-binh/","Xã Đào Xá")</f>
        <v>Xã Đào Xá</v>
      </c>
    </row>
    <row r="2260" spans="1:7" x14ac:dyDescent="0.25">
      <c r="A2260" s="2">
        <v>2259</v>
      </c>
      <c r="B2260" s="3" t="s">
        <v>14</v>
      </c>
      <c r="C2260" s="4" t="str">
        <f t="shared" si="194"/>
        <v>Thái Nguyên</v>
      </c>
      <c r="D2260" s="3" t="s">
        <v>198</v>
      </c>
      <c r="E2260" s="4" t="str">
        <f t="shared" si="193"/>
        <v>Huyện Phú Bình</v>
      </c>
      <c r="F2260" s="3" t="s">
        <v>3024</v>
      </c>
      <c r="G2260" s="4" t="str">
        <f>HYPERLINK("https://diaocthongthai.com/xa-bao-ly-phu-binh/","Xã Bảo Lý")</f>
        <v>Xã Bảo Lý</v>
      </c>
    </row>
    <row r="2261" spans="1:7" x14ac:dyDescent="0.25">
      <c r="A2261" s="2">
        <v>2260</v>
      </c>
      <c r="B2261" s="3" t="s">
        <v>14</v>
      </c>
      <c r="C2261" s="4" t="str">
        <f t="shared" si="194"/>
        <v>Thái Nguyên</v>
      </c>
      <c r="D2261" s="3" t="s">
        <v>198</v>
      </c>
      <c r="E2261" s="4" t="str">
        <f t="shared" si="193"/>
        <v>Huyện Phú Bình</v>
      </c>
      <c r="F2261" s="3" t="s">
        <v>3025</v>
      </c>
      <c r="G2261" s="4" t="str">
        <f>HYPERLINK("https://diaocthongthai.com/xa-thuong-dinh-phu-binh/","Xã Thượng Đình")</f>
        <v>Xã Thượng Đình</v>
      </c>
    </row>
    <row r="2262" spans="1:7" x14ac:dyDescent="0.25">
      <c r="A2262" s="2">
        <v>2261</v>
      </c>
      <c r="B2262" s="3" t="s">
        <v>14</v>
      </c>
      <c r="C2262" s="4" t="str">
        <f t="shared" si="194"/>
        <v>Thái Nguyên</v>
      </c>
      <c r="D2262" s="3" t="s">
        <v>198</v>
      </c>
      <c r="E2262" s="4" t="str">
        <f t="shared" si="193"/>
        <v>Huyện Phú Bình</v>
      </c>
      <c r="F2262" s="3" t="s">
        <v>3026</v>
      </c>
      <c r="G2262" s="4" t="str">
        <f>HYPERLINK("https://diaocthongthai.com/xa-tan-hoa-phu-binh/","Xã Tân Hòa")</f>
        <v>Xã Tân Hòa</v>
      </c>
    </row>
    <row r="2263" spans="1:7" x14ac:dyDescent="0.25">
      <c r="A2263" s="2">
        <v>2262</v>
      </c>
      <c r="B2263" s="3" t="s">
        <v>14</v>
      </c>
      <c r="C2263" s="4" t="str">
        <f t="shared" si="194"/>
        <v>Thái Nguyên</v>
      </c>
      <c r="D2263" s="3" t="s">
        <v>198</v>
      </c>
      <c r="E2263" s="4" t="str">
        <f t="shared" si="193"/>
        <v>Huyện Phú Bình</v>
      </c>
      <c r="F2263" s="3" t="s">
        <v>3027</v>
      </c>
      <c r="G2263" s="4" t="str">
        <f>HYPERLINK("https://diaocthongthai.com/xa-nha-long-phu-binh/","Xã Nhã Lộng")</f>
        <v>Xã Nhã Lộng</v>
      </c>
    </row>
    <row r="2264" spans="1:7" x14ac:dyDescent="0.25">
      <c r="A2264" s="2">
        <v>2263</v>
      </c>
      <c r="B2264" s="3" t="s">
        <v>14</v>
      </c>
      <c r="C2264" s="4" t="str">
        <f t="shared" si="194"/>
        <v>Thái Nguyên</v>
      </c>
      <c r="D2264" s="3" t="s">
        <v>198</v>
      </c>
      <c r="E2264" s="4" t="str">
        <f t="shared" si="193"/>
        <v>Huyện Phú Bình</v>
      </c>
      <c r="F2264" s="3" t="s">
        <v>3028</v>
      </c>
      <c r="G2264" s="4" t="str">
        <f>HYPERLINK("https://diaocthongthai.com/xa-diem-thuy-phu-binh/","Xã Điềm Thụy")</f>
        <v>Xã Điềm Thụy</v>
      </c>
    </row>
    <row r="2265" spans="1:7" x14ac:dyDescent="0.25">
      <c r="A2265" s="2">
        <v>2264</v>
      </c>
      <c r="B2265" s="3" t="s">
        <v>14</v>
      </c>
      <c r="C2265" s="4" t="str">
        <f t="shared" si="194"/>
        <v>Thái Nguyên</v>
      </c>
      <c r="D2265" s="3" t="s">
        <v>198</v>
      </c>
      <c r="E2265" s="4" t="str">
        <f t="shared" si="193"/>
        <v>Huyện Phú Bình</v>
      </c>
      <c r="F2265" s="3" t="s">
        <v>3029</v>
      </c>
      <c r="G2265" s="4" t="str">
        <f>HYPERLINK("https://diaocthongthai.com/xa-xuan-phuong-phu-binh/","Xã Xuân Phương")</f>
        <v>Xã Xuân Phương</v>
      </c>
    </row>
    <row r="2266" spans="1:7" x14ac:dyDescent="0.25">
      <c r="A2266" s="2">
        <v>2265</v>
      </c>
      <c r="B2266" s="3" t="s">
        <v>14</v>
      </c>
      <c r="C2266" s="4" t="str">
        <f t="shared" si="194"/>
        <v>Thái Nguyên</v>
      </c>
      <c r="D2266" s="3" t="s">
        <v>198</v>
      </c>
      <c r="E2266" s="4" t="str">
        <f t="shared" si="193"/>
        <v>Huyện Phú Bình</v>
      </c>
      <c r="F2266" s="3" t="s">
        <v>3030</v>
      </c>
      <c r="G2266" s="4" t="str">
        <f>HYPERLINK("https://diaocthongthai.com/xa-tan-duc-phu-binh/","Xã Tân Đức")</f>
        <v>Xã Tân Đức</v>
      </c>
    </row>
    <row r="2267" spans="1:7" x14ac:dyDescent="0.25">
      <c r="A2267" s="2">
        <v>2266</v>
      </c>
      <c r="B2267" s="3" t="s">
        <v>14</v>
      </c>
      <c r="C2267" s="4" t="str">
        <f t="shared" si="194"/>
        <v>Thái Nguyên</v>
      </c>
      <c r="D2267" s="3" t="s">
        <v>198</v>
      </c>
      <c r="E2267" s="4" t="str">
        <f t="shared" si="193"/>
        <v>Huyện Phú Bình</v>
      </c>
      <c r="F2267" s="3" t="s">
        <v>3031</v>
      </c>
      <c r="G2267" s="4" t="str">
        <f>HYPERLINK("https://diaocthongthai.com/xa-uc-ky-phu-binh/","Xã Úc Kỳ")</f>
        <v>Xã Úc Kỳ</v>
      </c>
    </row>
    <row r="2268" spans="1:7" x14ac:dyDescent="0.25">
      <c r="A2268" s="2">
        <v>2267</v>
      </c>
      <c r="B2268" s="3" t="s">
        <v>14</v>
      </c>
      <c r="C2268" s="4" t="str">
        <f t="shared" si="194"/>
        <v>Thái Nguyên</v>
      </c>
      <c r="D2268" s="3" t="s">
        <v>198</v>
      </c>
      <c r="E2268" s="4" t="str">
        <f t="shared" si="193"/>
        <v>Huyện Phú Bình</v>
      </c>
      <c r="F2268" s="3" t="s">
        <v>3032</v>
      </c>
      <c r="G2268" s="4" t="str">
        <f>HYPERLINK("https://diaocthongthai.com/xa-luong-phu-phu-binh/","Xã Lương Phú")</f>
        <v>Xã Lương Phú</v>
      </c>
    </row>
    <row r="2269" spans="1:7" x14ac:dyDescent="0.25">
      <c r="A2269" s="2">
        <v>2268</v>
      </c>
      <c r="B2269" s="3" t="s">
        <v>14</v>
      </c>
      <c r="C2269" s="4" t="str">
        <f t="shared" si="194"/>
        <v>Thái Nguyên</v>
      </c>
      <c r="D2269" s="3" t="s">
        <v>198</v>
      </c>
      <c r="E2269" s="4" t="str">
        <f t="shared" si="193"/>
        <v>Huyện Phú Bình</v>
      </c>
      <c r="F2269" s="3" t="s">
        <v>3033</v>
      </c>
      <c r="G2269" s="4" t="str">
        <f>HYPERLINK("https://diaocthongthai.com/xa-nga-my-phu-binh/","Xã Nga My")</f>
        <v>Xã Nga My</v>
      </c>
    </row>
    <row r="2270" spans="1:7" x14ac:dyDescent="0.25">
      <c r="A2270" s="2">
        <v>2269</v>
      </c>
      <c r="B2270" s="3" t="s">
        <v>14</v>
      </c>
      <c r="C2270" s="4" t="str">
        <f t="shared" si="194"/>
        <v>Thái Nguyên</v>
      </c>
      <c r="D2270" s="3" t="s">
        <v>198</v>
      </c>
      <c r="E2270" s="4" t="str">
        <f t="shared" si="193"/>
        <v>Huyện Phú Bình</v>
      </c>
      <c r="F2270" s="3" t="s">
        <v>3034</v>
      </c>
      <c r="G2270" s="4" t="str">
        <f>HYPERLINK("https://diaocthongthai.com/xa-kha-son-phu-binh/","Xã Kha Sơn")</f>
        <v>Xã Kha Sơn</v>
      </c>
    </row>
    <row r="2271" spans="1:7" x14ac:dyDescent="0.25">
      <c r="A2271" s="2">
        <v>2270</v>
      </c>
      <c r="B2271" s="3" t="s">
        <v>14</v>
      </c>
      <c r="C2271" s="4" t="str">
        <f t="shared" si="194"/>
        <v>Thái Nguyên</v>
      </c>
      <c r="D2271" s="3" t="s">
        <v>198</v>
      </c>
      <c r="E2271" s="4" t="str">
        <f t="shared" si="193"/>
        <v>Huyện Phú Bình</v>
      </c>
      <c r="F2271" s="3" t="s">
        <v>3035</v>
      </c>
      <c r="G2271" s="4" t="str">
        <f>HYPERLINK("https://diaocthongthai.com/xa-thanh-ninh-phu-binh/","Xã Thanh Ninh")</f>
        <v>Xã Thanh Ninh</v>
      </c>
    </row>
    <row r="2272" spans="1:7" x14ac:dyDescent="0.25">
      <c r="A2272" s="2">
        <v>2271</v>
      </c>
      <c r="B2272" s="3" t="s">
        <v>14</v>
      </c>
      <c r="C2272" s="4" t="str">
        <f t="shared" si="194"/>
        <v>Thái Nguyên</v>
      </c>
      <c r="D2272" s="3" t="s">
        <v>198</v>
      </c>
      <c r="E2272" s="4" t="str">
        <f t="shared" si="193"/>
        <v>Huyện Phú Bình</v>
      </c>
      <c r="F2272" s="3" t="s">
        <v>3036</v>
      </c>
      <c r="G2272" s="4" t="str">
        <f>HYPERLINK("https://diaocthongthai.com/xa-duong-thanh-phu-binh/","Xã Dương Thành")</f>
        <v>Xã Dương Thành</v>
      </c>
    </row>
    <row r="2273" spans="1:7" x14ac:dyDescent="0.25">
      <c r="A2273" s="2">
        <v>2272</v>
      </c>
      <c r="B2273" s="3" t="s">
        <v>14</v>
      </c>
      <c r="C2273" s="4" t="str">
        <f t="shared" si="194"/>
        <v>Thái Nguyên</v>
      </c>
      <c r="D2273" s="3" t="s">
        <v>198</v>
      </c>
      <c r="E2273" s="4" t="str">
        <f t="shared" si="193"/>
        <v>Huyện Phú Bình</v>
      </c>
      <c r="F2273" s="3" t="s">
        <v>3037</v>
      </c>
      <c r="G2273" s="4" t="str">
        <f>HYPERLINK("https://diaocthongthai.com/xa-ha-chau-phu-binh/","Xã Hà Châu")</f>
        <v>Xã Hà Châu</v>
      </c>
    </row>
    <row r="2274" spans="1:7" x14ac:dyDescent="0.25">
      <c r="A2274" s="2">
        <v>2273</v>
      </c>
      <c r="B2274" s="3" t="s">
        <v>15</v>
      </c>
      <c r="C2274" s="4" t="str">
        <f t="shared" ref="C2274:C2305" si="195">HYPERLINK("https://diaocthongthai.com/ban-do-lang-son/","Lạng Sơn")</f>
        <v>Lạng Sơn</v>
      </c>
      <c r="D2274" s="3" t="s">
        <v>199</v>
      </c>
      <c r="E2274" s="4" t="str">
        <f t="shared" ref="E2274:E2281" si="196">HYPERLINK("https://diaocthongthai.com/ban-do-tp-lang-son-lang-son/","Thành phố Lạng Sơn")</f>
        <v>Thành phố Lạng Sơn</v>
      </c>
      <c r="F2274" s="3" t="s">
        <v>3038</v>
      </c>
      <c r="G2274" s="4" t="str">
        <f>HYPERLINK("https://diaocthongthai.com/phuong-hoang-van-thu-tp-lang-son/","Phường Hoàng Văn Thụ")</f>
        <v>Phường Hoàng Văn Thụ</v>
      </c>
    </row>
    <row r="2275" spans="1:7" x14ac:dyDescent="0.25">
      <c r="A2275" s="2">
        <v>2274</v>
      </c>
      <c r="B2275" s="3" t="s">
        <v>15</v>
      </c>
      <c r="C2275" s="4" t="str">
        <f t="shared" si="195"/>
        <v>Lạng Sơn</v>
      </c>
      <c r="D2275" s="3" t="s">
        <v>199</v>
      </c>
      <c r="E2275" s="4" t="str">
        <f t="shared" si="196"/>
        <v>Thành phố Lạng Sơn</v>
      </c>
      <c r="F2275" s="3" t="s">
        <v>3039</v>
      </c>
      <c r="G2275" s="4" t="str">
        <f>HYPERLINK("https://diaocthongthai.com/phuong-tam-thanh-tp-lang-son/","Phường Tam Thanh")</f>
        <v>Phường Tam Thanh</v>
      </c>
    </row>
    <row r="2276" spans="1:7" x14ac:dyDescent="0.25">
      <c r="A2276" s="2">
        <v>2275</v>
      </c>
      <c r="B2276" s="3" t="s">
        <v>15</v>
      </c>
      <c r="C2276" s="4" t="str">
        <f t="shared" si="195"/>
        <v>Lạng Sơn</v>
      </c>
      <c r="D2276" s="3" t="s">
        <v>199</v>
      </c>
      <c r="E2276" s="4" t="str">
        <f t="shared" si="196"/>
        <v>Thành phố Lạng Sơn</v>
      </c>
      <c r="F2276" s="3" t="s">
        <v>3040</v>
      </c>
      <c r="G2276" s="4" t="str">
        <f>HYPERLINK("https://diaocthongthai.com/phuong-vinh-trai-tp-lang-son/","Phường Vĩnh Trại")</f>
        <v>Phường Vĩnh Trại</v>
      </c>
    </row>
    <row r="2277" spans="1:7" x14ac:dyDescent="0.25">
      <c r="A2277" s="2">
        <v>2276</v>
      </c>
      <c r="B2277" s="3" t="s">
        <v>15</v>
      </c>
      <c r="C2277" s="4" t="str">
        <f t="shared" si="195"/>
        <v>Lạng Sơn</v>
      </c>
      <c r="D2277" s="3" t="s">
        <v>199</v>
      </c>
      <c r="E2277" s="4" t="str">
        <f t="shared" si="196"/>
        <v>Thành phố Lạng Sơn</v>
      </c>
      <c r="F2277" s="3" t="s">
        <v>3041</v>
      </c>
      <c r="G2277" s="4" t="str">
        <f>HYPERLINK("https://diaocthongthai.com/phuong-dong-kinh-tp-lang-son/","Phường Đông Kinh")</f>
        <v>Phường Đông Kinh</v>
      </c>
    </row>
    <row r="2278" spans="1:7" x14ac:dyDescent="0.25">
      <c r="A2278" s="2">
        <v>2277</v>
      </c>
      <c r="B2278" s="3" t="s">
        <v>15</v>
      </c>
      <c r="C2278" s="4" t="str">
        <f t="shared" si="195"/>
        <v>Lạng Sơn</v>
      </c>
      <c r="D2278" s="3" t="s">
        <v>199</v>
      </c>
      <c r="E2278" s="4" t="str">
        <f t="shared" si="196"/>
        <v>Thành phố Lạng Sơn</v>
      </c>
      <c r="F2278" s="3" t="s">
        <v>3042</v>
      </c>
      <c r="G2278" s="4" t="str">
        <f>HYPERLINK("https://diaocthongthai.com/phuong-chi-lang-tp-lang-son/","Phường Chi Lăng")</f>
        <v>Phường Chi Lăng</v>
      </c>
    </row>
    <row r="2279" spans="1:7" x14ac:dyDescent="0.25">
      <c r="A2279" s="2">
        <v>2278</v>
      </c>
      <c r="B2279" s="3" t="s">
        <v>15</v>
      </c>
      <c r="C2279" s="4" t="str">
        <f t="shared" si="195"/>
        <v>Lạng Sơn</v>
      </c>
      <c r="D2279" s="3" t="s">
        <v>199</v>
      </c>
      <c r="E2279" s="4" t="str">
        <f t="shared" si="196"/>
        <v>Thành phố Lạng Sơn</v>
      </c>
      <c r="F2279" s="3" t="s">
        <v>3043</v>
      </c>
      <c r="G2279" s="4" t="str">
        <f>HYPERLINK("https://diaocthongthai.com/xa-hoang-dong-tp-lang-son/","Xã Hoàng Đồng")</f>
        <v>Xã Hoàng Đồng</v>
      </c>
    </row>
    <row r="2280" spans="1:7" x14ac:dyDescent="0.25">
      <c r="A2280" s="2">
        <v>2279</v>
      </c>
      <c r="B2280" s="3" t="s">
        <v>15</v>
      </c>
      <c r="C2280" s="4" t="str">
        <f t="shared" si="195"/>
        <v>Lạng Sơn</v>
      </c>
      <c r="D2280" s="3" t="s">
        <v>199</v>
      </c>
      <c r="E2280" s="4" t="str">
        <f t="shared" si="196"/>
        <v>Thành phố Lạng Sơn</v>
      </c>
      <c r="F2280" s="3" t="s">
        <v>3044</v>
      </c>
      <c r="G2280" s="4" t="str">
        <f>HYPERLINK("https://diaocthongthai.com/xa-quang-lac-tp-lang-son/","Xã Quảng Lạc")</f>
        <v>Xã Quảng Lạc</v>
      </c>
    </row>
    <row r="2281" spans="1:7" x14ac:dyDescent="0.25">
      <c r="A2281" s="2">
        <v>2280</v>
      </c>
      <c r="B2281" s="3" t="s">
        <v>15</v>
      </c>
      <c r="C2281" s="4" t="str">
        <f t="shared" si="195"/>
        <v>Lạng Sơn</v>
      </c>
      <c r="D2281" s="3" t="s">
        <v>199</v>
      </c>
      <c r="E2281" s="4" t="str">
        <f t="shared" si="196"/>
        <v>Thành phố Lạng Sơn</v>
      </c>
      <c r="F2281" s="3" t="s">
        <v>3045</v>
      </c>
      <c r="G2281" s="4" t="str">
        <f>HYPERLINK("https://diaocthongthai.com/xa-mai-pha-tp-lang-son/","Xã Mai Pha")</f>
        <v>Xã Mai Pha</v>
      </c>
    </row>
    <row r="2282" spans="1:7" x14ac:dyDescent="0.25">
      <c r="A2282" s="2">
        <v>2281</v>
      </c>
      <c r="B2282" s="3" t="s">
        <v>15</v>
      </c>
      <c r="C2282" s="4" t="str">
        <f t="shared" si="195"/>
        <v>Lạng Sơn</v>
      </c>
      <c r="D2282" s="3" t="s">
        <v>200</v>
      </c>
      <c r="E2282" s="4" t="str">
        <f t="shared" ref="E2282:E2303" si="197">HYPERLINK("https://diaocthongthai.com/ban-do-huyen-trang-dinh-lang-son/","Huyện Tràng Định")</f>
        <v>Huyện Tràng Định</v>
      </c>
      <c r="F2282" s="3" t="s">
        <v>3046</v>
      </c>
      <c r="G2282" s="4" t="str">
        <f>HYPERLINK("https://diaocthongthai.com/thi-tran-that-khe-trang-dinh/","Thị trấn Thất Khê")</f>
        <v>Thị trấn Thất Khê</v>
      </c>
    </row>
    <row r="2283" spans="1:7" x14ac:dyDescent="0.25">
      <c r="A2283" s="2">
        <v>2282</v>
      </c>
      <c r="B2283" s="3" t="s">
        <v>15</v>
      </c>
      <c r="C2283" s="4" t="str">
        <f t="shared" si="195"/>
        <v>Lạng Sơn</v>
      </c>
      <c r="D2283" s="3" t="s">
        <v>200</v>
      </c>
      <c r="E2283" s="4" t="str">
        <f t="shared" si="197"/>
        <v>Huyện Tràng Định</v>
      </c>
      <c r="F2283" s="3" t="s">
        <v>3047</v>
      </c>
      <c r="G2283" s="4" t="str">
        <f>HYPERLINK("https://diaocthongthai.com/xa-khanh-long-trang-dinh/","Xã Khánh Long")</f>
        <v>Xã Khánh Long</v>
      </c>
    </row>
    <row r="2284" spans="1:7" x14ac:dyDescent="0.25">
      <c r="A2284" s="2">
        <v>2283</v>
      </c>
      <c r="B2284" s="3" t="s">
        <v>15</v>
      </c>
      <c r="C2284" s="4" t="str">
        <f t="shared" si="195"/>
        <v>Lạng Sơn</v>
      </c>
      <c r="D2284" s="3" t="s">
        <v>200</v>
      </c>
      <c r="E2284" s="4" t="str">
        <f t="shared" si="197"/>
        <v>Huyện Tràng Định</v>
      </c>
      <c r="F2284" s="3" t="s">
        <v>3048</v>
      </c>
      <c r="G2284" s="4" t="str">
        <f>HYPERLINK("https://diaocthongthai.com/xa-doan-ket-trang-dinh/","Xã Đoàn Kết")</f>
        <v>Xã Đoàn Kết</v>
      </c>
    </row>
    <row r="2285" spans="1:7" x14ac:dyDescent="0.25">
      <c r="A2285" s="2">
        <v>2284</v>
      </c>
      <c r="B2285" s="3" t="s">
        <v>15</v>
      </c>
      <c r="C2285" s="4" t="str">
        <f t="shared" si="195"/>
        <v>Lạng Sơn</v>
      </c>
      <c r="D2285" s="3" t="s">
        <v>200</v>
      </c>
      <c r="E2285" s="4" t="str">
        <f t="shared" si="197"/>
        <v>Huyện Tràng Định</v>
      </c>
      <c r="F2285" s="3" t="s">
        <v>3049</v>
      </c>
      <c r="G2285" s="4" t="str">
        <f>HYPERLINK("https://diaocthongthai.com/xa-quoc-khanh-trang-dinh/","Xã Quốc Khánh")</f>
        <v>Xã Quốc Khánh</v>
      </c>
    </row>
    <row r="2286" spans="1:7" x14ac:dyDescent="0.25">
      <c r="A2286" s="2">
        <v>2285</v>
      </c>
      <c r="B2286" s="3" t="s">
        <v>15</v>
      </c>
      <c r="C2286" s="4" t="str">
        <f t="shared" si="195"/>
        <v>Lạng Sơn</v>
      </c>
      <c r="D2286" s="3" t="s">
        <v>200</v>
      </c>
      <c r="E2286" s="4" t="str">
        <f t="shared" si="197"/>
        <v>Huyện Tràng Định</v>
      </c>
      <c r="F2286" s="3" t="s">
        <v>3050</v>
      </c>
      <c r="G2286" s="4" t="str">
        <f>HYPERLINK("https://diaocthongthai.com/xa-vinh-tien-trang-dinh/","Xã Vĩnh Tiến")</f>
        <v>Xã Vĩnh Tiến</v>
      </c>
    </row>
    <row r="2287" spans="1:7" x14ac:dyDescent="0.25">
      <c r="A2287" s="2">
        <v>2286</v>
      </c>
      <c r="B2287" s="3" t="s">
        <v>15</v>
      </c>
      <c r="C2287" s="4" t="str">
        <f t="shared" si="195"/>
        <v>Lạng Sơn</v>
      </c>
      <c r="D2287" s="3" t="s">
        <v>200</v>
      </c>
      <c r="E2287" s="4" t="str">
        <f t="shared" si="197"/>
        <v>Huyện Tràng Định</v>
      </c>
      <c r="F2287" s="3" t="s">
        <v>3051</v>
      </c>
      <c r="G2287" s="4" t="str">
        <f>HYPERLINK("https://diaocthongthai.com/xa-cao-minh-trang-dinh/","Xã Cao Minh")</f>
        <v>Xã Cao Minh</v>
      </c>
    </row>
    <row r="2288" spans="1:7" x14ac:dyDescent="0.25">
      <c r="A2288" s="2">
        <v>2287</v>
      </c>
      <c r="B2288" s="3" t="s">
        <v>15</v>
      </c>
      <c r="C2288" s="4" t="str">
        <f t="shared" si="195"/>
        <v>Lạng Sơn</v>
      </c>
      <c r="D2288" s="3" t="s">
        <v>200</v>
      </c>
      <c r="E2288" s="4" t="str">
        <f t="shared" si="197"/>
        <v>Huyện Tràng Định</v>
      </c>
      <c r="F2288" s="3" t="s">
        <v>3052</v>
      </c>
      <c r="G2288" s="4" t="str">
        <f>HYPERLINK("https://diaocthongthai.com/xa-chi-minh-trang-dinh/","Xã Chí Minh")</f>
        <v>Xã Chí Minh</v>
      </c>
    </row>
    <row r="2289" spans="1:7" x14ac:dyDescent="0.25">
      <c r="A2289" s="2">
        <v>2288</v>
      </c>
      <c r="B2289" s="3" t="s">
        <v>15</v>
      </c>
      <c r="C2289" s="4" t="str">
        <f t="shared" si="195"/>
        <v>Lạng Sơn</v>
      </c>
      <c r="D2289" s="3" t="s">
        <v>200</v>
      </c>
      <c r="E2289" s="4" t="str">
        <f t="shared" si="197"/>
        <v>Huyện Tràng Định</v>
      </c>
      <c r="F2289" s="3" t="s">
        <v>3053</v>
      </c>
      <c r="G2289" s="4" t="str">
        <f>HYPERLINK("https://diaocthongthai.com/xa-tri-phuong-trang-dinh/","Xã Tri Phương")</f>
        <v>Xã Tri Phương</v>
      </c>
    </row>
    <row r="2290" spans="1:7" x14ac:dyDescent="0.25">
      <c r="A2290" s="2">
        <v>2289</v>
      </c>
      <c r="B2290" s="3" t="s">
        <v>15</v>
      </c>
      <c r="C2290" s="4" t="str">
        <f t="shared" si="195"/>
        <v>Lạng Sơn</v>
      </c>
      <c r="D2290" s="3" t="s">
        <v>200</v>
      </c>
      <c r="E2290" s="4" t="str">
        <f t="shared" si="197"/>
        <v>Huyện Tràng Định</v>
      </c>
      <c r="F2290" s="3" t="s">
        <v>3054</v>
      </c>
      <c r="G2290" s="4" t="str">
        <f>HYPERLINK("https://diaocthongthai.com/xa-tan-tien-trang-dinh/","Xã Tân Tiến")</f>
        <v>Xã Tân Tiến</v>
      </c>
    </row>
    <row r="2291" spans="1:7" x14ac:dyDescent="0.25">
      <c r="A2291" s="2">
        <v>2290</v>
      </c>
      <c r="B2291" s="3" t="s">
        <v>15</v>
      </c>
      <c r="C2291" s="4" t="str">
        <f t="shared" si="195"/>
        <v>Lạng Sơn</v>
      </c>
      <c r="D2291" s="3" t="s">
        <v>200</v>
      </c>
      <c r="E2291" s="4" t="str">
        <f t="shared" si="197"/>
        <v>Huyện Tràng Định</v>
      </c>
      <c r="F2291" s="3" t="s">
        <v>3055</v>
      </c>
      <c r="G2291" s="4" t="str">
        <f>HYPERLINK("https://diaocthongthai.com/xa-tan-yen-trang-dinh/","Xã Tân Yên")</f>
        <v>Xã Tân Yên</v>
      </c>
    </row>
    <row r="2292" spans="1:7" x14ac:dyDescent="0.25">
      <c r="A2292" s="2">
        <v>2291</v>
      </c>
      <c r="B2292" s="3" t="s">
        <v>15</v>
      </c>
      <c r="C2292" s="4" t="str">
        <f t="shared" si="195"/>
        <v>Lạng Sơn</v>
      </c>
      <c r="D2292" s="3" t="s">
        <v>200</v>
      </c>
      <c r="E2292" s="4" t="str">
        <f t="shared" si="197"/>
        <v>Huyện Tràng Định</v>
      </c>
      <c r="F2292" s="3" t="s">
        <v>3056</v>
      </c>
      <c r="G2292" s="4" t="str">
        <f>HYPERLINK("https://diaocthongthai.com/xa-doi-can-trang-dinh/","Xã Đội Cấn")</f>
        <v>Xã Đội Cấn</v>
      </c>
    </row>
    <row r="2293" spans="1:7" x14ac:dyDescent="0.25">
      <c r="A2293" s="2">
        <v>2292</v>
      </c>
      <c r="B2293" s="3" t="s">
        <v>15</v>
      </c>
      <c r="C2293" s="4" t="str">
        <f t="shared" si="195"/>
        <v>Lạng Sơn</v>
      </c>
      <c r="D2293" s="3" t="s">
        <v>200</v>
      </c>
      <c r="E2293" s="4" t="str">
        <f t="shared" si="197"/>
        <v>Huyện Tràng Định</v>
      </c>
      <c r="F2293" s="3" t="s">
        <v>3057</v>
      </c>
      <c r="G2293" s="4" t="str">
        <f>HYPERLINK("https://diaocthongthai.com/xa-tan-minh-trang-dinh/","Xã Tân Minh")</f>
        <v>Xã Tân Minh</v>
      </c>
    </row>
    <row r="2294" spans="1:7" x14ac:dyDescent="0.25">
      <c r="A2294" s="2">
        <v>2293</v>
      </c>
      <c r="B2294" s="3" t="s">
        <v>15</v>
      </c>
      <c r="C2294" s="4" t="str">
        <f t="shared" si="195"/>
        <v>Lạng Sơn</v>
      </c>
      <c r="D2294" s="3" t="s">
        <v>200</v>
      </c>
      <c r="E2294" s="4" t="str">
        <f t="shared" si="197"/>
        <v>Huyện Tràng Định</v>
      </c>
      <c r="F2294" s="3" t="s">
        <v>3058</v>
      </c>
      <c r="G2294" s="4" t="str">
        <f>HYPERLINK("https://diaocthongthai.com/xa-kim-dong-trang-dinh/","Xã Kim Đồng")</f>
        <v>Xã Kim Đồng</v>
      </c>
    </row>
    <row r="2295" spans="1:7" x14ac:dyDescent="0.25">
      <c r="A2295" s="2">
        <v>2294</v>
      </c>
      <c r="B2295" s="3" t="s">
        <v>15</v>
      </c>
      <c r="C2295" s="4" t="str">
        <f t="shared" si="195"/>
        <v>Lạng Sơn</v>
      </c>
      <c r="D2295" s="3" t="s">
        <v>200</v>
      </c>
      <c r="E2295" s="4" t="str">
        <f t="shared" si="197"/>
        <v>Huyện Tràng Định</v>
      </c>
      <c r="F2295" s="3" t="s">
        <v>3059</v>
      </c>
      <c r="G2295" s="4" t="str">
        <f>HYPERLINK("https://diaocthongthai.com/xa-chi-lang-trang-dinh/","Xã Chi Lăng")</f>
        <v>Xã Chi Lăng</v>
      </c>
    </row>
    <row r="2296" spans="1:7" x14ac:dyDescent="0.25">
      <c r="A2296" s="2">
        <v>2295</v>
      </c>
      <c r="B2296" s="3" t="s">
        <v>15</v>
      </c>
      <c r="C2296" s="4" t="str">
        <f t="shared" si="195"/>
        <v>Lạng Sơn</v>
      </c>
      <c r="D2296" s="3" t="s">
        <v>200</v>
      </c>
      <c r="E2296" s="4" t="str">
        <f t="shared" si="197"/>
        <v>Huyện Tràng Định</v>
      </c>
      <c r="F2296" s="3" t="s">
        <v>3060</v>
      </c>
      <c r="G2296" s="4" t="str">
        <f>HYPERLINK("https://diaocthongthai.com/xa-trung-thanh-trang-dinh/","Xã Trung Thành")</f>
        <v>Xã Trung Thành</v>
      </c>
    </row>
    <row r="2297" spans="1:7" x14ac:dyDescent="0.25">
      <c r="A2297" s="2">
        <v>2296</v>
      </c>
      <c r="B2297" s="3" t="s">
        <v>15</v>
      </c>
      <c r="C2297" s="4" t="str">
        <f t="shared" si="195"/>
        <v>Lạng Sơn</v>
      </c>
      <c r="D2297" s="3" t="s">
        <v>200</v>
      </c>
      <c r="E2297" s="4" t="str">
        <f t="shared" si="197"/>
        <v>Huyện Tràng Định</v>
      </c>
      <c r="F2297" s="3" t="s">
        <v>3061</v>
      </c>
      <c r="G2297" s="4" t="str">
        <f>HYPERLINK("https://diaocthongthai.com/xa-dai-dong-trang-dinh/","Xã Đại Đồng")</f>
        <v>Xã Đại Đồng</v>
      </c>
    </row>
    <row r="2298" spans="1:7" x14ac:dyDescent="0.25">
      <c r="A2298" s="2">
        <v>2297</v>
      </c>
      <c r="B2298" s="3" t="s">
        <v>15</v>
      </c>
      <c r="C2298" s="4" t="str">
        <f t="shared" si="195"/>
        <v>Lạng Sơn</v>
      </c>
      <c r="D2298" s="3" t="s">
        <v>200</v>
      </c>
      <c r="E2298" s="4" t="str">
        <f t="shared" si="197"/>
        <v>Huyện Tràng Định</v>
      </c>
      <c r="F2298" s="3" t="s">
        <v>3062</v>
      </c>
      <c r="G2298" s="4" t="str">
        <f>HYPERLINK("https://diaocthongthai.com/xa-dao-vien-trang-dinh/","Xã Đào Viên")</f>
        <v>Xã Đào Viên</v>
      </c>
    </row>
    <row r="2299" spans="1:7" x14ac:dyDescent="0.25">
      <c r="A2299" s="2">
        <v>2298</v>
      </c>
      <c r="B2299" s="3" t="s">
        <v>15</v>
      </c>
      <c r="C2299" s="4" t="str">
        <f t="shared" si="195"/>
        <v>Lạng Sơn</v>
      </c>
      <c r="D2299" s="3" t="s">
        <v>200</v>
      </c>
      <c r="E2299" s="4" t="str">
        <f t="shared" si="197"/>
        <v>Huyện Tràng Định</v>
      </c>
      <c r="F2299" s="3" t="s">
        <v>3063</v>
      </c>
      <c r="G2299" s="4" t="str">
        <f>HYPERLINK("https://diaocthongthai.com/xa-de-tham-trang-dinh/","Xã Đề Thám")</f>
        <v>Xã Đề Thám</v>
      </c>
    </row>
    <row r="2300" spans="1:7" x14ac:dyDescent="0.25">
      <c r="A2300" s="2">
        <v>2299</v>
      </c>
      <c r="B2300" s="3" t="s">
        <v>15</v>
      </c>
      <c r="C2300" s="4" t="str">
        <f t="shared" si="195"/>
        <v>Lạng Sơn</v>
      </c>
      <c r="D2300" s="3" t="s">
        <v>200</v>
      </c>
      <c r="E2300" s="4" t="str">
        <f t="shared" si="197"/>
        <v>Huyện Tràng Định</v>
      </c>
      <c r="F2300" s="3" t="s">
        <v>3064</v>
      </c>
      <c r="G2300" s="4" t="str">
        <f>HYPERLINK("https://diaocthongthai.com/xa-khang-chien-trang-dinh/","Xã Kháng Chiến")</f>
        <v>Xã Kháng Chiến</v>
      </c>
    </row>
    <row r="2301" spans="1:7" x14ac:dyDescent="0.25">
      <c r="A2301" s="2">
        <v>2300</v>
      </c>
      <c r="B2301" s="3" t="s">
        <v>15</v>
      </c>
      <c r="C2301" s="4" t="str">
        <f t="shared" si="195"/>
        <v>Lạng Sơn</v>
      </c>
      <c r="D2301" s="3" t="s">
        <v>200</v>
      </c>
      <c r="E2301" s="4" t="str">
        <f t="shared" si="197"/>
        <v>Huyện Tràng Định</v>
      </c>
      <c r="F2301" s="3" t="s">
        <v>3065</v>
      </c>
      <c r="G2301" s="4" t="str">
        <f>HYPERLINK("https://diaocthongthai.com/xa-hung-son-trang-dinh/","Xã Hùng Sơn")</f>
        <v>Xã Hùng Sơn</v>
      </c>
    </row>
    <row r="2302" spans="1:7" x14ac:dyDescent="0.25">
      <c r="A2302" s="2">
        <v>2301</v>
      </c>
      <c r="B2302" s="3" t="s">
        <v>15</v>
      </c>
      <c r="C2302" s="4" t="str">
        <f t="shared" si="195"/>
        <v>Lạng Sơn</v>
      </c>
      <c r="D2302" s="3" t="s">
        <v>200</v>
      </c>
      <c r="E2302" s="4" t="str">
        <f t="shared" si="197"/>
        <v>Huyện Tràng Định</v>
      </c>
      <c r="F2302" s="3" t="s">
        <v>3066</v>
      </c>
      <c r="G2302" s="4" t="str">
        <f>HYPERLINK("https://diaocthongthai.com/xa-quoc-viet-trang-dinh/","Xã Quốc Việt")</f>
        <v>Xã Quốc Việt</v>
      </c>
    </row>
    <row r="2303" spans="1:7" x14ac:dyDescent="0.25">
      <c r="A2303" s="2">
        <v>2302</v>
      </c>
      <c r="B2303" s="3" t="s">
        <v>15</v>
      </c>
      <c r="C2303" s="4" t="str">
        <f t="shared" si="195"/>
        <v>Lạng Sơn</v>
      </c>
      <c r="D2303" s="3" t="s">
        <v>200</v>
      </c>
      <c r="E2303" s="4" t="str">
        <f t="shared" si="197"/>
        <v>Huyện Tràng Định</v>
      </c>
      <c r="F2303" s="3" t="s">
        <v>3067</v>
      </c>
      <c r="G2303" s="4" t="str">
        <f>HYPERLINK("https://diaocthongthai.com/xa-hung-viet-trang-dinh/","Xã Hùng Việt")</f>
        <v>Xã Hùng Việt</v>
      </c>
    </row>
    <row r="2304" spans="1:7" x14ac:dyDescent="0.25">
      <c r="A2304" s="2">
        <v>2303</v>
      </c>
      <c r="B2304" s="3" t="s">
        <v>15</v>
      </c>
      <c r="C2304" s="4" t="str">
        <f t="shared" si="195"/>
        <v>Lạng Sơn</v>
      </c>
      <c r="D2304" s="3" t="s">
        <v>201</v>
      </c>
      <c r="E2304" s="4" t="str">
        <f t="shared" ref="E2304:E2322" si="198">HYPERLINK("https://diaocthongthai.com/ban-do-huyen-binh-gia-lang-son/","Huyện Bình Gia")</f>
        <v>Huyện Bình Gia</v>
      </c>
      <c r="F2304" s="3" t="s">
        <v>3068</v>
      </c>
      <c r="G2304" s="4" t="str">
        <f>HYPERLINK("https://diaocthongthai.com/xa-hung-dao-binh-gia/","Xã Hưng Đạo")</f>
        <v>Xã Hưng Đạo</v>
      </c>
    </row>
    <row r="2305" spans="1:7" x14ac:dyDescent="0.25">
      <c r="A2305" s="2">
        <v>2304</v>
      </c>
      <c r="B2305" s="3" t="s">
        <v>15</v>
      </c>
      <c r="C2305" s="4" t="str">
        <f t="shared" si="195"/>
        <v>Lạng Sơn</v>
      </c>
      <c r="D2305" s="3" t="s">
        <v>201</v>
      </c>
      <c r="E2305" s="4" t="str">
        <f t="shared" si="198"/>
        <v>Huyện Bình Gia</v>
      </c>
      <c r="F2305" s="3" t="s">
        <v>3069</v>
      </c>
      <c r="G2305" s="4" t="str">
        <f>HYPERLINK("https://diaocthongthai.com/xa-vinh-yen-binh-gia/","Xã Vĩnh Yên")</f>
        <v>Xã Vĩnh Yên</v>
      </c>
    </row>
    <row r="2306" spans="1:7" x14ac:dyDescent="0.25">
      <c r="A2306" s="2">
        <v>2305</v>
      </c>
      <c r="B2306" s="3" t="s">
        <v>15</v>
      </c>
      <c r="C2306" s="4" t="str">
        <f t="shared" ref="C2306:C2337" si="199">HYPERLINK("https://diaocthongthai.com/ban-do-lang-son/","Lạng Sơn")</f>
        <v>Lạng Sơn</v>
      </c>
      <c r="D2306" s="3" t="s">
        <v>201</v>
      </c>
      <c r="E2306" s="4" t="str">
        <f t="shared" si="198"/>
        <v>Huyện Bình Gia</v>
      </c>
      <c r="F2306" s="3" t="s">
        <v>3070</v>
      </c>
      <c r="G2306" s="4" t="str">
        <f>HYPERLINK("https://diaocthongthai.com/xa-hoa-tham-binh-gia/","Xã Hoa Thám")</f>
        <v>Xã Hoa Thám</v>
      </c>
    </row>
    <row r="2307" spans="1:7" x14ac:dyDescent="0.25">
      <c r="A2307" s="2">
        <v>2306</v>
      </c>
      <c r="B2307" s="3" t="s">
        <v>15</v>
      </c>
      <c r="C2307" s="4" t="str">
        <f t="shared" si="199"/>
        <v>Lạng Sơn</v>
      </c>
      <c r="D2307" s="3" t="s">
        <v>201</v>
      </c>
      <c r="E2307" s="4" t="str">
        <f t="shared" si="198"/>
        <v>Huyện Bình Gia</v>
      </c>
      <c r="F2307" s="3" t="s">
        <v>3071</v>
      </c>
      <c r="G2307" s="4" t="str">
        <f>HYPERLINK("https://diaocthongthai.com/xa-quy-hoa-binh-gia/","Xã Quý Hòa")</f>
        <v>Xã Quý Hòa</v>
      </c>
    </row>
    <row r="2308" spans="1:7" x14ac:dyDescent="0.25">
      <c r="A2308" s="2">
        <v>2307</v>
      </c>
      <c r="B2308" s="3" t="s">
        <v>15</v>
      </c>
      <c r="C2308" s="4" t="str">
        <f t="shared" si="199"/>
        <v>Lạng Sơn</v>
      </c>
      <c r="D2308" s="3" t="s">
        <v>201</v>
      </c>
      <c r="E2308" s="4" t="str">
        <f t="shared" si="198"/>
        <v>Huyện Bình Gia</v>
      </c>
      <c r="F2308" s="3" t="s">
        <v>3072</v>
      </c>
      <c r="G2308" s="4" t="str">
        <f>HYPERLINK("https://diaocthongthai.com/xa-hong-phong-binh-gia/","Xã Hồng Phong")</f>
        <v>Xã Hồng Phong</v>
      </c>
    </row>
    <row r="2309" spans="1:7" x14ac:dyDescent="0.25">
      <c r="A2309" s="2">
        <v>2308</v>
      </c>
      <c r="B2309" s="3" t="s">
        <v>15</v>
      </c>
      <c r="C2309" s="4" t="str">
        <f t="shared" si="199"/>
        <v>Lạng Sơn</v>
      </c>
      <c r="D2309" s="3" t="s">
        <v>201</v>
      </c>
      <c r="E2309" s="4" t="str">
        <f t="shared" si="198"/>
        <v>Huyện Bình Gia</v>
      </c>
      <c r="F2309" s="3" t="s">
        <v>3073</v>
      </c>
      <c r="G2309" s="4" t="str">
        <f>HYPERLINK("https://diaocthongthai.com/xa-yen-lo-binh-gia/","Xã Yên Lỗ")</f>
        <v>Xã Yên Lỗ</v>
      </c>
    </row>
    <row r="2310" spans="1:7" x14ac:dyDescent="0.25">
      <c r="A2310" s="2">
        <v>2309</v>
      </c>
      <c r="B2310" s="3" t="s">
        <v>15</v>
      </c>
      <c r="C2310" s="4" t="str">
        <f t="shared" si="199"/>
        <v>Lạng Sơn</v>
      </c>
      <c r="D2310" s="3" t="s">
        <v>201</v>
      </c>
      <c r="E2310" s="4" t="str">
        <f t="shared" si="198"/>
        <v>Huyện Bình Gia</v>
      </c>
      <c r="F2310" s="3" t="s">
        <v>3074</v>
      </c>
      <c r="G2310" s="4" t="str">
        <f>HYPERLINK("https://diaocthongthai.com/xa-thien-hoa-binh-gia/","Xã Thiện Hòa")</f>
        <v>Xã Thiện Hòa</v>
      </c>
    </row>
    <row r="2311" spans="1:7" x14ac:dyDescent="0.25">
      <c r="A2311" s="2">
        <v>2310</v>
      </c>
      <c r="B2311" s="3" t="s">
        <v>15</v>
      </c>
      <c r="C2311" s="4" t="str">
        <f t="shared" si="199"/>
        <v>Lạng Sơn</v>
      </c>
      <c r="D2311" s="3" t="s">
        <v>201</v>
      </c>
      <c r="E2311" s="4" t="str">
        <f t="shared" si="198"/>
        <v>Huyện Bình Gia</v>
      </c>
      <c r="F2311" s="3" t="s">
        <v>3075</v>
      </c>
      <c r="G2311" s="4" t="str">
        <f>HYPERLINK("https://diaocthongthai.com/xa-quang-trung-binh-gia/","Xã Quang Trung")</f>
        <v>Xã Quang Trung</v>
      </c>
    </row>
    <row r="2312" spans="1:7" x14ac:dyDescent="0.25">
      <c r="A2312" s="2">
        <v>2311</v>
      </c>
      <c r="B2312" s="3" t="s">
        <v>15</v>
      </c>
      <c r="C2312" s="4" t="str">
        <f t="shared" si="199"/>
        <v>Lạng Sơn</v>
      </c>
      <c r="D2312" s="3" t="s">
        <v>201</v>
      </c>
      <c r="E2312" s="4" t="str">
        <f t="shared" si="198"/>
        <v>Huyện Bình Gia</v>
      </c>
      <c r="F2312" s="3" t="s">
        <v>3076</v>
      </c>
      <c r="G2312" s="4" t="str">
        <f>HYPERLINK("https://diaocthongthai.com/xa-thien-thuat-binh-gia/","Xã Thiện Thuật")</f>
        <v>Xã Thiện Thuật</v>
      </c>
    </row>
    <row r="2313" spans="1:7" x14ac:dyDescent="0.25">
      <c r="A2313" s="2">
        <v>2312</v>
      </c>
      <c r="B2313" s="3" t="s">
        <v>15</v>
      </c>
      <c r="C2313" s="4" t="str">
        <f t="shared" si="199"/>
        <v>Lạng Sơn</v>
      </c>
      <c r="D2313" s="3" t="s">
        <v>201</v>
      </c>
      <c r="E2313" s="4" t="str">
        <f t="shared" si="198"/>
        <v>Huyện Bình Gia</v>
      </c>
      <c r="F2313" s="3" t="s">
        <v>3077</v>
      </c>
      <c r="G2313" s="4" t="str">
        <f>HYPERLINK("https://diaocthongthai.com/xa-minh-khai-binh-gia/","Xã Minh Khai")</f>
        <v>Xã Minh Khai</v>
      </c>
    </row>
    <row r="2314" spans="1:7" x14ac:dyDescent="0.25">
      <c r="A2314" s="2">
        <v>2313</v>
      </c>
      <c r="B2314" s="3" t="s">
        <v>15</v>
      </c>
      <c r="C2314" s="4" t="str">
        <f t="shared" si="199"/>
        <v>Lạng Sơn</v>
      </c>
      <c r="D2314" s="3" t="s">
        <v>201</v>
      </c>
      <c r="E2314" s="4" t="str">
        <f t="shared" si="198"/>
        <v>Huyện Bình Gia</v>
      </c>
      <c r="F2314" s="3" t="s">
        <v>3078</v>
      </c>
      <c r="G2314" s="4" t="str">
        <f>HYPERLINK("https://diaocthongthai.com/xa-thien-long-binh-gia/","Xã Thiện Long")</f>
        <v>Xã Thiện Long</v>
      </c>
    </row>
    <row r="2315" spans="1:7" x14ac:dyDescent="0.25">
      <c r="A2315" s="2">
        <v>2314</v>
      </c>
      <c r="B2315" s="3" t="s">
        <v>15</v>
      </c>
      <c r="C2315" s="4" t="str">
        <f t="shared" si="199"/>
        <v>Lạng Sơn</v>
      </c>
      <c r="D2315" s="3" t="s">
        <v>201</v>
      </c>
      <c r="E2315" s="4" t="str">
        <f t="shared" si="198"/>
        <v>Huyện Bình Gia</v>
      </c>
      <c r="F2315" s="3" t="s">
        <v>3079</v>
      </c>
      <c r="G2315" s="4" t="str">
        <f>HYPERLINK("https://diaocthongthai.com/xa-hoang-van-thu-binh-gia/","Xã Hoàng Văn Thụ")</f>
        <v>Xã Hoàng Văn Thụ</v>
      </c>
    </row>
    <row r="2316" spans="1:7" x14ac:dyDescent="0.25">
      <c r="A2316" s="2">
        <v>2315</v>
      </c>
      <c r="B2316" s="3" t="s">
        <v>15</v>
      </c>
      <c r="C2316" s="4" t="str">
        <f t="shared" si="199"/>
        <v>Lạng Sơn</v>
      </c>
      <c r="D2316" s="3" t="s">
        <v>201</v>
      </c>
      <c r="E2316" s="4" t="str">
        <f t="shared" si="198"/>
        <v>Huyện Bình Gia</v>
      </c>
      <c r="F2316" s="3" t="s">
        <v>3080</v>
      </c>
      <c r="G2316" s="4" t="str">
        <f>HYPERLINK("https://diaocthongthai.com/xa-hoa-binh-binh-gia/","Xã Hòa Bình")</f>
        <v>Xã Hòa Bình</v>
      </c>
    </row>
    <row r="2317" spans="1:7" x14ac:dyDescent="0.25">
      <c r="A2317" s="2">
        <v>2316</v>
      </c>
      <c r="B2317" s="3" t="s">
        <v>15</v>
      </c>
      <c r="C2317" s="4" t="str">
        <f t="shared" si="199"/>
        <v>Lạng Sơn</v>
      </c>
      <c r="D2317" s="3" t="s">
        <v>201</v>
      </c>
      <c r="E2317" s="4" t="str">
        <f t="shared" si="198"/>
        <v>Huyện Bình Gia</v>
      </c>
      <c r="F2317" s="3" t="s">
        <v>3081</v>
      </c>
      <c r="G2317" s="4" t="str">
        <f>HYPERLINK("https://diaocthongthai.com/xa-mong-an-binh-gia/","Xã Mông Ân")</f>
        <v>Xã Mông Ân</v>
      </c>
    </row>
    <row r="2318" spans="1:7" x14ac:dyDescent="0.25">
      <c r="A2318" s="2">
        <v>2317</v>
      </c>
      <c r="B2318" s="3" t="s">
        <v>15</v>
      </c>
      <c r="C2318" s="4" t="str">
        <f t="shared" si="199"/>
        <v>Lạng Sơn</v>
      </c>
      <c r="D2318" s="3" t="s">
        <v>201</v>
      </c>
      <c r="E2318" s="4" t="str">
        <f t="shared" si="198"/>
        <v>Huyện Bình Gia</v>
      </c>
      <c r="F2318" s="3" t="s">
        <v>3082</v>
      </c>
      <c r="G2318" s="4" t="str">
        <f>HYPERLINK("https://diaocthongthai.com/xa-tan-hoa-binh-gia/","Xã Tân Hòa")</f>
        <v>Xã Tân Hòa</v>
      </c>
    </row>
    <row r="2319" spans="1:7" x14ac:dyDescent="0.25">
      <c r="A2319" s="2">
        <v>2318</v>
      </c>
      <c r="B2319" s="3" t="s">
        <v>15</v>
      </c>
      <c r="C2319" s="4" t="str">
        <f t="shared" si="199"/>
        <v>Lạng Sơn</v>
      </c>
      <c r="D2319" s="3" t="s">
        <v>201</v>
      </c>
      <c r="E2319" s="4" t="str">
        <f t="shared" si="198"/>
        <v>Huyện Bình Gia</v>
      </c>
      <c r="F2319" s="3" t="s">
        <v>3083</v>
      </c>
      <c r="G2319" s="4" t="str">
        <f>HYPERLINK("https://diaocthongthai.com/thi-tran-binh-gia-binh-gia/","Thị trấn Bình Gia")</f>
        <v>Thị trấn Bình Gia</v>
      </c>
    </row>
    <row r="2320" spans="1:7" x14ac:dyDescent="0.25">
      <c r="A2320" s="2">
        <v>2319</v>
      </c>
      <c r="B2320" s="3" t="s">
        <v>15</v>
      </c>
      <c r="C2320" s="4" t="str">
        <f t="shared" si="199"/>
        <v>Lạng Sơn</v>
      </c>
      <c r="D2320" s="3" t="s">
        <v>201</v>
      </c>
      <c r="E2320" s="4" t="str">
        <f t="shared" si="198"/>
        <v>Huyện Bình Gia</v>
      </c>
      <c r="F2320" s="3" t="s">
        <v>3084</v>
      </c>
      <c r="G2320" s="4" t="str">
        <f>HYPERLINK("https://diaocthongthai.com/xa-hong-thai-binh-gia/","Xã Hồng Thái")</f>
        <v>Xã Hồng Thái</v>
      </c>
    </row>
    <row r="2321" spans="1:7" x14ac:dyDescent="0.25">
      <c r="A2321" s="2">
        <v>2320</v>
      </c>
      <c r="B2321" s="3" t="s">
        <v>15</v>
      </c>
      <c r="C2321" s="4" t="str">
        <f t="shared" si="199"/>
        <v>Lạng Sơn</v>
      </c>
      <c r="D2321" s="3" t="s">
        <v>201</v>
      </c>
      <c r="E2321" s="4" t="str">
        <f t="shared" si="198"/>
        <v>Huyện Bình Gia</v>
      </c>
      <c r="F2321" s="3" t="s">
        <v>3085</v>
      </c>
      <c r="G2321" s="4" t="str">
        <f>HYPERLINK("https://diaocthongthai.com/xa-binh-la-binh-gia/","Xã Bình La")</f>
        <v>Xã Bình La</v>
      </c>
    </row>
    <row r="2322" spans="1:7" x14ac:dyDescent="0.25">
      <c r="A2322" s="2">
        <v>2321</v>
      </c>
      <c r="B2322" s="3" t="s">
        <v>15</v>
      </c>
      <c r="C2322" s="4" t="str">
        <f t="shared" si="199"/>
        <v>Lạng Sơn</v>
      </c>
      <c r="D2322" s="3" t="s">
        <v>201</v>
      </c>
      <c r="E2322" s="4" t="str">
        <f t="shared" si="198"/>
        <v>Huyện Bình Gia</v>
      </c>
      <c r="F2322" s="3" t="s">
        <v>3086</v>
      </c>
      <c r="G2322" s="4" t="str">
        <f>HYPERLINK("https://diaocthongthai.com/xa-tan-van-binh-gia/","Xã Tân Văn")</f>
        <v>Xã Tân Văn</v>
      </c>
    </row>
    <row r="2323" spans="1:7" x14ac:dyDescent="0.25">
      <c r="A2323" s="2">
        <v>2322</v>
      </c>
      <c r="B2323" s="3" t="s">
        <v>15</v>
      </c>
      <c r="C2323" s="4" t="str">
        <f t="shared" si="199"/>
        <v>Lạng Sơn</v>
      </c>
      <c r="D2323" s="3" t="s">
        <v>202</v>
      </c>
      <c r="E2323" s="4" t="str">
        <f t="shared" ref="E2323:E2339" si="200">HYPERLINK("https://diaocthongthai.com/ban-do-huyen-van-lang-lang-son/","Huyện Văn Lãng")</f>
        <v>Huyện Văn Lãng</v>
      </c>
      <c r="F2323" s="3" t="s">
        <v>3087</v>
      </c>
      <c r="G2323" s="4" t="str">
        <f>HYPERLINK("https://diaocthongthai.com/thi-tran-na-sam-van-lang/","Thị trấn Na Sầm")</f>
        <v>Thị trấn Na Sầm</v>
      </c>
    </row>
    <row r="2324" spans="1:7" x14ac:dyDescent="0.25">
      <c r="A2324" s="2">
        <v>2323</v>
      </c>
      <c r="B2324" s="3" t="s">
        <v>15</v>
      </c>
      <c r="C2324" s="4" t="str">
        <f t="shared" si="199"/>
        <v>Lạng Sơn</v>
      </c>
      <c r="D2324" s="3" t="s">
        <v>202</v>
      </c>
      <c r="E2324" s="4" t="str">
        <f t="shared" si="200"/>
        <v>Huyện Văn Lãng</v>
      </c>
      <c r="F2324" s="3" t="s">
        <v>3088</v>
      </c>
      <c r="G2324" s="4" t="str">
        <f>HYPERLINK("https://diaocthongthai.com/xa-trung-khanh-van-lang/","Xã Trùng Khánh")</f>
        <v>Xã Trùng Khánh</v>
      </c>
    </row>
    <row r="2325" spans="1:7" x14ac:dyDescent="0.25">
      <c r="A2325" s="2">
        <v>2324</v>
      </c>
      <c r="B2325" s="3" t="s">
        <v>15</v>
      </c>
      <c r="C2325" s="4" t="str">
        <f t="shared" si="199"/>
        <v>Lạng Sơn</v>
      </c>
      <c r="D2325" s="3" t="s">
        <v>202</v>
      </c>
      <c r="E2325" s="4" t="str">
        <f t="shared" si="200"/>
        <v>Huyện Văn Lãng</v>
      </c>
      <c r="F2325" s="3" t="s">
        <v>3089</v>
      </c>
      <c r="G2325" s="4" t="str">
        <f>HYPERLINK("https://diaocthongthai.com/xa-bac-la-van-lang/","Xã Bắc La")</f>
        <v>Xã Bắc La</v>
      </c>
    </row>
    <row r="2326" spans="1:7" x14ac:dyDescent="0.25">
      <c r="A2326" s="2">
        <v>2325</v>
      </c>
      <c r="B2326" s="3" t="s">
        <v>15</v>
      </c>
      <c r="C2326" s="4" t="str">
        <f t="shared" si="199"/>
        <v>Lạng Sơn</v>
      </c>
      <c r="D2326" s="3" t="s">
        <v>202</v>
      </c>
      <c r="E2326" s="4" t="str">
        <f t="shared" si="200"/>
        <v>Huyện Văn Lãng</v>
      </c>
      <c r="F2326" s="3" t="s">
        <v>3090</v>
      </c>
      <c r="G2326" s="4" t="str">
        <f>HYPERLINK("https://diaocthongthai.com/xa-thuy-hung-van-lang/","Xã Thụy Hùng")</f>
        <v>Xã Thụy Hùng</v>
      </c>
    </row>
    <row r="2327" spans="1:7" x14ac:dyDescent="0.25">
      <c r="A2327" s="2">
        <v>2326</v>
      </c>
      <c r="B2327" s="3" t="s">
        <v>15</v>
      </c>
      <c r="C2327" s="4" t="str">
        <f t="shared" si="199"/>
        <v>Lạng Sơn</v>
      </c>
      <c r="D2327" s="3" t="s">
        <v>202</v>
      </c>
      <c r="E2327" s="4" t="str">
        <f t="shared" si="200"/>
        <v>Huyện Văn Lãng</v>
      </c>
      <c r="F2327" s="3" t="s">
        <v>3091</v>
      </c>
      <c r="G2327" s="4" t="str">
        <f>HYPERLINK("https://diaocthongthai.com/xa-bac-hung-van-lang/","Xã Bắc Hùng")</f>
        <v>Xã Bắc Hùng</v>
      </c>
    </row>
    <row r="2328" spans="1:7" x14ac:dyDescent="0.25">
      <c r="A2328" s="2">
        <v>2327</v>
      </c>
      <c r="B2328" s="3" t="s">
        <v>15</v>
      </c>
      <c r="C2328" s="4" t="str">
        <f t="shared" si="199"/>
        <v>Lạng Sơn</v>
      </c>
      <c r="D2328" s="3" t="s">
        <v>202</v>
      </c>
      <c r="E2328" s="4" t="str">
        <f t="shared" si="200"/>
        <v>Huyện Văn Lãng</v>
      </c>
      <c r="F2328" s="3" t="s">
        <v>3092</v>
      </c>
      <c r="G2328" s="4" t="str">
        <f>HYPERLINK("https://diaocthongthai.com/xa-tan-tac-van-lang/","Xã Tân Tác")</f>
        <v>Xã Tân Tác</v>
      </c>
    </row>
    <row r="2329" spans="1:7" x14ac:dyDescent="0.25">
      <c r="A2329" s="2">
        <v>2328</v>
      </c>
      <c r="B2329" s="3" t="s">
        <v>15</v>
      </c>
      <c r="C2329" s="4" t="str">
        <f t="shared" si="199"/>
        <v>Lạng Sơn</v>
      </c>
      <c r="D2329" s="3" t="s">
        <v>202</v>
      </c>
      <c r="E2329" s="4" t="str">
        <f t="shared" si="200"/>
        <v>Huyện Văn Lãng</v>
      </c>
      <c r="F2329" s="3" t="s">
        <v>3093</v>
      </c>
      <c r="G2329" s="4" t="str">
        <f>HYPERLINK("https://diaocthongthai.com/xa-thanh-long-van-lang/","Xã Thanh Long")</f>
        <v>Xã Thanh Long</v>
      </c>
    </row>
    <row r="2330" spans="1:7" x14ac:dyDescent="0.25">
      <c r="A2330" s="2">
        <v>2329</v>
      </c>
      <c r="B2330" s="3" t="s">
        <v>15</v>
      </c>
      <c r="C2330" s="4" t="str">
        <f t="shared" si="199"/>
        <v>Lạng Sơn</v>
      </c>
      <c r="D2330" s="3" t="s">
        <v>202</v>
      </c>
      <c r="E2330" s="4" t="str">
        <f t="shared" si="200"/>
        <v>Huyện Văn Lãng</v>
      </c>
      <c r="F2330" s="3" t="s">
        <v>3094</v>
      </c>
      <c r="G2330" s="4" t="str">
        <f>HYPERLINK("https://diaocthongthai.com/xa-hoi-hoan-van-lang/","Xã Hội Hoan")</f>
        <v>Xã Hội Hoan</v>
      </c>
    </row>
    <row r="2331" spans="1:7" x14ac:dyDescent="0.25">
      <c r="A2331" s="2">
        <v>2330</v>
      </c>
      <c r="B2331" s="3" t="s">
        <v>15</v>
      </c>
      <c r="C2331" s="4" t="str">
        <f t="shared" si="199"/>
        <v>Lạng Sơn</v>
      </c>
      <c r="D2331" s="3" t="s">
        <v>202</v>
      </c>
      <c r="E2331" s="4" t="str">
        <f t="shared" si="200"/>
        <v>Huyện Văn Lãng</v>
      </c>
      <c r="F2331" s="3" t="s">
        <v>3095</v>
      </c>
      <c r="G2331" s="4" t="str">
        <f>HYPERLINK("https://diaocthongthai.com/xa-bac-viet-van-lang/","Xã Bắc Việt")</f>
        <v>Xã Bắc Việt</v>
      </c>
    </row>
    <row r="2332" spans="1:7" x14ac:dyDescent="0.25">
      <c r="A2332" s="2">
        <v>2331</v>
      </c>
      <c r="B2332" s="3" t="s">
        <v>15</v>
      </c>
      <c r="C2332" s="4" t="str">
        <f t="shared" si="199"/>
        <v>Lạng Sơn</v>
      </c>
      <c r="D2332" s="3" t="s">
        <v>202</v>
      </c>
      <c r="E2332" s="4" t="str">
        <f t="shared" si="200"/>
        <v>Huyện Văn Lãng</v>
      </c>
      <c r="F2332" s="3" t="s">
        <v>3096</v>
      </c>
      <c r="G2332" s="4" t="str">
        <f>HYPERLINK("https://diaocthongthai.com/xa-hoang-viet-van-lang/","Xã Hoàng Việt")</f>
        <v>Xã Hoàng Việt</v>
      </c>
    </row>
    <row r="2333" spans="1:7" x14ac:dyDescent="0.25">
      <c r="A2333" s="2">
        <v>2332</v>
      </c>
      <c r="B2333" s="3" t="s">
        <v>15</v>
      </c>
      <c r="C2333" s="4" t="str">
        <f t="shared" si="199"/>
        <v>Lạng Sơn</v>
      </c>
      <c r="D2333" s="3" t="s">
        <v>202</v>
      </c>
      <c r="E2333" s="4" t="str">
        <f t="shared" si="200"/>
        <v>Huyện Văn Lãng</v>
      </c>
      <c r="F2333" s="3" t="s">
        <v>3097</v>
      </c>
      <c r="G2333" s="4" t="str">
        <f>HYPERLINK("https://diaocthongthai.com/xa-gia-mien-van-lang/","Xã Gia Miễn")</f>
        <v>Xã Gia Miễn</v>
      </c>
    </row>
    <row r="2334" spans="1:7" x14ac:dyDescent="0.25">
      <c r="A2334" s="2">
        <v>2333</v>
      </c>
      <c r="B2334" s="3" t="s">
        <v>15</v>
      </c>
      <c r="C2334" s="4" t="str">
        <f t="shared" si="199"/>
        <v>Lạng Sơn</v>
      </c>
      <c r="D2334" s="3" t="s">
        <v>202</v>
      </c>
      <c r="E2334" s="4" t="str">
        <f t="shared" si="200"/>
        <v>Huyện Văn Lãng</v>
      </c>
      <c r="F2334" s="3" t="s">
        <v>3098</v>
      </c>
      <c r="G2334" s="4" t="str">
        <f>HYPERLINK("https://diaocthongthai.com/xa-thanh-hoa-van-lang/","Xã Thành Hòa")</f>
        <v>Xã Thành Hòa</v>
      </c>
    </row>
    <row r="2335" spans="1:7" x14ac:dyDescent="0.25">
      <c r="A2335" s="2">
        <v>2334</v>
      </c>
      <c r="B2335" s="3" t="s">
        <v>15</v>
      </c>
      <c r="C2335" s="4" t="str">
        <f t="shared" si="199"/>
        <v>Lạng Sơn</v>
      </c>
      <c r="D2335" s="3" t="s">
        <v>202</v>
      </c>
      <c r="E2335" s="4" t="str">
        <f t="shared" si="200"/>
        <v>Huyện Văn Lãng</v>
      </c>
      <c r="F2335" s="3" t="s">
        <v>3099</v>
      </c>
      <c r="G2335" s="4" t="str">
        <f>HYPERLINK("https://diaocthongthai.com/xa-tan-thanh-van-lang/","Xã Tân Thanh")</f>
        <v>Xã Tân Thanh</v>
      </c>
    </row>
    <row r="2336" spans="1:7" x14ac:dyDescent="0.25">
      <c r="A2336" s="2">
        <v>2335</v>
      </c>
      <c r="B2336" s="3" t="s">
        <v>15</v>
      </c>
      <c r="C2336" s="4" t="str">
        <f t="shared" si="199"/>
        <v>Lạng Sơn</v>
      </c>
      <c r="D2336" s="3" t="s">
        <v>202</v>
      </c>
      <c r="E2336" s="4" t="str">
        <f t="shared" si="200"/>
        <v>Huyện Văn Lãng</v>
      </c>
      <c r="F2336" s="3" t="s">
        <v>3100</v>
      </c>
      <c r="G2336" s="4" t="str">
        <f>HYPERLINK("https://diaocthongthai.com/xa-tan-my-van-lang/","Xã Tân Mỹ")</f>
        <v>Xã Tân Mỹ</v>
      </c>
    </row>
    <row r="2337" spans="1:7" x14ac:dyDescent="0.25">
      <c r="A2337" s="2">
        <v>2336</v>
      </c>
      <c r="B2337" s="3" t="s">
        <v>15</v>
      </c>
      <c r="C2337" s="4" t="str">
        <f t="shared" si="199"/>
        <v>Lạng Sơn</v>
      </c>
      <c r="D2337" s="3" t="s">
        <v>202</v>
      </c>
      <c r="E2337" s="4" t="str">
        <f t="shared" si="200"/>
        <v>Huyện Văn Lãng</v>
      </c>
      <c r="F2337" s="3" t="s">
        <v>3101</v>
      </c>
      <c r="G2337" s="4" t="str">
        <f>HYPERLINK("https://diaocthongthai.com/xa-hong-thai-van-lang/","Xã Hồng Thái")</f>
        <v>Xã Hồng Thái</v>
      </c>
    </row>
    <row r="2338" spans="1:7" x14ac:dyDescent="0.25">
      <c r="A2338" s="2">
        <v>2337</v>
      </c>
      <c r="B2338" s="3" t="s">
        <v>15</v>
      </c>
      <c r="C2338" s="4" t="str">
        <f t="shared" ref="C2338:C2369" si="201">HYPERLINK("https://diaocthongthai.com/ban-do-lang-son/","Lạng Sơn")</f>
        <v>Lạng Sơn</v>
      </c>
      <c r="D2338" s="3" t="s">
        <v>202</v>
      </c>
      <c r="E2338" s="4" t="str">
        <f t="shared" si="200"/>
        <v>Huyện Văn Lãng</v>
      </c>
      <c r="F2338" s="3" t="s">
        <v>3102</v>
      </c>
      <c r="G2338" s="4" t="str">
        <f>HYPERLINK("https://diaocthongthai.com/xa-hoang-van-thu-van-lang/","Xã  Hoàng Văn Thụ")</f>
        <v>Xã  Hoàng Văn Thụ</v>
      </c>
    </row>
    <row r="2339" spans="1:7" x14ac:dyDescent="0.25">
      <c r="A2339" s="2">
        <v>2338</v>
      </c>
      <c r="B2339" s="3" t="s">
        <v>15</v>
      </c>
      <c r="C2339" s="4" t="str">
        <f t="shared" si="201"/>
        <v>Lạng Sơn</v>
      </c>
      <c r="D2339" s="3" t="s">
        <v>202</v>
      </c>
      <c r="E2339" s="4" t="str">
        <f t="shared" si="200"/>
        <v>Huyện Văn Lãng</v>
      </c>
      <c r="F2339" s="3" t="s">
        <v>3103</v>
      </c>
      <c r="G2339" s="4" t="str">
        <f>HYPERLINK("https://diaocthongthai.com/xa-nhac-ky-van-lang/","Xã Nhạc Kỳ")</f>
        <v>Xã Nhạc Kỳ</v>
      </c>
    </row>
    <row r="2340" spans="1:7" x14ac:dyDescent="0.25">
      <c r="A2340" s="2">
        <v>2339</v>
      </c>
      <c r="B2340" s="3" t="s">
        <v>15</v>
      </c>
      <c r="C2340" s="4" t="str">
        <f t="shared" si="201"/>
        <v>Lạng Sơn</v>
      </c>
      <c r="D2340" s="3" t="s">
        <v>203</v>
      </c>
      <c r="E2340" s="4" t="str">
        <f t="shared" ref="E2340:E2361" si="202">HYPERLINK("https://diaocthongthai.com/ban-do-huyen-cao-loc-lang-son/","Huyện Cao Lộc")</f>
        <v>Huyện Cao Lộc</v>
      </c>
      <c r="F2340" s="3" t="s">
        <v>3104</v>
      </c>
      <c r="G2340" s="4" t="str">
        <f>HYPERLINK("https://diaocthongthai.com/thi-tran-dong-dang-cao-loc/","Thị trấn Đồng Đăng")</f>
        <v>Thị trấn Đồng Đăng</v>
      </c>
    </row>
    <row r="2341" spans="1:7" x14ac:dyDescent="0.25">
      <c r="A2341" s="2">
        <v>2340</v>
      </c>
      <c r="B2341" s="3" t="s">
        <v>15</v>
      </c>
      <c r="C2341" s="4" t="str">
        <f t="shared" si="201"/>
        <v>Lạng Sơn</v>
      </c>
      <c r="D2341" s="3" t="s">
        <v>203</v>
      </c>
      <c r="E2341" s="4" t="str">
        <f t="shared" si="202"/>
        <v>Huyện Cao Lộc</v>
      </c>
      <c r="F2341" s="3" t="s">
        <v>3105</v>
      </c>
      <c r="G2341" s="4" t="str">
        <f>HYPERLINK("https://diaocthongthai.com/thi-tran-cao-loc-cao-loc/","Thị trấn Cao Lộc")</f>
        <v>Thị trấn Cao Lộc</v>
      </c>
    </row>
    <row r="2342" spans="1:7" x14ac:dyDescent="0.25">
      <c r="A2342" s="2">
        <v>2341</v>
      </c>
      <c r="B2342" s="3" t="s">
        <v>15</v>
      </c>
      <c r="C2342" s="4" t="str">
        <f t="shared" si="201"/>
        <v>Lạng Sơn</v>
      </c>
      <c r="D2342" s="3" t="s">
        <v>203</v>
      </c>
      <c r="E2342" s="4" t="str">
        <f t="shared" si="202"/>
        <v>Huyện Cao Lộc</v>
      </c>
      <c r="F2342" s="3" t="s">
        <v>3106</v>
      </c>
      <c r="G2342" s="4" t="str">
        <f>HYPERLINK("https://diaocthongthai.com/xa-bao-lam-cao-loc/","Xã Bảo Lâm")</f>
        <v>Xã Bảo Lâm</v>
      </c>
    </row>
    <row r="2343" spans="1:7" x14ac:dyDescent="0.25">
      <c r="A2343" s="2">
        <v>2342</v>
      </c>
      <c r="B2343" s="3" t="s">
        <v>15</v>
      </c>
      <c r="C2343" s="4" t="str">
        <f t="shared" si="201"/>
        <v>Lạng Sơn</v>
      </c>
      <c r="D2343" s="3" t="s">
        <v>203</v>
      </c>
      <c r="E2343" s="4" t="str">
        <f t="shared" si="202"/>
        <v>Huyện Cao Lộc</v>
      </c>
      <c r="F2343" s="3" t="s">
        <v>3107</v>
      </c>
      <c r="G2343" s="4" t="str">
        <f>HYPERLINK("https://diaocthongthai.com/xa-thanh-loa-cao-loc/","Xã Thanh Lòa")</f>
        <v>Xã Thanh Lòa</v>
      </c>
    </row>
    <row r="2344" spans="1:7" x14ac:dyDescent="0.25">
      <c r="A2344" s="2">
        <v>2343</v>
      </c>
      <c r="B2344" s="3" t="s">
        <v>15</v>
      </c>
      <c r="C2344" s="4" t="str">
        <f t="shared" si="201"/>
        <v>Lạng Sơn</v>
      </c>
      <c r="D2344" s="3" t="s">
        <v>203</v>
      </c>
      <c r="E2344" s="4" t="str">
        <f t="shared" si="202"/>
        <v>Huyện Cao Lộc</v>
      </c>
      <c r="F2344" s="3" t="s">
        <v>3108</v>
      </c>
      <c r="G2344" s="4" t="str">
        <f>HYPERLINK("https://diaocthongthai.com/xa-cao-lau-cao-loc/","Xã Cao Lâu")</f>
        <v>Xã Cao Lâu</v>
      </c>
    </row>
    <row r="2345" spans="1:7" x14ac:dyDescent="0.25">
      <c r="A2345" s="2">
        <v>2344</v>
      </c>
      <c r="B2345" s="3" t="s">
        <v>15</v>
      </c>
      <c r="C2345" s="4" t="str">
        <f t="shared" si="201"/>
        <v>Lạng Sơn</v>
      </c>
      <c r="D2345" s="3" t="s">
        <v>203</v>
      </c>
      <c r="E2345" s="4" t="str">
        <f t="shared" si="202"/>
        <v>Huyện Cao Lộc</v>
      </c>
      <c r="F2345" s="3" t="s">
        <v>3109</v>
      </c>
      <c r="G2345" s="4" t="str">
        <f>HYPERLINK("https://diaocthongthai.com/xa-thach-dan-cao-loc/","Xã Thạch Đạn")</f>
        <v>Xã Thạch Đạn</v>
      </c>
    </row>
    <row r="2346" spans="1:7" x14ac:dyDescent="0.25">
      <c r="A2346" s="2">
        <v>2345</v>
      </c>
      <c r="B2346" s="3" t="s">
        <v>15</v>
      </c>
      <c r="C2346" s="4" t="str">
        <f t="shared" si="201"/>
        <v>Lạng Sơn</v>
      </c>
      <c r="D2346" s="3" t="s">
        <v>203</v>
      </c>
      <c r="E2346" s="4" t="str">
        <f t="shared" si="202"/>
        <v>Huyện Cao Lộc</v>
      </c>
      <c r="F2346" s="3" t="s">
        <v>3110</v>
      </c>
      <c r="G2346" s="4" t="str">
        <f>HYPERLINK("https://diaocthongthai.com/xa-xuat-le-cao-loc/","Xã Xuất Lễ")</f>
        <v>Xã Xuất Lễ</v>
      </c>
    </row>
    <row r="2347" spans="1:7" x14ac:dyDescent="0.25">
      <c r="A2347" s="2">
        <v>2346</v>
      </c>
      <c r="B2347" s="3" t="s">
        <v>15</v>
      </c>
      <c r="C2347" s="4" t="str">
        <f t="shared" si="201"/>
        <v>Lạng Sơn</v>
      </c>
      <c r="D2347" s="3" t="s">
        <v>203</v>
      </c>
      <c r="E2347" s="4" t="str">
        <f t="shared" si="202"/>
        <v>Huyện Cao Lộc</v>
      </c>
      <c r="F2347" s="3" t="s">
        <v>3111</v>
      </c>
      <c r="G2347" s="4" t="str">
        <f>HYPERLINK("https://diaocthongthai.com/xa-hong-phong-cao-loc/","Xã Hồng Phong")</f>
        <v>Xã Hồng Phong</v>
      </c>
    </row>
    <row r="2348" spans="1:7" x14ac:dyDescent="0.25">
      <c r="A2348" s="2">
        <v>2347</v>
      </c>
      <c r="B2348" s="3" t="s">
        <v>15</v>
      </c>
      <c r="C2348" s="4" t="str">
        <f t="shared" si="201"/>
        <v>Lạng Sơn</v>
      </c>
      <c r="D2348" s="3" t="s">
        <v>203</v>
      </c>
      <c r="E2348" s="4" t="str">
        <f t="shared" si="202"/>
        <v>Huyện Cao Lộc</v>
      </c>
      <c r="F2348" s="3" t="s">
        <v>3112</v>
      </c>
      <c r="G2348" s="4" t="str">
        <f>HYPERLINK("https://diaocthongthai.com/xa-thuy-hung-cao-loc/","Xã Thụy Hùng")</f>
        <v>Xã Thụy Hùng</v>
      </c>
    </row>
    <row r="2349" spans="1:7" x14ac:dyDescent="0.25">
      <c r="A2349" s="2">
        <v>2348</v>
      </c>
      <c r="B2349" s="3" t="s">
        <v>15</v>
      </c>
      <c r="C2349" s="4" t="str">
        <f t="shared" si="201"/>
        <v>Lạng Sơn</v>
      </c>
      <c r="D2349" s="3" t="s">
        <v>203</v>
      </c>
      <c r="E2349" s="4" t="str">
        <f t="shared" si="202"/>
        <v>Huyện Cao Lộc</v>
      </c>
      <c r="F2349" s="3" t="s">
        <v>3113</v>
      </c>
      <c r="G2349" s="4" t="str">
        <f>HYPERLINK("https://diaocthongthai.com/xa-loc-yen-cao-loc/","Xã Lộc Yên")</f>
        <v>Xã Lộc Yên</v>
      </c>
    </row>
    <row r="2350" spans="1:7" x14ac:dyDescent="0.25">
      <c r="A2350" s="2">
        <v>2349</v>
      </c>
      <c r="B2350" s="3" t="s">
        <v>15</v>
      </c>
      <c r="C2350" s="4" t="str">
        <f t="shared" si="201"/>
        <v>Lạng Sơn</v>
      </c>
      <c r="D2350" s="3" t="s">
        <v>203</v>
      </c>
      <c r="E2350" s="4" t="str">
        <f t="shared" si="202"/>
        <v>Huyện Cao Lộc</v>
      </c>
      <c r="F2350" s="3" t="s">
        <v>3114</v>
      </c>
      <c r="G2350" s="4" t="str">
        <f>HYPERLINK("https://diaocthongthai.com/xa-phu-xa-cao-loc/","Xã Phú Xá")</f>
        <v>Xã Phú Xá</v>
      </c>
    </row>
    <row r="2351" spans="1:7" x14ac:dyDescent="0.25">
      <c r="A2351" s="2">
        <v>2350</v>
      </c>
      <c r="B2351" s="3" t="s">
        <v>15</v>
      </c>
      <c r="C2351" s="4" t="str">
        <f t="shared" si="201"/>
        <v>Lạng Sơn</v>
      </c>
      <c r="D2351" s="3" t="s">
        <v>203</v>
      </c>
      <c r="E2351" s="4" t="str">
        <f t="shared" si="202"/>
        <v>Huyện Cao Lộc</v>
      </c>
      <c r="F2351" s="3" t="s">
        <v>3115</v>
      </c>
      <c r="G2351" s="4" t="str">
        <f>HYPERLINK("https://diaocthongthai.com/xa-binh-trung-cao-loc/","Xã Bình Trung")</f>
        <v>Xã Bình Trung</v>
      </c>
    </row>
    <row r="2352" spans="1:7" x14ac:dyDescent="0.25">
      <c r="A2352" s="2">
        <v>2351</v>
      </c>
      <c r="B2352" s="3" t="s">
        <v>15</v>
      </c>
      <c r="C2352" s="4" t="str">
        <f t="shared" si="201"/>
        <v>Lạng Sơn</v>
      </c>
      <c r="D2352" s="3" t="s">
        <v>203</v>
      </c>
      <c r="E2352" s="4" t="str">
        <f t="shared" si="202"/>
        <v>Huyện Cao Lộc</v>
      </c>
      <c r="F2352" s="3" t="s">
        <v>3116</v>
      </c>
      <c r="G2352" s="4" t="str">
        <f>HYPERLINK("https://diaocthongthai.com/xa-hai-yen-cao-loc/","Xã Hải Yến")</f>
        <v>Xã Hải Yến</v>
      </c>
    </row>
    <row r="2353" spans="1:7" x14ac:dyDescent="0.25">
      <c r="A2353" s="2">
        <v>2352</v>
      </c>
      <c r="B2353" s="3" t="s">
        <v>15</v>
      </c>
      <c r="C2353" s="4" t="str">
        <f t="shared" si="201"/>
        <v>Lạng Sơn</v>
      </c>
      <c r="D2353" s="3" t="s">
        <v>203</v>
      </c>
      <c r="E2353" s="4" t="str">
        <f t="shared" si="202"/>
        <v>Huyện Cao Lộc</v>
      </c>
      <c r="F2353" s="3" t="s">
        <v>3117</v>
      </c>
      <c r="G2353" s="4" t="str">
        <f>HYPERLINK("https://diaocthongthai.com/xa-hoa-cu-cao-loc/","Xã Hòa Cư")</f>
        <v>Xã Hòa Cư</v>
      </c>
    </row>
    <row r="2354" spans="1:7" x14ac:dyDescent="0.25">
      <c r="A2354" s="2">
        <v>2353</v>
      </c>
      <c r="B2354" s="3" t="s">
        <v>15</v>
      </c>
      <c r="C2354" s="4" t="str">
        <f t="shared" si="201"/>
        <v>Lạng Sơn</v>
      </c>
      <c r="D2354" s="3" t="s">
        <v>203</v>
      </c>
      <c r="E2354" s="4" t="str">
        <f t="shared" si="202"/>
        <v>Huyện Cao Lộc</v>
      </c>
      <c r="F2354" s="3" t="s">
        <v>3118</v>
      </c>
      <c r="G2354" s="4" t="str">
        <f>HYPERLINK("https://diaocthongthai.com/xa-hop-thanh-cao-loc/","Xã Hợp Thành")</f>
        <v>Xã Hợp Thành</v>
      </c>
    </row>
    <row r="2355" spans="1:7" x14ac:dyDescent="0.25">
      <c r="A2355" s="2">
        <v>2354</v>
      </c>
      <c r="B2355" s="3" t="s">
        <v>15</v>
      </c>
      <c r="C2355" s="4" t="str">
        <f t="shared" si="201"/>
        <v>Lạng Sơn</v>
      </c>
      <c r="D2355" s="3" t="s">
        <v>203</v>
      </c>
      <c r="E2355" s="4" t="str">
        <f t="shared" si="202"/>
        <v>Huyện Cao Lộc</v>
      </c>
      <c r="F2355" s="3" t="s">
        <v>3119</v>
      </c>
      <c r="G2355" s="4" t="str">
        <f>HYPERLINK("https://diaocthongthai.com/xa-cong-son-cao-loc/","Xã Công Sơn")</f>
        <v>Xã Công Sơn</v>
      </c>
    </row>
    <row r="2356" spans="1:7" x14ac:dyDescent="0.25">
      <c r="A2356" s="2">
        <v>2355</v>
      </c>
      <c r="B2356" s="3" t="s">
        <v>15</v>
      </c>
      <c r="C2356" s="4" t="str">
        <f t="shared" si="201"/>
        <v>Lạng Sơn</v>
      </c>
      <c r="D2356" s="3" t="s">
        <v>203</v>
      </c>
      <c r="E2356" s="4" t="str">
        <f t="shared" si="202"/>
        <v>Huyện Cao Lộc</v>
      </c>
      <c r="F2356" s="3" t="s">
        <v>3120</v>
      </c>
      <c r="G2356" s="4" t="str">
        <f>HYPERLINK("https://diaocthongthai.com/xa-gia-cat-cao-loc/","Xã Gia Cát")</f>
        <v>Xã Gia Cát</v>
      </c>
    </row>
    <row r="2357" spans="1:7" x14ac:dyDescent="0.25">
      <c r="A2357" s="2">
        <v>2356</v>
      </c>
      <c r="B2357" s="3" t="s">
        <v>15</v>
      </c>
      <c r="C2357" s="4" t="str">
        <f t="shared" si="201"/>
        <v>Lạng Sơn</v>
      </c>
      <c r="D2357" s="3" t="s">
        <v>203</v>
      </c>
      <c r="E2357" s="4" t="str">
        <f t="shared" si="202"/>
        <v>Huyện Cao Lộc</v>
      </c>
      <c r="F2357" s="3" t="s">
        <v>3121</v>
      </c>
      <c r="G2357" s="4" t="str">
        <f>HYPERLINK("https://diaocthongthai.com/xa-mau-son-cao-loc/","Xã Mẫu Sơn")</f>
        <v>Xã Mẫu Sơn</v>
      </c>
    </row>
    <row r="2358" spans="1:7" x14ac:dyDescent="0.25">
      <c r="A2358" s="2">
        <v>2357</v>
      </c>
      <c r="B2358" s="3" t="s">
        <v>15</v>
      </c>
      <c r="C2358" s="4" t="str">
        <f t="shared" si="201"/>
        <v>Lạng Sơn</v>
      </c>
      <c r="D2358" s="3" t="s">
        <v>203</v>
      </c>
      <c r="E2358" s="4" t="str">
        <f t="shared" si="202"/>
        <v>Huyện Cao Lộc</v>
      </c>
      <c r="F2358" s="3" t="s">
        <v>3122</v>
      </c>
      <c r="G2358" s="4" t="str">
        <f>HYPERLINK("https://diaocthongthai.com/xa-xuan-long-cao-loc/","Xã Xuân Long")</f>
        <v>Xã Xuân Long</v>
      </c>
    </row>
    <row r="2359" spans="1:7" x14ac:dyDescent="0.25">
      <c r="A2359" s="2">
        <v>2358</v>
      </c>
      <c r="B2359" s="3" t="s">
        <v>15</v>
      </c>
      <c r="C2359" s="4" t="str">
        <f t="shared" si="201"/>
        <v>Lạng Sơn</v>
      </c>
      <c r="D2359" s="3" t="s">
        <v>203</v>
      </c>
      <c r="E2359" s="4" t="str">
        <f t="shared" si="202"/>
        <v>Huyện Cao Lộc</v>
      </c>
      <c r="F2359" s="3" t="s">
        <v>3123</v>
      </c>
      <c r="G2359" s="4" t="str">
        <f>HYPERLINK("https://diaocthongthai.com/xa-tan-lien-cao-loc/","Xã Tân Liên")</f>
        <v>Xã Tân Liên</v>
      </c>
    </row>
    <row r="2360" spans="1:7" x14ac:dyDescent="0.25">
      <c r="A2360" s="2">
        <v>2359</v>
      </c>
      <c r="B2360" s="3" t="s">
        <v>15</v>
      </c>
      <c r="C2360" s="4" t="str">
        <f t="shared" si="201"/>
        <v>Lạng Sơn</v>
      </c>
      <c r="D2360" s="3" t="s">
        <v>203</v>
      </c>
      <c r="E2360" s="4" t="str">
        <f t="shared" si="202"/>
        <v>Huyện Cao Lộc</v>
      </c>
      <c r="F2360" s="3" t="s">
        <v>3124</v>
      </c>
      <c r="G2360" s="4" t="str">
        <f>HYPERLINK("https://diaocthongthai.com/xa-yen-trach-cao-loc/","Xã Yên Trạch")</f>
        <v>Xã Yên Trạch</v>
      </c>
    </row>
    <row r="2361" spans="1:7" x14ac:dyDescent="0.25">
      <c r="A2361" s="2">
        <v>2360</v>
      </c>
      <c r="B2361" s="3" t="s">
        <v>15</v>
      </c>
      <c r="C2361" s="4" t="str">
        <f t="shared" si="201"/>
        <v>Lạng Sơn</v>
      </c>
      <c r="D2361" s="3" t="s">
        <v>203</v>
      </c>
      <c r="E2361" s="4" t="str">
        <f t="shared" si="202"/>
        <v>Huyện Cao Lộc</v>
      </c>
      <c r="F2361" s="3" t="s">
        <v>3125</v>
      </c>
      <c r="G2361" s="4" t="str">
        <f>HYPERLINK("https://diaocthongthai.com/xa-tan-thanh-cao-loc/","Xã Tân Thành")</f>
        <v>Xã Tân Thành</v>
      </c>
    </row>
    <row r="2362" spans="1:7" x14ac:dyDescent="0.25">
      <c r="A2362" s="2">
        <v>2361</v>
      </c>
      <c r="B2362" s="3" t="s">
        <v>15</v>
      </c>
      <c r="C2362" s="4" t="str">
        <f t="shared" si="201"/>
        <v>Lạng Sơn</v>
      </c>
      <c r="D2362" s="3" t="s">
        <v>204</v>
      </c>
      <c r="E2362" s="4" t="str">
        <f t="shared" ref="E2362:E2378" si="203">HYPERLINK("https://diaocthongthai.com/ban-do-huyen-van-quan-lang-son/","Huyện Văn Quan")</f>
        <v>Huyện Văn Quan</v>
      </c>
      <c r="F2362" s="3" t="s">
        <v>3126</v>
      </c>
      <c r="G2362" s="4" t="str">
        <f>HYPERLINK("https://diaocthongthai.com/thi-tran-van-quan-van-quan/","Thị trấn Văn Quan")</f>
        <v>Thị trấn Văn Quan</v>
      </c>
    </row>
    <row r="2363" spans="1:7" x14ac:dyDescent="0.25">
      <c r="A2363" s="2">
        <v>2362</v>
      </c>
      <c r="B2363" s="3" t="s">
        <v>15</v>
      </c>
      <c r="C2363" s="4" t="str">
        <f t="shared" si="201"/>
        <v>Lạng Sơn</v>
      </c>
      <c r="D2363" s="3" t="s">
        <v>204</v>
      </c>
      <c r="E2363" s="4" t="str">
        <f t="shared" si="203"/>
        <v>Huyện Văn Quan</v>
      </c>
      <c r="F2363" s="3" t="s">
        <v>3127</v>
      </c>
      <c r="G2363" s="4" t="str">
        <f>HYPERLINK("https://diaocthongthai.com/xa-tran-ninh-van-quan/","Xã Trấn Ninh")</f>
        <v>Xã Trấn Ninh</v>
      </c>
    </row>
    <row r="2364" spans="1:7" x14ac:dyDescent="0.25">
      <c r="A2364" s="2">
        <v>2363</v>
      </c>
      <c r="B2364" s="3" t="s">
        <v>15</v>
      </c>
      <c r="C2364" s="4" t="str">
        <f t="shared" si="201"/>
        <v>Lạng Sơn</v>
      </c>
      <c r="D2364" s="3" t="s">
        <v>204</v>
      </c>
      <c r="E2364" s="4" t="str">
        <f t="shared" si="203"/>
        <v>Huyện Văn Quan</v>
      </c>
      <c r="F2364" s="3" t="s">
        <v>3128</v>
      </c>
      <c r="G2364" s="4" t="str">
        <f>HYPERLINK("https://diaocthongthai.com/xa-lien-hoi-van-quan/","Xã Liên Hội")</f>
        <v>Xã Liên Hội</v>
      </c>
    </row>
    <row r="2365" spans="1:7" x14ac:dyDescent="0.25">
      <c r="A2365" s="2">
        <v>2364</v>
      </c>
      <c r="B2365" s="3" t="s">
        <v>15</v>
      </c>
      <c r="C2365" s="4" t="str">
        <f t="shared" si="201"/>
        <v>Lạng Sơn</v>
      </c>
      <c r="D2365" s="3" t="s">
        <v>204</v>
      </c>
      <c r="E2365" s="4" t="str">
        <f t="shared" si="203"/>
        <v>Huyện Văn Quan</v>
      </c>
      <c r="F2365" s="3" t="s">
        <v>3129</v>
      </c>
      <c r="G2365" s="4" t="str">
        <f>HYPERLINK("https://diaocthongthai.com/xa-hoa-binh-van-quan/","Xã Hòa Bình")</f>
        <v>Xã Hòa Bình</v>
      </c>
    </row>
    <row r="2366" spans="1:7" x14ac:dyDescent="0.25">
      <c r="A2366" s="2">
        <v>2365</v>
      </c>
      <c r="B2366" s="3" t="s">
        <v>15</v>
      </c>
      <c r="C2366" s="4" t="str">
        <f t="shared" si="201"/>
        <v>Lạng Sơn</v>
      </c>
      <c r="D2366" s="3" t="s">
        <v>204</v>
      </c>
      <c r="E2366" s="4" t="str">
        <f t="shared" si="203"/>
        <v>Huyện Văn Quan</v>
      </c>
      <c r="F2366" s="3" t="s">
        <v>3130</v>
      </c>
      <c r="G2366" s="4" t="str">
        <f>HYPERLINK("https://diaocthongthai.com/xa-tu-xuyen-van-quan/","Xã Tú Xuyên")</f>
        <v>Xã Tú Xuyên</v>
      </c>
    </row>
    <row r="2367" spans="1:7" x14ac:dyDescent="0.25">
      <c r="A2367" s="2">
        <v>2366</v>
      </c>
      <c r="B2367" s="3" t="s">
        <v>15</v>
      </c>
      <c r="C2367" s="4" t="str">
        <f t="shared" si="201"/>
        <v>Lạng Sơn</v>
      </c>
      <c r="D2367" s="3" t="s">
        <v>204</v>
      </c>
      <c r="E2367" s="4" t="str">
        <f t="shared" si="203"/>
        <v>Huyện Văn Quan</v>
      </c>
      <c r="F2367" s="3" t="s">
        <v>3131</v>
      </c>
      <c r="G2367" s="4" t="str">
        <f>HYPERLINK("https://diaocthongthai.com/xa-diem-he-van-quan/","Xã Điềm He")</f>
        <v>Xã Điềm He</v>
      </c>
    </row>
    <row r="2368" spans="1:7" x14ac:dyDescent="0.25">
      <c r="A2368" s="2">
        <v>2367</v>
      </c>
      <c r="B2368" s="3" t="s">
        <v>15</v>
      </c>
      <c r="C2368" s="4" t="str">
        <f t="shared" si="201"/>
        <v>Lạng Sơn</v>
      </c>
      <c r="D2368" s="3" t="s">
        <v>204</v>
      </c>
      <c r="E2368" s="4" t="str">
        <f t="shared" si="203"/>
        <v>Huyện Văn Quan</v>
      </c>
      <c r="F2368" s="3" t="s">
        <v>3132</v>
      </c>
      <c r="G2368" s="4" t="str">
        <f>HYPERLINK("https://diaocthongthai.com/xa-an-son-van-quan/","Xã An Sơn")</f>
        <v>Xã An Sơn</v>
      </c>
    </row>
    <row r="2369" spans="1:7" x14ac:dyDescent="0.25">
      <c r="A2369" s="2">
        <v>2368</v>
      </c>
      <c r="B2369" s="3" t="s">
        <v>15</v>
      </c>
      <c r="C2369" s="4" t="str">
        <f t="shared" si="201"/>
        <v>Lạng Sơn</v>
      </c>
      <c r="D2369" s="3" t="s">
        <v>204</v>
      </c>
      <c r="E2369" s="4" t="str">
        <f t="shared" si="203"/>
        <v>Huyện Văn Quan</v>
      </c>
      <c r="F2369" s="3" t="s">
        <v>3133</v>
      </c>
      <c r="G2369" s="4" t="str">
        <f>HYPERLINK("https://diaocthongthai.com/xa-khanh-khe-van-quan/","Xã Khánh Khê")</f>
        <v>Xã Khánh Khê</v>
      </c>
    </row>
    <row r="2370" spans="1:7" x14ac:dyDescent="0.25">
      <c r="A2370" s="2">
        <v>2369</v>
      </c>
      <c r="B2370" s="3" t="s">
        <v>15</v>
      </c>
      <c r="C2370" s="4" t="str">
        <f t="shared" ref="C2370:C2401" si="204">HYPERLINK("https://diaocthongthai.com/ban-do-lang-son/","Lạng Sơn")</f>
        <v>Lạng Sơn</v>
      </c>
      <c r="D2370" s="3" t="s">
        <v>204</v>
      </c>
      <c r="E2370" s="4" t="str">
        <f t="shared" si="203"/>
        <v>Huyện Văn Quan</v>
      </c>
      <c r="F2370" s="3" t="s">
        <v>3134</v>
      </c>
      <c r="G2370" s="4" t="str">
        <f>HYPERLINK("https://diaocthongthai.com/xa-luong-nang-van-quan/","Xã Lương Năng")</f>
        <v>Xã Lương Năng</v>
      </c>
    </row>
    <row r="2371" spans="1:7" x14ac:dyDescent="0.25">
      <c r="A2371" s="2">
        <v>2370</v>
      </c>
      <c r="B2371" s="3" t="s">
        <v>15</v>
      </c>
      <c r="C2371" s="4" t="str">
        <f t="shared" si="204"/>
        <v>Lạng Sơn</v>
      </c>
      <c r="D2371" s="3" t="s">
        <v>204</v>
      </c>
      <c r="E2371" s="4" t="str">
        <f t="shared" si="203"/>
        <v>Huyện Văn Quan</v>
      </c>
      <c r="F2371" s="3" t="s">
        <v>3135</v>
      </c>
      <c r="G2371" s="4" t="str">
        <f>HYPERLINK("https://diaocthongthai.com/xa-dong-giap-van-quan/","Xã Đồng Giáp")</f>
        <v>Xã Đồng Giáp</v>
      </c>
    </row>
    <row r="2372" spans="1:7" x14ac:dyDescent="0.25">
      <c r="A2372" s="2">
        <v>2371</v>
      </c>
      <c r="B2372" s="3" t="s">
        <v>15</v>
      </c>
      <c r="C2372" s="4" t="str">
        <f t="shared" si="204"/>
        <v>Lạng Sơn</v>
      </c>
      <c r="D2372" s="3" t="s">
        <v>204</v>
      </c>
      <c r="E2372" s="4" t="str">
        <f t="shared" si="203"/>
        <v>Huyện Văn Quan</v>
      </c>
      <c r="F2372" s="3" t="s">
        <v>3136</v>
      </c>
      <c r="G2372" s="4" t="str">
        <f>HYPERLINK("https://diaocthongthai.com/xa-binh-phuc-van-quan/","Xã Bình Phúc")</f>
        <v>Xã Bình Phúc</v>
      </c>
    </row>
    <row r="2373" spans="1:7" x14ac:dyDescent="0.25">
      <c r="A2373" s="2">
        <v>2372</v>
      </c>
      <c r="B2373" s="3" t="s">
        <v>15</v>
      </c>
      <c r="C2373" s="4" t="str">
        <f t="shared" si="204"/>
        <v>Lạng Sơn</v>
      </c>
      <c r="D2373" s="3" t="s">
        <v>204</v>
      </c>
      <c r="E2373" s="4" t="str">
        <f t="shared" si="203"/>
        <v>Huyện Văn Quan</v>
      </c>
      <c r="F2373" s="3" t="s">
        <v>3137</v>
      </c>
      <c r="G2373" s="4" t="str">
        <f>HYPERLINK("https://diaocthongthai.com/xa-trang-cac-van-quan/","Xã Tràng Các")</f>
        <v>Xã Tràng Các</v>
      </c>
    </row>
    <row r="2374" spans="1:7" x14ac:dyDescent="0.25">
      <c r="A2374" s="2">
        <v>2373</v>
      </c>
      <c r="B2374" s="3" t="s">
        <v>15</v>
      </c>
      <c r="C2374" s="4" t="str">
        <f t="shared" si="204"/>
        <v>Lạng Sơn</v>
      </c>
      <c r="D2374" s="3" t="s">
        <v>204</v>
      </c>
      <c r="E2374" s="4" t="str">
        <f t="shared" si="203"/>
        <v>Huyện Văn Quan</v>
      </c>
      <c r="F2374" s="3" t="s">
        <v>3138</v>
      </c>
      <c r="G2374" s="4" t="str">
        <f>HYPERLINK("https://diaocthongthai.com/xa-tan-doan-van-quan/","Xã Tân Đoàn")</f>
        <v>Xã Tân Đoàn</v>
      </c>
    </row>
    <row r="2375" spans="1:7" x14ac:dyDescent="0.25">
      <c r="A2375" s="2">
        <v>2374</v>
      </c>
      <c r="B2375" s="3" t="s">
        <v>15</v>
      </c>
      <c r="C2375" s="4" t="str">
        <f t="shared" si="204"/>
        <v>Lạng Sơn</v>
      </c>
      <c r="D2375" s="3" t="s">
        <v>204</v>
      </c>
      <c r="E2375" s="4" t="str">
        <f t="shared" si="203"/>
        <v>Huyện Văn Quan</v>
      </c>
      <c r="F2375" s="3" t="s">
        <v>3139</v>
      </c>
      <c r="G2375" s="4" t="str">
        <f>HYPERLINK("https://diaocthongthai.com/xa-tri-le-van-quan/","Xã Tri Lễ")</f>
        <v>Xã Tri Lễ</v>
      </c>
    </row>
    <row r="2376" spans="1:7" x14ac:dyDescent="0.25">
      <c r="A2376" s="2">
        <v>2375</v>
      </c>
      <c r="B2376" s="3" t="s">
        <v>15</v>
      </c>
      <c r="C2376" s="4" t="str">
        <f t="shared" si="204"/>
        <v>Lạng Sơn</v>
      </c>
      <c r="D2376" s="3" t="s">
        <v>204</v>
      </c>
      <c r="E2376" s="4" t="str">
        <f t="shared" si="203"/>
        <v>Huyện Văn Quan</v>
      </c>
      <c r="F2376" s="3" t="s">
        <v>3140</v>
      </c>
      <c r="G2376" s="4" t="str">
        <f>HYPERLINK("https://diaocthongthai.com/xa-trang-phai-van-quan/","Xã Tràng Phái")</f>
        <v>Xã Tràng Phái</v>
      </c>
    </row>
    <row r="2377" spans="1:7" x14ac:dyDescent="0.25">
      <c r="A2377" s="2">
        <v>2376</v>
      </c>
      <c r="B2377" s="3" t="s">
        <v>15</v>
      </c>
      <c r="C2377" s="4" t="str">
        <f t="shared" si="204"/>
        <v>Lạng Sơn</v>
      </c>
      <c r="D2377" s="3" t="s">
        <v>204</v>
      </c>
      <c r="E2377" s="4" t="str">
        <f t="shared" si="203"/>
        <v>Huyện Văn Quan</v>
      </c>
      <c r="F2377" s="3" t="s">
        <v>3141</v>
      </c>
      <c r="G2377" s="4" t="str">
        <f>HYPERLINK("https://diaocthongthai.com/xa-yen-phuc-van-quan/","Xã Yên Phúc")</f>
        <v>Xã Yên Phúc</v>
      </c>
    </row>
    <row r="2378" spans="1:7" x14ac:dyDescent="0.25">
      <c r="A2378" s="2">
        <v>2377</v>
      </c>
      <c r="B2378" s="3" t="s">
        <v>15</v>
      </c>
      <c r="C2378" s="4" t="str">
        <f t="shared" si="204"/>
        <v>Lạng Sơn</v>
      </c>
      <c r="D2378" s="3" t="s">
        <v>204</v>
      </c>
      <c r="E2378" s="4" t="str">
        <f t="shared" si="203"/>
        <v>Huyện Văn Quan</v>
      </c>
      <c r="F2378" s="3" t="s">
        <v>3142</v>
      </c>
      <c r="G2378" s="4" t="str">
        <f>HYPERLINK("https://diaocthongthai.com/xa-huu-le-van-quan/","Xã Hữu Lễ")</f>
        <v>Xã Hữu Lễ</v>
      </c>
    </row>
    <row r="2379" spans="1:7" x14ac:dyDescent="0.25">
      <c r="A2379" s="2">
        <v>2378</v>
      </c>
      <c r="B2379" s="3" t="s">
        <v>15</v>
      </c>
      <c r="C2379" s="4" t="str">
        <f t="shared" si="204"/>
        <v>Lạng Sơn</v>
      </c>
      <c r="D2379" s="3" t="s">
        <v>205</v>
      </c>
      <c r="E2379" s="4" t="str">
        <f t="shared" ref="E2379:E2396" si="205">HYPERLINK("https://diaocthongthai.com/ban-do-huyen-bac-son-lang-son/","Huyện Bắc Sơn")</f>
        <v>Huyện Bắc Sơn</v>
      </c>
      <c r="F2379" s="3" t="s">
        <v>3143</v>
      </c>
      <c r="G2379" s="4" t="str">
        <f>HYPERLINK("https://diaocthongthai.com/thi-tran-bac-son-bac-son/","Thị trấn Bắc Sơn")</f>
        <v>Thị trấn Bắc Sơn</v>
      </c>
    </row>
    <row r="2380" spans="1:7" x14ac:dyDescent="0.25">
      <c r="A2380" s="2">
        <v>2379</v>
      </c>
      <c r="B2380" s="3" t="s">
        <v>15</v>
      </c>
      <c r="C2380" s="4" t="str">
        <f t="shared" si="204"/>
        <v>Lạng Sơn</v>
      </c>
      <c r="D2380" s="3" t="s">
        <v>205</v>
      </c>
      <c r="E2380" s="4" t="str">
        <f t="shared" si="205"/>
        <v>Huyện Bắc Sơn</v>
      </c>
      <c r="F2380" s="3" t="s">
        <v>3144</v>
      </c>
      <c r="G2380" s="4" t="str">
        <f>HYPERLINK("https://diaocthongthai.com/xa-long-dong-bac-son/","Xã Long Đống")</f>
        <v>Xã Long Đống</v>
      </c>
    </row>
    <row r="2381" spans="1:7" x14ac:dyDescent="0.25">
      <c r="A2381" s="2">
        <v>2380</v>
      </c>
      <c r="B2381" s="3" t="s">
        <v>15</v>
      </c>
      <c r="C2381" s="4" t="str">
        <f t="shared" si="204"/>
        <v>Lạng Sơn</v>
      </c>
      <c r="D2381" s="3" t="s">
        <v>205</v>
      </c>
      <c r="E2381" s="4" t="str">
        <f t="shared" si="205"/>
        <v>Huyện Bắc Sơn</v>
      </c>
      <c r="F2381" s="3" t="s">
        <v>3145</v>
      </c>
      <c r="G2381" s="4" t="str">
        <f>HYPERLINK("https://diaocthongthai.com/xa-van-thuy-bac-son/","Xã Vạn Thủy")</f>
        <v>Xã Vạn Thủy</v>
      </c>
    </row>
    <row r="2382" spans="1:7" x14ac:dyDescent="0.25">
      <c r="A2382" s="2">
        <v>2381</v>
      </c>
      <c r="B2382" s="3" t="s">
        <v>15</v>
      </c>
      <c r="C2382" s="4" t="str">
        <f t="shared" si="204"/>
        <v>Lạng Sơn</v>
      </c>
      <c r="D2382" s="3" t="s">
        <v>205</v>
      </c>
      <c r="E2382" s="4" t="str">
        <f t="shared" si="205"/>
        <v>Huyện Bắc Sơn</v>
      </c>
      <c r="F2382" s="3" t="s">
        <v>3146</v>
      </c>
      <c r="G2382" s="4" t="str">
        <f>HYPERLINK("https://diaocthongthai.com/xa-dong-y-bac-son/","Xã Đồng ý")</f>
        <v>Xã Đồng ý</v>
      </c>
    </row>
    <row r="2383" spans="1:7" x14ac:dyDescent="0.25">
      <c r="A2383" s="2">
        <v>2382</v>
      </c>
      <c r="B2383" s="3" t="s">
        <v>15</v>
      </c>
      <c r="C2383" s="4" t="str">
        <f t="shared" si="204"/>
        <v>Lạng Sơn</v>
      </c>
      <c r="D2383" s="3" t="s">
        <v>205</v>
      </c>
      <c r="E2383" s="4" t="str">
        <f t="shared" si="205"/>
        <v>Huyện Bắc Sơn</v>
      </c>
      <c r="F2383" s="3" t="s">
        <v>3147</v>
      </c>
      <c r="G2383" s="4" t="str">
        <f>HYPERLINK("https://diaocthongthai.com/xa-tan-tri-bac-son/","Xã Tân Tri")</f>
        <v>Xã Tân Tri</v>
      </c>
    </row>
    <row r="2384" spans="1:7" x14ac:dyDescent="0.25">
      <c r="A2384" s="2">
        <v>2383</v>
      </c>
      <c r="B2384" s="3" t="s">
        <v>15</v>
      </c>
      <c r="C2384" s="4" t="str">
        <f t="shared" si="204"/>
        <v>Lạng Sơn</v>
      </c>
      <c r="D2384" s="3" t="s">
        <v>205</v>
      </c>
      <c r="E2384" s="4" t="str">
        <f t="shared" si="205"/>
        <v>Huyện Bắc Sơn</v>
      </c>
      <c r="F2384" s="3" t="s">
        <v>3148</v>
      </c>
      <c r="G2384" s="4" t="str">
        <f>HYPERLINK("https://diaocthongthai.com/xa-bac-quynh-bac-son/","Xã Bắc Quỳnh")</f>
        <v>Xã Bắc Quỳnh</v>
      </c>
    </row>
    <row r="2385" spans="1:7" x14ac:dyDescent="0.25">
      <c r="A2385" s="2">
        <v>2384</v>
      </c>
      <c r="B2385" s="3" t="s">
        <v>15</v>
      </c>
      <c r="C2385" s="4" t="str">
        <f t="shared" si="204"/>
        <v>Lạng Sơn</v>
      </c>
      <c r="D2385" s="3" t="s">
        <v>205</v>
      </c>
      <c r="E2385" s="4" t="str">
        <f t="shared" si="205"/>
        <v>Huyện Bắc Sơn</v>
      </c>
      <c r="F2385" s="3" t="s">
        <v>3149</v>
      </c>
      <c r="G2385" s="4" t="str">
        <f>HYPERLINK("https://diaocthongthai.com/xa-hung-vu-bac-son/","Xã Hưng Vũ")</f>
        <v>Xã Hưng Vũ</v>
      </c>
    </row>
    <row r="2386" spans="1:7" x14ac:dyDescent="0.25">
      <c r="A2386" s="2">
        <v>2385</v>
      </c>
      <c r="B2386" s="3" t="s">
        <v>15</v>
      </c>
      <c r="C2386" s="4" t="str">
        <f t="shared" si="204"/>
        <v>Lạng Sơn</v>
      </c>
      <c r="D2386" s="3" t="s">
        <v>205</v>
      </c>
      <c r="E2386" s="4" t="str">
        <f t="shared" si="205"/>
        <v>Huyện Bắc Sơn</v>
      </c>
      <c r="F2386" s="3" t="s">
        <v>3150</v>
      </c>
      <c r="G2386" s="4" t="str">
        <f>HYPERLINK("https://diaocthongthai.com/xa-tan-lap-bac-son/","Xã Tân Lập")</f>
        <v>Xã Tân Lập</v>
      </c>
    </row>
    <row r="2387" spans="1:7" x14ac:dyDescent="0.25">
      <c r="A2387" s="2">
        <v>2386</v>
      </c>
      <c r="B2387" s="3" t="s">
        <v>15</v>
      </c>
      <c r="C2387" s="4" t="str">
        <f t="shared" si="204"/>
        <v>Lạng Sơn</v>
      </c>
      <c r="D2387" s="3" t="s">
        <v>205</v>
      </c>
      <c r="E2387" s="4" t="str">
        <f t="shared" si="205"/>
        <v>Huyện Bắc Sơn</v>
      </c>
      <c r="F2387" s="3" t="s">
        <v>3151</v>
      </c>
      <c r="G2387" s="4" t="str">
        <f>HYPERLINK("https://diaocthongthai.com/xa-vu-son-bac-son/","Xã Vũ Sơn")</f>
        <v>Xã Vũ Sơn</v>
      </c>
    </row>
    <row r="2388" spans="1:7" x14ac:dyDescent="0.25">
      <c r="A2388" s="2">
        <v>2387</v>
      </c>
      <c r="B2388" s="3" t="s">
        <v>15</v>
      </c>
      <c r="C2388" s="4" t="str">
        <f t="shared" si="204"/>
        <v>Lạng Sơn</v>
      </c>
      <c r="D2388" s="3" t="s">
        <v>205</v>
      </c>
      <c r="E2388" s="4" t="str">
        <f t="shared" si="205"/>
        <v>Huyện Bắc Sơn</v>
      </c>
      <c r="F2388" s="3" t="s">
        <v>3152</v>
      </c>
      <c r="G2388" s="4" t="str">
        <f>HYPERLINK("https://diaocthongthai.com/xa-chieu-vu-bac-son/","Xã Chiêu Vũ")</f>
        <v>Xã Chiêu Vũ</v>
      </c>
    </row>
    <row r="2389" spans="1:7" x14ac:dyDescent="0.25">
      <c r="A2389" s="2">
        <v>2388</v>
      </c>
      <c r="B2389" s="3" t="s">
        <v>15</v>
      </c>
      <c r="C2389" s="4" t="str">
        <f t="shared" si="204"/>
        <v>Lạng Sơn</v>
      </c>
      <c r="D2389" s="3" t="s">
        <v>205</v>
      </c>
      <c r="E2389" s="4" t="str">
        <f t="shared" si="205"/>
        <v>Huyện Bắc Sơn</v>
      </c>
      <c r="F2389" s="3" t="s">
        <v>3153</v>
      </c>
      <c r="G2389" s="4" t="str">
        <f>HYPERLINK("https://diaocthongthai.com/xa-tan-huong-bac-son/","Xã Tân Hương")</f>
        <v>Xã Tân Hương</v>
      </c>
    </row>
    <row r="2390" spans="1:7" x14ac:dyDescent="0.25">
      <c r="A2390" s="2">
        <v>2389</v>
      </c>
      <c r="B2390" s="3" t="s">
        <v>15</v>
      </c>
      <c r="C2390" s="4" t="str">
        <f t="shared" si="204"/>
        <v>Lạng Sơn</v>
      </c>
      <c r="D2390" s="3" t="s">
        <v>205</v>
      </c>
      <c r="E2390" s="4" t="str">
        <f t="shared" si="205"/>
        <v>Huyện Bắc Sơn</v>
      </c>
      <c r="F2390" s="3" t="s">
        <v>3154</v>
      </c>
      <c r="G2390" s="4" t="str">
        <f>HYPERLINK("https://diaocthongthai.com/xa-chien-thang-bac-son/","Xã Chiến Thắng")</f>
        <v>Xã Chiến Thắng</v>
      </c>
    </row>
    <row r="2391" spans="1:7" x14ac:dyDescent="0.25">
      <c r="A2391" s="2">
        <v>2390</v>
      </c>
      <c r="B2391" s="3" t="s">
        <v>15</v>
      </c>
      <c r="C2391" s="4" t="str">
        <f t="shared" si="204"/>
        <v>Lạng Sơn</v>
      </c>
      <c r="D2391" s="3" t="s">
        <v>205</v>
      </c>
      <c r="E2391" s="4" t="str">
        <f t="shared" si="205"/>
        <v>Huyện Bắc Sơn</v>
      </c>
      <c r="F2391" s="3" t="s">
        <v>3155</v>
      </c>
      <c r="G2391" s="4" t="str">
        <f>HYPERLINK("https://diaocthongthai.com/xa-vu-lang-bac-son/","Xã Vũ Lăng")</f>
        <v>Xã Vũ Lăng</v>
      </c>
    </row>
    <row r="2392" spans="1:7" x14ac:dyDescent="0.25">
      <c r="A2392" s="2">
        <v>2391</v>
      </c>
      <c r="B2392" s="3" t="s">
        <v>15</v>
      </c>
      <c r="C2392" s="4" t="str">
        <f t="shared" si="204"/>
        <v>Lạng Sơn</v>
      </c>
      <c r="D2392" s="3" t="s">
        <v>205</v>
      </c>
      <c r="E2392" s="4" t="str">
        <f t="shared" si="205"/>
        <v>Huyện Bắc Sơn</v>
      </c>
      <c r="F2392" s="3" t="s">
        <v>3156</v>
      </c>
      <c r="G2392" s="4" t="str">
        <f>HYPERLINK("https://diaocthongthai.com/xa-tran-yen-bac-son/","Xã Trấn Yên")</f>
        <v>Xã Trấn Yên</v>
      </c>
    </row>
    <row r="2393" spans="1:7" x14ac:dyDescent="0.25">
      <c r="A2393" s="2">
        <v>2392</v>
      </c>
      <c r="B2393" s="3" t="s">
        <v>15</v>
      </c>
      <c r="C2393" s="4" t="str">
        <f t="shared" si="204"/>
        <v>Lạng Sơn</v>
      </c>
      <c r="D2393" s="3" t="s">
        <v>205</v>
      </c>
      <c r="E2393" s="4" t="str">
        <f t="shared" si="205"/>
        <v>Huyện Bắc Sơn</v>
      </c>
      <c r="F2393" s="3" t="s">
        <v>3157</v>
      </c>
      <c r="G2393" s="4" t="str">
        <f>HYPERLINK("https://diaocthongthai.com/xa-vu-le-bac-son/","Xã Vũ Lễ")</f>
        <v>Xã Vũ Lễ</v>
      </c>
    </row>
    <row r="2394" spans="1:7" x14ac:dyDescent="0.25">
      <c r="A2394" s="2">
        <v>2393</v>
      </c>
      <c r="B2394" s="3" t="s">
        <v>15</v>
      </c>
      <c r="C2394" s="4" t="str">
        <f t="shared" si="204"/>
        <v>Lạng Sơn</v>
      </c>
      <c r="D2394" s="3" t="s">
        <v>205</v>
      </c>
      <c r="E2394" s="4" t="str">
        <f t="shared" si="205"/>
        <v>Huyện Bắc Sơn</v>
      </c>
      <c r="F2394" s="3" t="s">
        <v>3158</v>
      </c>
      <c r="G2394" s="4" t="str">
        <f>HYPERLINK("https://diaocthongthai.com/xa-nhat-hoa-bac-son/","Xã Nhất Hòa")</f>
        <v>Xã Nhất Hòa</v>
      </c>
    </row>
    <row r="2395" spans="1:7" x14ac:dyDescent="0.25">
      <c r="A2395" s="2">
        <v>2394</v>
      </c>
      <c r="B2395" s="3" t="s">
        <v>15</v>
      </c>
      <c r="C2395" s="4" t="str">
        <f t="shared" si="204"/>
        <v>Lạng Sơn</v>
      </c>
      <c r="D2395" s="3" t="s">
        <v>205</v>
      </c>
      <c r="E2395" s="4" t="str">
        <f t="shared" si="205"/>
        <v>Huyện Bắc Sơn</v>
      </c>
      <c r="F2395" s="3" t="s">
        <v>3159</v>
      </c>
      <c r="G2395" s="4" t="str">
        <f>HYPERLINK("https://diaocthongthai.com/xa-tan-thanh-bac-son/","Xã Tân Thành")</f>
        <v>Xã Tân Thành</v>
      </c>
    </row>
    <row r="2396" spans="1:7" x14ac:dyDescent="0.25">
      <c r="A2396" s="2">
        <v>2395</v>
      </c>
      <c r="B2396" s="3" t="s">
        <v>15</v>
      </c>
      <c r="C2396" s="4" t="str">
        <f t="shared" si="204"/>
        <v>Lạng Sơn</v>
      </c>
      <c r="D2396" s="3" t="s">
        <v>205</v>
      </c>
      <c r="E2396" s="4" t="str">
        <f t="shared" si="205"/>
        <v>Huyện Bắc Sơn</v>
      </c>
      <c r="F2396" s="3" t="s">
        <v>3160</v>
      </c>
      <c r="G2396" s="4" t="str">
        <f>HYPERLINK("https://diaocthongthai.com/xa-nhat-tien-bac-son/","Xã Nhất Tiến")</f>
        <v>Xã Nhất Tiến</v>
      </c>
    </row>
    <row r="2397" spans="1:7" x14ac:dyDescent="0.25">
      <c r="A2397" s="2">
        <v>2396</v>
      </c>
      <c r="B2397" s="3" t="s">
        <v>15</v>
      </c>
      <c r="C2397" s="4" t="str">
        <f t="shared" si="204"/>
        <v>Lạng Sơn</v>
      </c>
      <c r="D2397" s="3" t="s">
        <v>206</v>
      </c>
      <c r="E2397" s="4" t="str">
        <f t="shared" ref="E2397:E2420" si="206">HYPERLINK("https://diaocthongthai.com/ban-do-huyen-huu-lung-lang-son/","Huyện Hữu Lũng")</f>
        <v>Huyện Hữu Lũng</v>
      </c>
      <c r="F2397" s="3" t="s">
        <v>3161</v>
      </c>
      <c r="G2397" s="4" t="str">
        <f>HYPERLINK("https://diaocthongthai.com/thi-tran-huu-lung-huu-lung/","Thị trấn Hữu Lũng")</f>
        <v>Thị trấn Hữu Lũng</v>
      </c>
    </row>
    <row r="2398" spans="1:7" x14ac:dyDescent="0.25">
      <c r="A2398" s="2">
        <v>2397</v>
      </c>
      <c r="B2398" s="3" t="s">
        <v>15</v>
      </c>
      <c r="C2398" s="4" t="str">
        <f t="shared" si="204"/>
        <v>Lạng Sơn</v>
      </c>
      <c r="D2398" s="3" t="s">
        <v>206</v>
      </c>
      <c r="E2398" s="4" t="str">
        <f t="shared" si="206"/>
        <v>Huyện Hữu Lũng</v>
      </c>
      <c r="F2398" s="3" t="s">
        <v>3162</v>
      </c>
      <c r="G2398" s="4" t="str">
        <f>HYPERLINK("https://diaocthongthai.com/xa-huu-lien-huu-lung/","Xã Hữu Liên")</f>
        <v>Xã Hữu Liên</v>
      </c>
    </row>
    <row r="2399" spans="1:7" x14ac:dyDescent="0.25">
      <c r="A2399" s="2">
        <v>2398</v>
      </c>
      <c r="B2399" s="3" t="s">
        <v>15</v>
      </c>
      <c r="C2399" s="4" t="str">
        <f t="shared" si="204"/>
        <v>Lạng Sơn</v>
      </c>
      <c r="D2399" s="3" t="s">
        <v>206</v>
      </c>
      <c r="E2399" s="4" t="str">
        <f t="shared" si="206"/>
        <v>Huyện Hữu Lũng</v>
      </c>
      <c r="F2399" s="3" t="s">
        <v>3163</v>
      </c>
      <c r="G2399" s="4" t="str">
        <f>HYPERLINK("https://diaocthongthai.com/xa-yen-binh-huu-lung/","Xã Yên Bình")</f>
        <v>Xã Yên Bình</v>
      </c>
    </row>
    <row r="2400" spans="1:7" x14ac:dyDescent="0.25">
      <c r="A2400" s="2">
        <v>2399</v>
      </c>
      <c r="B2400" s="3" t="s">
        <v>15</v>
      </c>
      <c r="C2400" s="4" t="str">
        <f t="shared" si="204"/>
        <v>Lạng Sơn</v>
      </c>
      <c r="D2400" s="3" t="s">
        <v>206</v>
      </c>
      <c r="E2400" s="4" t="str">
        <f t="shared" si="206"/>
        <v>Huyện Hữu Lũng</v>
      </c>
      <c r="F2400" s="3" t="s">
        <v>3164</v>
      </c>
      <c r="G2400" s="4" t="str">
        <f>HYPERLINK("https://diaocthongthai.com/xa-quyet-thang-huu-lung/","Xã Quyết Thắng")</f>
        <v>Xã Quyết Thắng</v>
      </c>
    </row>
    <row r="2401" spans="1:7" x14ac:dyDescent="0.25">
      <c r="A2401" s="2">
        <v>2400</v>
      </c>
      <c r="B2401" s="3" t="s">
        <v>15</v>
      </c>
      <c r="C2401" s="4" t="str">
        <f t="shared" si="204"/>
        <v>Lạng Sơn</v>
      </c>
      <c r="D2401" s="3" t="s">
        <v>206</v>
      </c>
      <c r="E2401" s="4" t="str">
        <f t="shared" si="206"/>
        <v>Huyện Hữu Lũng</v>
      </c>
      <c r="F2401" s="3" t="s">
        <v>3165</v>
      </c>
      <c r="G2401" s="4" t="str">
        <f>HYPERLINK("https://diaocthongthai.com/xa-hoa-binh-huu-lung/","Xã Hòa Bình")</f>
        <v>Xã Hòa Bình</v>
      </c>
    </row>
    <row r="2402" spans="1:7" x14ac:dyDescent="0.25">
      <c r="A2402" s="2">
        <v>2401</v>
      </c>
      <c r="B2402" s="3" t="s">
        <v>15</v>
      </c>
      <c r="C2402" s="4" t="str">
        <f t="shared" ref="C2402:C2433" si="207">HYPERLINK("https://diaocthongthai.com/ban-do-lang-son/","Lạng Sơn")</f>
        <v>Lạng Sơn</v>
      </c>
      <c r="D2402" s="3" t="s">
        <v>206</v>
      </c>
      <c r="E2402" s="4" t="str">
        <f t="shared" si="206"/>
        <v>Huyện Hữu Lũng</v>
      </c>
      <c r="F2402" s="3" t="s">
        <v>3166</v>
      </c>
      <c r="G2402" s="4" t="str">
        <f>HYPERLINK("https://diaocthongthai.com/xa-yen-thinh-huu-lung/","Xã Yên Thịnh")</f>
        <v>Xã Yên Thịnh</v>
      </c>
    </row>
    <row r="2403" spans="1:7" x14ac:dyDescent="0.25">
      <c r="A2403" s="2">
        <v>2402</v>
      </c>
      <c r="B2403" s="3" t="s">
        <v>15</v>
      </c>
      <c r="C2403" s="4" t="str">
        <f t="shared" si="207"/>
        <v>Lạng Sơn</v>
      </c>
      <c r="D2403" s="3" t="s">
        <v>206</v>
      </c>
      <c r="E2403" s="4" t="str">
        <f t="shared" si="206"/>
        <v>Huyện Hữu Lũng</v>
      </c>
      <c r="F2403" s="3" t="s">
        <v>3167</v>
      </c>
      <c r="G2403" s="4" t="str">
        <f>HYPERLINK("https://diaocthongthai.com/xa-yen-son-huu-lung/","Xã Yên Sơn")</f>
        <v>Xã Yên Sơn</v>
      </c>
    </row>
    <row r="2404" spans="1:7" x14ac:dyDescent="0.25">
      <c r="A2404" s="2">
        <v>2403</v>
      </c>
      <c r="B2404" s="3" t="s">
        <v>15</v>
      </c>
      <c r="C2404" s="4" t="str">
        <f t="shared" si="207"/>
        <v>Lạng Sơn</v>
      </c>
      <c r="D2404" s="3" t="s">
        <v>206</v>
      </c>
      <c r="E2404" s="4" t="str">
        <f t="shared" si="206"/>
        <v>Huyện Hữu Lũng</v>
      </c>
      <c r="F2404" s="3" t="s">
        <v>3168</v>
      </c>
      <c r="G2404" s="4" t="str">
        <f>HYPERLINK("https://diaocthongthai.com/xa-thien-tan-huu-lung/","Xã Thiện Tân")</f>
        <v>Xã Thiện Tân</v>
      </c>
    </row>
    <row r="2405" spans="1:7" x14ac:dyDescent="0.25">
      <c r="A2405" s="2">
        <v>2404</v>
      </c>
      <c r="B2405" s="3" t="s">
        <v>15</v>
      </c>
      <c r="C2405" s="4" t="str">
        <f t="shared" si="207"/>
        <v>Lạng Sơn</v>
      </c>
      <c r="D2405" s="3" t="s">
        <v>206</v>
      </c>
      <c r="E2405" s="4" t="str">
        <f t="shared" si="206"/>
        <v>Huyện Hữu Lũng</v>
      </c>
      <c r="F2405" s="3" t="s">
        <v>3169</v>
      </c>
      <c r="G2405" s="4" t="str">
        <f>HYPERLINK("https://diaocthongthai.com/xa-yen-vuong-huu-lung/","Xã Yên Vượng")</f>
        <v>Xã Yên Vượng</v>
      </c>
    </row>
    <row r="2406" spans="1:7" x14ac:dyDescent="0.25">
      <c r="A2406" s="2">
        <v>2405</v>
      </c>
      <c r="B2406" s="3" t="s">
        <v>15</v>
      </c>
      <c r="C2406" s="4" t="str">
        <f t="shared" si="207"/>
        <v>Lạng Sơn</v>
      </c>
      <c r="D2406" s="3" t="s">
        <v>206</v>
      </c>
      <c r="E2406" s="4" t="str">
        <f t="shared" si="206"/>
        <v>Huyện Hữu Lũng</v>
      </c>
      <c r="F2406" s="3" t="s">
        <v>3170</v>
      </c>
      <c r="G2406" s="4" t="str">
        <f>HYPERLINK("https://diaocthongthai.com/xa-minh-tien-huu-lung/","Xã Minh Tiến")</f>
        <v>Xã Minh Tiến</v>
      </c>
    </row>
    <row r="2407" spans="1:7" x14ac:dyDescent="0.25">
      <c r="A2407" s="2">
        <v>2406</v>
      </c>
      <c r="B2407" s="3" t="s">
        <v>15</v>
      </c>
      <c r="C2407" s="4" t="str">
        <f t="shared" si="207"/>
        <v>Lạng Sơn</v>
      </c>
      <c r="D2407" s="3" t="s">
        <v>206</v>
      </c>
      <c r="E2407" s="4" t="str">
        <f t="shared" si="206"/>
        <v>Huyện Hữu Lũng</v>
      </c>
      <c r="F2407" s="3" t="s">
        <v>3171</v>
      </c>
      <c r="G2407" s="4" t="str">
        <f>HYPERLINK("https://diaocthongthai.com/xa-nhat-tien-huu-lung/","Xã Nhật Tiến")</f>
        <v>Xã Nhật Tiến</v>
      </c>
    </row>
    <row r="2408" spans="1:7" x14ac:dyDescent="0.25">
      <c r="A2408" s="2">
        <v>2407</v>
      </c>
      <c r="B2408" s="3" t="s">
        <v>15</v>
      </c>
      <c r="C2408" s="4" t="str">
        <f t="shared" si="207"/>
        <v>Lạng Sơn</v>
      </c>
      <c r="D2408" s="3" t="s">
        <v>206</v>
      </c>
      <c r="E2408" s="4" t="str">
        <f t="shared" si="206"/>
        <v>Huyện Hữu Lũng</v>
      </c>
      <c r="F2408" s="3" t="s">
        <v>3172</v>
      </c>
      <c r="G2408" s="4" t="str">
        <f>HYPERLINK("https://diaocthongthai.com/xa-thanh-son-huu-lung/","Xã Thanh Sơn")</f>
        <v>Xã Thanh Sơn</v>
      </c>
    </row>
    <row r="2409" spans="1:7" x14ac:dyDescent="0.25">
      <c r="A2409" s="2">
        <v>2408</v>
      </c>
      <c r="B2409" s="3" t="s">
        <v>15</v>
      </c>
      <c r="C2409" s="4" t="str">
        <f t="shared" si="207"/>
        <v>Lạng Sơn</v>
      </c>
      <c r="D2409" s="3" t="s">
        <v>206</v>
      </c>
      <c r="E2409" s="4" t="str">
        <f t="shared" si="206"/>
        <v>Huyện Hữu Lũng</v>
      </c>
      <c r="F2409" s="3" t="s">
        <v>3173</v>
      </c>
      <c r="G2409" s="4" t="str">
        <f>HYPERLINK("https://diaocthongthai.com/xa-dong-tan-huu-lung/","Xã Đồng Tân")</f>
        <v>Xã Đồng Tân</v>
      </c>
    </row>
    <row r="2410" spans="1:7" x14ac:dyDescent="0.25">
      <c r="A2410" s="2">
        <v>2409</v>
      </c>
      <c r="B2410" s="3" t="s">
        <v>15</v>
      </c>
      <c r="C2410" s="4" t="str">
        <f t="shared" si="207"/>
        <v>Lạng Sơn</v>
      </c>
      <c r="D2410" s="3" t="s">
        <v>206</v>
      </c>
      <c r="E2410" s="4" t="str">
        <f t="shared" si="206"/>
        <v>Huyện Hữu Lũng</v>
      </c>
      <c r="F2410" s="3" t="s">
        <v>3174</v>
      </c>
      <c r="G2410" s="4" t="str">
        <f>HYPERLINK("https://diaocthongthai.com/xa-cai-kinh-huu-lung/","Xã Cai Kinh")</f>
        <v>Xã Cai Kinh</v>
      </c>
    </row>
    <row r="2411" spans="1:7" x14ac:dyDescent="0.25">
      <c r="A2411" s="2">
        <v>2410</v>
      </c>
      <c r="B2411" s="3" t="s">
        <v>15</v>
      </c>
      <c r="C2411" s="4" t="str">
        <f t="shared" si="207"/>
        <v>Lạng Sơn</v>
      </c>
      <c r="D2411" s="3" t="s">
        <v>206</v>
      </c>
      <c r="E2411" s="4" t="str">
        <f t="shared" si="206"/>
        <v>Huyện Hữu Lũng</v>
      </c>
      <c r="F2411" s="3" t="s">
        <v>3175</v>
      </c>
      <c r="G2411" s="4" t="str">
        <f>HYPERLINK("https://diaocthongthai.com/xa-hoa-lac-huu-lung/","Xã Hòa Lạc")</f>
        <v>Xã Hòa Lạc</v>
      </c>
    </row>
    <row r="2412" spans="1:7" x14ac:dyDescent="0.25">
      <c r="A2412" s="2">
        <v>2411</v>
      </c>
      <c r="B2412" s="3" t="s">
        <v>15</v>
      </c>
      <c r="C2412" s="4" t="str">
        <f t="shared" si="207"/>
        <v>Lạng Sơn</v>
      </c>
      <c r="D2412" s="3" t="s">
        <v>206</v>
      </c>
      <c r="E2412" s="4" t="str">
        <f t="shared" si="206"/>
        <v>Huyện Hữu Lũng</v>
      </c>
      <c r="F2412" s="3" t="s">
        <v>3176</v>
      </c>
      <c r="G2412" s="4" t="str">
        <f>HYPERLINK("https://diaocthongthai.com/xa-van-nham-huu-lung/","Xã Vân Nham")</f>
        <v>Xã Vân Nham</v>
      </c>
    </row>
    <row r="2413" spans="1:7" x14ac:dyDescent="0.25">
      <c r="A2413" s="2">
        <v>2412</v>
      </c>
      <c r="B2413" s="3" t="s">
        <v>15</v>
      </c>
      <c r="C2413" s="4" t="str">
        <f t="shared" si="207"/>
        <v>Lạng Sơn</v>
      </c>
      <c r="D2413" s="3" t="s">
        <v>206</v>
      </c>
      <c r="E2413" s="4" t="str">
        <f t="shared" si="206"/>
        <v>Huyện Hữu Lũng</v>
      </c>
      <c r="F2413" s="3" t="s">
        <v>3177</v>
      </c>
      <c r="G2413" s="4" t="str">
        <f>HYPERLINK("https://diaocthongthai.com/xa-dong-tien-huu-lung/","Xã Đồng Tiến")</f>
        <v>Xã Đồng Tiến</v>
      </c>
    </row>
    <row r="2414" spans="1:7" x14ac:dyDescent="0.25">
      <c r="A2414" s="2">
        <v>2413</v>
      </c>
      <c r="B2414" s="3" t="s">
        <v>15</v>
      </c>
      <c r="C2414" s="4" t="str">
        <f t="shared" si="207"/>
        <v>Lạng Sơn</v>
      </c>
      <c r="D2414" s="3" t="s">
        <v>206</v>
      </c>
      <c r="E2414" s="4" t="str">
        <f t="shared" si="206"/>
        <v>Huyện Hữu Lũng</v>
      </c>
      <c r="F2414" s="3" t="s">
        <v>3178</v>
      </c>
      <c r="G2414" s="4" t="str">
        <f>HYPERLINK("https://diaocthongthai.com/xa-tan-thanh-huu-lung/","Xã Tân Thành")</f>
        <v>Xã Tân Thành</v>
      </c>
    </row>
    <row r="2415" spans="1:7" x14ac:dyDescent="0.25">
      <c r="A2415" s="2">
        <v>2414</v>
      </c>
      <c r="B2415" s="3" t="s">
        <v>15</v>
      </c>
      <c r="C2415" s="4" t="str">
        <f t="shared" si="207"/>
        <v>Lạng Sơn</v>
      </c>
      <c r="D2415" s="3" t="s">
        <v>206</v>
      </c>
      <c r="E2415" s="4" t="str">
        <f t="shared" si="206"/>
        <v>Huyện Hữu Lũng</v>
      </c>
      <c r="F2415" s="3" t="s">
        <v>3179</v>
      </c>
      <c r="G2415" s="4" t="str">
        <f>HYPERLINK("https://diaocthongthai.com/xa-hoa-son-huu-lung/","Xã Hòa Sơn")</f>
        <v>Xã Hòa Sơn</v>
      </c>
    </row>
    <row r="2416" spans="1:7" x14ac:dyDescent="0.25">
      <c r="A2416" s="2">
        <v>2415</v>
      </c>
      <c r="B2416" s="3" t="s">
        <v>15</v>
      </c>
      <c r="C2416" s="4" t="str">
        <f t="shared" si="207"/>
        <v>Lạng Sơn</v>
      </c>
      <c r="D2416" s="3" t="s">
        <v>206</v>
      </c>
      <c r="E2416" s="4" t="str">
        <f t="shared" si="206"/>
        <v>Huyện Hữu Lũng</v>
      </c>
      <c r="F2416" s="3" t="s">
        <v>3180</v>
      </c>
      <c r="G2416" s="4" t="str">
        <f>HYPERLINK("https://diaocthongthai.com/xa-minh-son-huu-lung/","Xã Minh Sơn")</f>
        <v>Xã Minh Sơn</v>
      </c>
    </row>
    <row r="2417" spans="1:7" x14ac:dyDescent="0.25">
      <c r="A2417" s="2">
        <v>2416</v>
      </c>
      <c r="B2417" s="3" t="s">
        <v>15</v>
      </c>
      <c r="C2417" s="4" t="str">
        <f t="shared" si="207"/>
        <v>Lạng Sơn</v>
      </c>
      <c r="D2417" s="3" t="s">
        <v>206</v>
      </c>
      <c r="E2417" s="4" t="str">
        <f t="shared" si="206"/>
        <v>Huyện Hữu Lũng</v>
      </c>
      <c r="F2417" s="3" t="s">
        <v>3181</v>
      </c>
      <c r="G2417" s="4" t="str">
        <f>HYPERLINK("https://diaocthongthai.com/xa-ho-son-huu-lung/","Xã Hồ Sơn")</f>
        <v>Xã Hồ Sơn</v>
      </c>
    </row>
    <row r="2418" spans="1:7" x14ac:dyDescent="0.25">
      <c r="A2418" s="2">
        <v>2417</v>
      </c>
      <c r="B2418" s="3" t="s">
        <v>15</v>
      </c>
      <c r="C2418" s="4" t="str">
        <f t="shared" si="207"/>
        <v>Lạng Sơn</v>
      </c>
      <c r="D2418" s="3" t="s">
        <v>206</v>
      </c>
      <c r="E2418" s="4" t="str">
        <f t="shared" si="206"/>
        <v>Huyện Hữu Lũng</v>
      </c>
      <c r="F2418" s="3" t="s">
        <v>3182</v>
      </c>
      <c r="G2418" s="4" t="str">
        <f>HYPERLINK("https://diaocthongthai.com/xa-son-ha-huu-lung/","Xã Sơn Hà")</f>
        <v>Xã Sơn Hà</v>
      </c>
    </row>
    <row r="2419" spans="1:7" x14ac:dyDescent="0.25">
      <c r="A2419" s="2">
        <v>2418</v>
      </c>
      <c r="B2419" s="3" t="s">
        <v>15</v>
      </c>
      <c r="C2419" s="4" t="str">
        <f t="shared" si="207"/>
        <v>Lạng Sơn</v>
      </c>
      <c r="D2419" s="3" t="s">
        <v>206</v>
      </c>
      <c r="E2419" s="4" t="str">
        <f t="shared" si="206"/>
        <v>Huyện Hữu Lũng</v>
      </c>
      <c r="F2419" s="3" t="s">
        <v>3183</v>
      </c>
      <c r="G2419" s="4" t="str">
        <f>HYPERLINK("https://diaocthongthai.com/xa-minh-hoa-huu-lung/","Xã Minh Hòa")</f>
        <v>Xã Minh Hòa</v>
      </c>
    </row>
    <row r="2420" spans="1:7" x14ac:dyDescent="0.25">
      <c r="A2420" s="2">
        <v>2419</v>
      </c>
      <c r="B2420" s="3" t="s">
        <v>15</v>
      </c>
      <c r="C2420" s="4" t="str">
        <f t="shared" si="207"/>
        <v>Lạng Sơn</v>
      </c>
      <c r="D2420" s="3" t="s">
        <v>206</v>
      </c>
      <c r="E2420" s="4" t="str">
        <f t="shared" si="206"/>
        <v>Huyện Hữu Lũng</v>
      </c>
      <c r="F2420" s="3" t="s">
        <v>3184</v>
      </c>
      <c r="G2420" s="4" t="str">
        <f>HYPERLINK("https://diaocthongthai.com/xa-hoa-thang-huu-lung/","Xã Hòa Thắng")</f>
        <v>Xã Hòa Thắng</v>
      </c>
    </row>
    <row r="2421" spans="1:7" x14ac:dyDescent="0.25">
      <c r="A2421" s="2">
        <v>2420</v>
      </c>
      <c r="B2421" s="3" t="s">
        <v>15</v>
      </c>
      <c r="C2421" s="4" t="str">
        <f t="shared" si="207"/>
        <v>Lạng Sơn</v>
      </c>
      <c r="D2421" s="3" t="s">
        <v>207</v>
      </c>
      <c r="E2421" s="4" t="str">
        <f t="shared" ref="E2421:E2440" si="208">HYPERLINK("https://diaocthongthai.com/ban-do-huyen-chi-lang-lang-son/","Huyện Chi Lăng")</f>
        <v>Huyện Chi Lăng</v>
      </c>
      <c r="F2421" s="3" t="s">
        <v>3185</v>
      </c>
      <c r="G2421" s="4" t="str">
        <f>HYPERLINK("https://diaocthongthai.com/thi-tran-dong-mo-chi-lang/","Thị trấn Đồng Mỏ")</f>
        <v>Thị trấn Đồng Mỏ</v>
      </c>
    </row>
    <row r="2422" spans="1:7" x14ac:dyDescent="0.25">
      <c r="A2422" s="2">
        <v>2421</v>
      </c>
      <c r="B2422" s="3" t="s">
        <v>15</v>
      </c>
      <c r="C2422" s="4" t="str">
        <f t="shared" si="207"/>
        <v>Lạng Sơn</v>
      </c>
      <c r="D2422" s="3" t="s">
        <v>207</v>
      </c>
      <c r="E2422" s="4" t="str">
        <f t="shared" si="208"/>
        <v>Huyện Chi Lăng</v>
      </c>
      <c r="F2422" s="3" t="s">
        <v>3186</v>
      </c>
      <c r="G2422" s="4" t="str">
        <f>HYPERLINK("https://diaocthongthai.com/thi-tran-chi-lang-chi-lang/","Thị trấn Chi Lăng")</f>
        <v>Thị trấn Chi Lăng</v>
      </c>
    </row>
    <row r="2423" spans="1:7" x14ac:dyDescent="0.25">
      <c r="A2423" s="2">
        <v>2422</v>
      </c>
      <c r="B2423" s="3" t="s">
        <v>15</v>
      </c>
      <c r="C2423" s="4" t="str">
        <f t="shared" si="207"/>
        <v>Lạng Sơn</v>
      </c>
      <c r="D2423" s="3" t="s">
        <v>207</v>
      </c>
      <c r="E2423" s="4" t="str">
        <f t="shared" si="208"/>
        <v>Huyện Chi Lăng</v>
      </c>
      <c r="F2423" s="3" t="s">
        <v>3187</v>
      </c>
      <c r="G2423" s="4" t="str">
        <f>HYPERLINK("https://diaocthongthai.com/xa-van-an-chi-lang/","Xã Vân An")</f>
        <v>Xã Vân An</v>
      </c>
    </row>
    <row r="2424" spans="1:7" x14ac:dyDescent="0.25">
      <c r="A2424" s="2">
        <v>2423</v>
      </c>
      <c r="B2424" s="3" t="s">
        <v>15</v>
      </c>
      <c r="C2424" s="4" t="str">
        <f t="shared" si="207"/>
        <v>Lạng Sơn</v>
      </c>
      <c r="D2424" s="3" t="s">
        <v>207</v>
      </c>
      <c r="E2424" s="4" t="str">
        <f t="shared" si="208"/>
        <v>Huyện Chi Lăng</v>
      </c>
      <c r="F2424" s="3" t="s">
        <v>3188</v>
      </c>
      <c r="G2424" s="4" t="str">
        <f>HYPERLINK("https://diaocthongthai.com/xa-van-thuy-chi-lang/","Xã Vân Thủy")</f>
        <v>Xã Vân Thủy</v>
      </c>
    </row>
    <row r="2425" spans="1:7" x14ac:dyDescent="0.25">
      <c r="A2425" s="2">
        <v>2424</v>
      </c>
      <c r="B2425" s="3" t="s">
        <v>15</v>
      </c>
      <c r="C2425" s="4" t="str">
        <f t="shared" si="207"/>
        <v>Lạng Sơn</v>
      </c>
      <c r="D2425" s="3" t="s">
        <v>207</v>
      </c>
      <c r="E2425" s="4" t="str">
        <f t="shared" si="208"/>
        <v>Huyện Chi Lăng</v>
      </c>
      <c r="F2425" s="3" t="s">
        <v>3189</v>
      </c>
      <c r="G2425" s="4" t="str">
        <f>HYPERLINK("https://diaocthongthai.com/xa-gia-loc-chi-lang/","Xã Gia Lộc")</f>
        <v>Xã Gia Lộc</v>
      </c>
    </row>
    <row r="2426" spans="1:7" x14ac:dyDescent="0.25">
      <c r="A2426" s="2">
        <v>2425</v>
      </c>
      <c r="B2426" s="3" t="s">
        <v>15</v>
      </c>
      <c r="C2426" s="4" t="str">
        <f t="shared" si="207"/>
        <v>Lạng Sơn</v>
      </c>
      <c r="D2426" s="3" t="s">
        <v>207</v>
      </c>
      <c r="E2426" s="4" t="str">
        <f t="shared" si="208"/>
        <v>Huyện Chi Lăng</v>
      </c>
      <c r="F2426" s="3" t="s">
        <v>3190</v>
      </c>
      <c r="G2426" s="4" t="str">
        <f>HYPERLINK("https://diaocthongthai.com/xa-bac-thuy-chi-lang/","Xã Bắc Thủy")</f>
        <v>Xã Bắc Thủy</v>
      </c>
    </row>
    <row r="2427" spans="1:7" x14ac:dyDescent="0.25">
      <c r="A2427" s="2">
        <v>2426</v>
      </c>
      <c r="B2427" s="3" t="s">
        <v>15</v>
      </c>
      <c r="C2427" s="4" t="str">
        <f t="shared" si="207"/>
        <v>Lạng Sơn</v>
      </c>
      <c r="D2427" s="3" t="s">
        <v>207</v>
      </c>
      <c r="E2427" s="4" t="str">
        <f t="shared" si="208"/>
        <v>Huyện Chi Lăng</v>
      </c>
      <c r="F2427" s="3" t="s">
        <v>3191</v>
      </c>
      <c r="G2427" s="4" t="str">
        <f>HYPERLINK("https://diaocthongthai.com/xa-chien-thang-chi-lang/","Xã Chiến Thắng")</f>
        <v>Xã Chiến Thắng</v>
      </c>
    </row>
    <row r="2428" spans="1:7" x14ac:dyDescent="0.25">
      <c r="A2428" s="2">
        <v>2427</v>
      </c>
      <c r="B2428" s="3" t="s">
        <v>15</v>
      </c>
      <c r="C2428" s="4" t="str">
        <f t="shared" si="207"/>
        <v>Lạng Sơn</v>
      </c>
      <c r="D2428" s="3" t="s">
        <v>207</v>
      </c>
      <c r="E2428" s="4" t="str">
        <f t="shared" si="208"/>
        <v>Huyện Chi Lăng</v>
      </c>
      <c r="F2428" s="3" t="s">
        <v>3192</v>
      </c>
      <c r="G2428" s="4" t="str">
        <f>HYPERLINK("https://diaocthongthai.com/xa-mai-sao-chi-lang/","Xã Mai Sao")</f>
        <v>Xã Mai Sao</v>
      </c>
    </row>
    <row r="2429" spans="1:7" x14ac:dyDescent="0.25">
      <c r="A2429" s="2">
        <v>2428</v>
      </c>
      <c r="B2429" s="3" t="s">
        <v>15</v>
      </c>
      <c r="C2429" s="4" t="str">
        <f t="shared" si="207"/>
        <v>Lạng Sơn</v>
      </c>
      <c r="D2429" s="3" t="s">
        <v>207</v>
      </c>
      <c r="E2429" s="4" t="str">
        <f t="shared" si="208"/>
        <v>Huyện Chi Lăng</v>
      </c>
      <c r="F2429" s="3" t="s">
        <v>3193</v>
      </c>
      <c r="G2429" s="4" t="str">
        <f>HYPERLINK("https://diaocthongthai.com/xa-bang-huu-chi-lang/","Xã Bằng Hữu")</f>
        <v>Xã Bằng Hữu</v>
      </c>
    </row>
    <row r="2430" spans="1:7" x14ac:dyDescent="0.25">
      <c r="A2430" s="2">
        <v>2429</v>
      </c>
      <c r="B2430" s="3" t="s">
        <v>15</v>
      </c>
      <c r="C2430" s="4" t="str">
        <f t="shared" si="207"/>
        <v>Lạng Sơn</v>
      </c>
      <c r="D2430" s="3" t="s">
        <v>207</v>
      </c>
      <c r="E2430" s="4" t="str">
        <f t="shared" si="208"/>
        <v>Huyện Chi Lăng</v>
      </c>
      <c r="F2430" s="3" t="s">
        <v>3194</v>
      </c>
      <c r="G2430" s="4" t="str">
        <f>HYPERLINK("https://diaocthongthai.com/xa-thuong-cuong-chi-lang/","Xã Thượng Cường")</f>
        <v>Xã Thượng Cường</v>
      </c>
    </row>
    <row r="2431" spans="1:7" x14ac:dyDescent="0.25">
      <c r="A2431" s="2">
        <v>2430</v>
      </c>
      <c r="B2431" s="3" t="s">
        <v>15</v>
      </c>
      <c r="C2431" s="4" t="str">
        <f t="shared" si="207"/>
        <v>Lạng Sơn</v>
      </c>
      <c r="D2431" s="3" t="s">
        <v>207</v>
      </c>
      <c r="E2431" s="4" t="str">
        <f t="shared" si="208"/>
        <v>Huyện Chi Lăng</v>
      </c>
      <c r="F2431" s="3" t="s">
        <v>3195</v>
      </c>
      <c r="G2431" s="4" t="str">
        <f>HYPERLINK("https://diaocthongthai.com/xa-bang-mac-chi-lang/","Xã Bằng Mạc")</f>
        <v>Xã Bằng Mạc</v>
      </c>
    </row>
    <row r="2432" spans="1:7" x14ac:dyDescent="0.25">
      <c r="A2432" s="2">
        <v>2431</v>
      </c>
      <c r="B2432" s="3" t="s">
        <v>15</v>
      </c>
      <c r="C2432" s="4" t="str">
        <f t="shared" si="207"/>
        <v>Lạng Sơn</v>
      </c>
      <c r="D2432" s="3" t="s">
        <v>207</v>
      </c>
      <c r="E2432" s="4" t="str">
        <f t="shared" si="208"/>
        <v>Huyện Chi Lăng</v>
      </c>
      <c r="F2432" s="3" t="s">
        <v>3196</v>
      </c>
      <c r="G2432" s="4" t="str">
        <f>HYPERLINK("https://diaocthongthai.com/xa-nhan-ly-chi-lang/","Xã Nhân Lý")</f>
        <v>Xã Nhân Lý</v>
      </c>
    </row>
    <row r="2433" spans="1:7" x14ac:dyDescent="0.25">
      <c r="A2433" s="2">
        <v>2432</v>
      </c>
      <c r="B2433" s="3" t="s">
        <v>15</v>
      </c>
      <c r="C2433" s="4" t="str">
        <f t="shared" si="207"/>
        <v>Lạng Sơn</v>
      </c>
      <c r="D2433" s="3" t="s">
        <v>207</v>
      </c>
      <c r="E2433" s="4" t="str">
        <f t="shared" si="208"/>
        <v>Huyện Chi Lăng</v>
      </c>
      <c r="F2433" s="3" t="s">
        <v>3197</v>
      </c>
      <c r="G2433" s="4" t="str">
        <f>HYPERLINK("https://diaocthongthai.com/xa-lam-son-chi-lang/","Xã Lâm Sơn")</f>
        <v>Xã Lâm Sơn</v>
      </c>
    </row>
    <row r="2434" spans="1:7" x14ac:dyDescent="0.25">
      <c r="A2434" s="2">
        <v>2433</v>
      </c>
      <c r="B2434" s="3" t="s">
        <v>15</v>
      </c>
      <c r="C2434" s="4" t="str">
        <f t="shared" ref="C2434:C2465" si="209">HYPERLINK("https://diaocthongthai.com/ban-do-lang-son/","Lạng Sơn")</f>
        <v>Lạng Sơn</v>
      </c>
      <c r="D2434" s="3" t="s">
        <v>207</v>
      </c>
      <c r="E2434" s="4" t="str">
        <f t="shared" si="208"/>
        <v>Huyện Chi Lăng</v>
      </c>
      <c r="F2434" s="3" t="s">
        <v>3198</v>
      </c>
      <c r="G2434" s="4" t="str">
        <f>HYPERLINK("https://diaocthongthai.com/xa-lien-son-chi-lang/","Xã Liên Sơn")</f>
        <v>Xã Liên Sơn</v>
      </c>
    </row>
    <row r="2435" spans="1:7" x14ac:dyDescent="0.25">
      <c r="A2435" s="2">
        <v>2434</v>
      </c>
      <c r="B2435" s="3" t="s">
        <v>15</v>
      </c>
      <c r="C2435" s="4" t="str">
        <f t="shared" si="209"/>
        <v>Lạng Sơn</v>
      </c>
      <c r="D2435" s="3" t="s">
        <v>207</v>
      </c>
      <c r="E2435" s="4" t="str">
        <f t="shared" si="208"/>
        <v>Huyện Chi Lăng</v>
      </c>
      <c r="F2435" s="3" t="s">
        <v>3199</v>
      </c>
      <c r="G2435" s="4" t="str">
        <f>HYPERLINK("https://diaocthongthai.com/xa-van-linh-chi-lang/","Xã Vạn Linh")</f>
        <v>Xã Vạn Linh</v>
      </c>
    </row>
    <row r="2436" spans="1:7" x14ac:dyDescent="0.25">
      <c r="A2436" s="2">
        <v>2435</v>
      </c>
      <c r="B2436" s="3" t="s">
        <v>15</v>
      </c>
      <c r="C2436" s="4" t="str">
        <f t="shared" si="209"/>
        <v>Lạng Sơn</v>
      </c>
      <c r="D2436" s="3" t="s">
        <v>207</v>
      </c>
      <c r="E2436" s="4" t="str">
        <f t="shared" si="208"/>
        <v>Huyện Chi Lăng</v>
      </c>
      <c r="F2436" s="3" t="s">
        <v>3200</v>
      </c>
      <c r="G2436" s="4" t="str">
        <f>HYPERLINK("https://diaocthongthai.com/xa-hoa-binh-chi-lang/","Xã Hòa Bình")</f>
        <v>Xã Hòa Bình</v>
      </c>
    </row>
    <row r="2437" spans="1:7" x14ac:dyDescent="0.25">
      <c r="A2437" s="2">
        <v>2436</v>
      </c>
      <c r="B2437" s="3" t="s">
        <v>15</v>
      </c>
      <c r="C2437" s="4" t="str">
        <f t="shared" si="209"/>
        <v>Lạng Sơn</v>
      </c>
      <c r="D2437" s="3" t="s">
        <v>207</v>
      </c>
      <c r="E2437" s="4" t="str">
        <f t="shared" si="208"/>
        <v>Huyện Chi Lăng</v>
      </c>
      <c r="F2437" s="3" t="s">
        <v>3201</v>
      </c>
      <c r="G2437" s="4" t="str">
        <f>HYPERLINK("https://diaocthongthai.com/xa-huu-kien-chi-lang/","Xã Hữu Kiên")</f>
        <v>Xã Hữu Kiên</v>
      </c>
    </row>
    <row r="2438" spans="1:7" x14ac:dyDescent="0.25">
      <c r="A2438" s="2">
        <v>2437</v>
      </c>
      <c r="B2438" s="3" t="s">
        <v>15</v>
      </c>
      <c r="C2438" s="4" t="str">
        <f t="shared" si="209"/>
        <v>Lạng Sơn</v>
      </c>
      <c r="D2438" s="3" t="s">
        <v>207</v>
      </c>
      <c r="E2438" s="4" t="str">
        <f t="shared" si="208"/>
        <v>Huyện Chi Lăng</v>
      </c>
      <c r="F2438" s="3" t="s">
        <v>3202</v>
      </c>
      <c r="G2438" s="4" t="str">
        <f>HYPERLINK("https://diaocthongthai.com/xa-quan-son-chi-lang/","Xã Quan Sơn")</f>
        <v>Xã Quan Sơn</v>
      </c>
    </row>
    <row r="2439" spans="1:7" x14ac:dyDescent="0.25">
      <c r="A2439" s="2">
        <v>2438</v>
      </c>
      <c r="B2439" s="3" t="s">
        <v>15</v>
      </c>
      <c r="C2439" s="4" t="str">
        <f t="shared" si="209"/>
        <v>Lạng Sơn</v>
      </c>
      <c r="D2439" s="3" t="s">
        <v>207</v>
      </c>
      <c r="E2439" s="4" t="str">
        <f t="shared" si="208"/>
        <v>Huyện Chi Lăng</v>
      </c>
      <c r="F2439" s="3" t="s">
        <v>3203</v>
      </c>
      <c r="G2439" s="4" t="str">
        <f>HYPERLINK("https://diaocthongthai.com/xa-y-tich-chi-lang/","Xã Y Tịch")</f>
        <v>Xã Y Tịch</v>
      </c>
    </row>
    <row r="2440" spans="1:7" x14ac:dyDescent="0.25">
      <c r="A2440" s="2">
        <v>2439</v>
      </c>
      <c r="B2440" s="3" t="s">
        <v>15</v>
      </c>
      <c r="C2440" s="4" t="str">
        <f t="shared" si="209"/>
        <v>Lạng Sơn</v>
      </c>
      <c r="D2440" s="3" t="s">
        <v>207</v>
      </c>
      <c r="E2440" s="4" t="str">
        <f t="shared" si="208"/>
        <v>Huyện Chi Lăng</v>
      </c>
      <c r="F2440" s="3" t="s">
        <v>3204</v>
      </c>
      <c r="G2440" s="4" t="str">
        <f>HYPERLINK("https://diaocthongthai.com/xa-chi-lang-chi-lang/","Xã Chi Lăng")</f>
        <v>Xã Chi Lăng</v>
      </c>
    </row>
    <row r="2441" spans="1:7" x14ac:dyDescent="0.25">
      <c r="A2441" s="2">
        <v>2440</v>
      </c>
      <c r="B2441" s="3" t="s">
        <v>15</v>
      </c>
      <c r="C2441" s="4" t="str">
        <f t="shared" si="209"/>
        <v>Lạng Sơn</v>
      </c>
      <c r="D2441" s="3" t="s">
        <v>208</v>
      </c>
      <c r="E2441" s="4" t="str">
        <f t="shared" ref="E2441:E2461" si="210">HYPERLINK("https://diaocthongthai.com/ban-do-huyen-loc-binh-lang-son/","Huyện Lộc Bình")</f>
        <v>Huyện Lộc Bình</v>
      </c>
      <c r="F2441" s="3" t="s">
        <v>3205</v>
      </c>
      <c r="G2441" s="4" t="str">
        <f>HYPERLINK("https://diaocthongthai.com/thi-tran-na-duong-loc-binh/","Thị trấn Na Dương")</f>
        <v>Thị trấn Na Dương</v>
      </c>
    </row>
    <row r="2442" spans="1:7" x14ac:dyDescent="0.25">
      <c r="A2442" s="2">
        <v>2441</v>
      </c>
      <c r="B2442" s="3" t="s">
        <v>15</v>
      </c>
      <c r="C2442" s="4" t="str">
        <f t="shared" si="209"/>
        <v>Lạng Sơn</v>
      </c>
      <c r="D2442" s="3" t="s">
        <v>208</v>
      </c>
      <c r="E2442" s="4" t="str">
        <f t="shared" si="210"/>
        <v>Huyện Lộc Bình</v>
      </c>
      <c r="F2442" s="3" t="s">
        <v>3206</v>
      </c>
      <c r="G2442" s="4" t="str">
        <f>HYPERLINK("https://diaocthongthai.com/thi-tran-loc-binh-loc-binh/","Thị trấn Lộc Bình")</f>
        <v>Thị trấn Lộc Bình</v>
      </c>
    </row>
    <row r="2443" spans="1:7" x14ac:dyDescent="0.25">
      <c r="A2443" s="2">
        <v>2442</v>
      </c>
      <c r="B2443" s="3" t="s">
        <v>15</v>
      </c>
      <c r="C2443" s="4" t="str">
        <f t="shared" si="209"/>
        <v>Lạng Sơn</v>
      </c>
      <c r="D2443" s="3" t="s">
        <v>208</v>
      </c>
      <c r="E2443" s="4" t="str">
        <f t="shared" si="210"/>
        <v>Huyện Lộc Bình</v>
      </c>
      <c r="F2443" s="3" t="s">
        <v>3207</v>
      </c>
      <c r="G2443" s="4" t="str">
        <f>HYPERLINK("https://diaocthongthai.com/xa-mau-son-loc-binh/","Xã Mẫu Sơn")</f>
        <v>Xã Mẫu Sơn</v>
      </c>
    </row>
    <row r="2444" spans="1:7" x14ac:dyDescent="0.25">
      <c r="A2444" s="2">
        <v>2443</v>
      </c>
      <c r="B2444" s="3" t="s">
        <v>15</v>
      </c>
      <c r="C2444" s="4" t="str">
        <f t="shared" si="209"/>
        <v>Lạng Sơn</v>
      </c>
      <c r="D2444" s="3" t="s">
        <v>208</v>
      </c>
      <c r="E2444" s="4" t="str">
        <f t="shared" si="210"/>
        <v>Huyện Lộc Bình</v>
      </c>
      <c r="F2444" s="3" t="s">
        <v>3208</v>
      </c>
      <c r="G2444" s="4" t="str">
        <f>HYPERLINK("https://diaocthongthai.com/xa-yen-khoai-loc-binh/","Xã Yên Khoái")</f>
        <v>Xã Yên Khoái</v>
      </c>
    </row>
    <row r="2445" spans="1:7" x14ac:dyDescent="0.25">
      <c r="A2445" s="2">
        <v>2444</v>
      </c>
      <c r="B2445" s="3" t="s">
        <v>15</v>
      </c>
      <c r="C2445" s="4" t="str">
        <f t="shared" si="209"/>
        <v>Lạng Sơn</v>
      </c>
      <c r="D2445" s="3" t="s">
        <v>208</v>
      </c>
      <c r="E2445" s="4" t="str">
        <f t="shared" si="210"/>
        <v>Huyện Lộc Bình</v>
      </c>
      <c r="F2445" s="3" t="s">
        <v>3209</v>
      </c>
      <c r="G2445" s="4" t="str">
        <f>HYPERLINK("https://diaocthongthai.com/xa-khanh-xuan-loc-binh/","Xã Khánh Xuân")</f>
        <v>Xã Khánh Xuân</v>
      </c>
    </row>
    <row r="2446" spans="1:7" x14ac:dyDescent="0.25">
      <c r="A2446" s="2">
        <v>2445</v>
      </c>
      <c r="B2446" s="3" t="s">
        <v>15</v>
      </c>
      <c r="C2446" s="4" t="str">
        <f t="shared" si="209"/>
        <v>Lạng Sơn</v>
      </c>
      <c r="D2446" s="3" t="s">
        <v>208</v>
      </c>
      <c r="E2446" s="4" t="str">
        <f t="shared" si="210"/>
        <v>Huyện Lộc Bình</v>
      </c>
      <c r="F2446" s="3" t="s">
        <v>3210</v>
      </c>
      <c r="G2446" s="4" t="str">
        <f>HYPERLINK("https://diaocthongthai.com/xa-tu-mich-loc-binh/","Xã Tú Mịch")</f>
        <v>Xã Tú Mịch</v>
      </c>
    </row>
    <row r="2447" spans="1:7" x14ac:dyDescent="0.25">
      <c r="A2447" s="2">
        <v>2446</v>
      </c>
      <c r="B2447" s="3" t="s">
        <v>15</v>
      </c>
      <c r="C2447" s="4" t="str">
        <f t="shared" si="209"/>
        <v>Lạng Sơn</v>
      </c>
      <c r="D2447" s="3" t="s">
        <v>208</v>
      </c>
      <c r="E2447" s="4" t="str">
        <f t="shared" si="210"/>
        <v>Huyện Lộc Bình</v>
      </c>
      <c r="F2447" s="3" t="s">
        <v>3211</v>
      </c>
      <c r="G2447" s="4" t="str">
        <f>HYPERLINK("https://diaocthongthai.com/xa-huu-khanh-loc-binh/","Xã Hữu Khánh")</f>
        <v>Xã Hữu Khánh</v>
      </c>
    </row>
    <row r="2448" spans="1:7" x14ac:dyDescent="0.25">
      <c r="A2448" s="2">
        <v>2447</v>
      </c>
      <c r="B2448" s="3" t="s">
        <v>15</v>
      </c>
      <c r="C2448" s="4" t="str">
        <f t="shared" si="209"/>
        <v>Lạng Sơn</v>
      </c>
      <c r="D2448" s="3" t="s">
        <v>208</v>
      </c>
      <c r="E2448" s="4" t="str">
        <f t="shared" si="210"/>
        <v>Huyện Lộc Bình</v>
      </c>
      <c r="F2448" s="3" t="s">
        <v>3212</v>
      </c>
      <c r="G2448" s="4" t="str">
        <f>HYPERLINK("https://diaocthongthai.com/xa-dong-buc-loc-binh/","Xã Đồng Bục")</f>
        <v>Xã Đồng Bục</v>
      </c>
    </row>
    <row r="2449" spans="1:7" x14ac:dyDescent="0.25">
      <c r="A2449" s="2">
        <v>2448</v>
      </c>
      <c r="B2449" s="3" t="s">
        <v>15</v>
      </c>
      <c r="C2449" s="4" t="str">
        <f t="shared" si="209"/>
        <v>Lạng Sơn</v>
      </c>
      <c r="D2449" s="3" t="s">
        <v>208</v>
      </c>
      <c r="E2449" s="4" t="str">
        <f t="shared" si="210"/>
        <v>Huyện Lộc Bình</v>
      </c>
      <c r="F2449" s="3" t="s">
        <v>3213</v>
      </c>
      <c r="G2449" s="4" t="str">
        <f>HYPERLINK("https://diaocthongthai.com/xa-tam-gia-loc-binh/","Xã Tam Gia")</f>
        <v>Xã Tam Gia</v>
      </c>
    </row>
    <row r="2450" spans="1:7" x14ac:dyDescent="0.25">
      <c r="A2450" s="2">
        <v>2449</v>
      </c>
      <c r="B2450" s="3" t="s">
        <v>15</v>
      </c>
      <c r="C2450" s="4" t="str">
        <f t="shared" si="209"/>
        <v>Lạng Sơn</v>
      </c>
      <c r="D2450" s="3" t="s">
        <v>208</v>
      </c>
      <c r="E2450" s="4" t="str">
        <f t="shared" si="210"/>
        <v>Huyện Lộc Bình</v>
      </c>
      <c r="F2450" s="3" t="s">
        <v>3214</v>
      </c>
      <c r="G2450" s="4" t="str">
        <f>HYPERLINK("https://diaocthongthai.com/xa-tu-doan-loc-binh/","Xã Tú Đoạn")</f>
        <v>Xã Tú Đoạn</v>
      </c>
    </row>
    <row r="2451" spans="1:7" x14ac:dyDescent="0.25">
      <c r="A2451" s="2">
        <v>2450</v>
      </c>
      <c r="B2451" s="3" t="s">
        <v>15</v>
      </c>
      <c r="C2451" s="4" t="str">
        <f t="shared" si="209"/>
        <v>Lạng Sơn</v>
      </c>
      <c r="D2451" s="3" t="s">
        <v>208</v>
      </c>
      <c r="E2451" s="4" t="str">
        <f t="shared" si="210"/>
        <v>Huyện Lộc Bình</v>
      </c>
      <c r="F2451" s="3" t="s">
        <v>3215</v>
      </c>
      <c r="G2451" s="4" t="str">
        <f>HYPERLINK("https://diaocthongthai.com/xa-khuat-xa-loc-binh/","Xã Khuất Xá")</f>
        <v>Xã Khuất Xá</v>
      </c>
    </row>
    <row r="2452" spans="1:7" x14ac:dyDescent="0.25">
      <c r="A2452" s="2">
        <v>2451</v>
      </c>
      <c r="B2452" s="3" t="s">
        <v>15</v>
      </c>
      <c r="C2452" s="4" t="str">
        <f t="shared" si="209"/>
        <v>Lạng Sơn</v>
      </c>
      <c r="D2452" s="3" t="s">
        <v>208</v>
      </c>
      <c r="E2452" s="4" t="str">
        <f t="shared" si="210"/>
        <v>Huyện Lộc Bình</v>
      </c>
      <c r="F2452" s="3" t="s">
        <v>3216</v>
      </c>
      <c r="G2452" s="4" t="str">
        <f>HYPERLINK("https://diaocthongthai.com/xa-tinh-bac-loc-binh/","Xã Tĩnh Bắc")</f>
        <v>Xã Tĩnh Bắc</v>
      </c>
    </row>
    <row r="2453" spans="1:7" x14ac:dyDescent="0.25">
      <c r="A2453" s="2">
        <v>2452</v>
      </c>
      <c r="B2453" s="3" t="s">
        <v>15</v>
      </c>
      <c r="C2453" s="4" t="str">
        <f t="shared" si="209"/>
        <v>Lạng Sơn</v>
      </c>
      <c r="D2453" s="3" t="s">
        <v>208</v>
      </c>
      <c r="E2453" s="4" t="str">
        <f t="shared" si="210"/>
        <v>Huyện Lộc Bình</v>
      </c>
      <c r="F2453" s="3" t="s">
        <v>3217</v>
      </c>
      <c r="G2453" s="4" t="str">
        <f>HYPERLINK("https://diaocthongthai.com/xa-thong-nhat-loc-binh/","Xã Thống Nhất")</f>
        <v>Xã Thống Nhất</v>
      </c>
    </row>
    <row r="2454" spans="1:7" x14ac:dyDescent="0.25">
      <c r="A2454" s="2">
        <v>2453</v>
      </c>
      <c r="B2454" s="3" t="s">
        <v>15</v>
      </c>
      <c r="C2454" s="4" t="str">
        <f t="shared" si="209"/>
        <v>Lạng Sơn</v>
      </c>
      <c r="D2454" s="3" t="s">
        <v>208</v>
      </c>
      <c r="E2454" s="4" t="str">
        <f t="shared" si="210"/>
        <v>Huyện Lộc Bình</v>
      </c>
      <c r="F2454" s="3" t="s">
        <v>3218</v>
      </c>
      <c r="G2454" s="4" t="str">
        <f>HYPERLINK("https://diaocthongthai.com/xa-san-vien-loc-binh/","Xã Sàn Viên")</f>
        <v>Xã Sàn Viên</v>
      </c>
    </row>
    <row r="2455" spans="1:7" x14ac:dyDescent="0.25">
      <c r="A2455" s="2">
        <v>2454</v>
      </c>
      <c r="B2455" s="3" t="s">
        <v>15</v>
      </c>
      <c r="C2455" s="4" t="str">
        <f t="shared" si="209"/>
        <v>Lạng Sơn</v>
      </c>
      <c r="D2455" s="3" t="s">
        <v>208</v>
      </c>
      <c r="E2455" s="4" t="str">
        <f t="shared" si="210"/>
        <v>Huyện Lộc Bình</v>
      </c>
      <c r="F2455" s="3" t="s">
        <v>3219</v>
      </c>
      <c r="G2455" s="4" t="str">
        <f>HYPERLINK("https://diaocthongthai.com/xa-dong-quan-loc-binh/","Xã Đông Quan")</f>
        <v>Xã Đông Quan</v>
      </c>
    </row>
    <row r="2456" spans="1:7" x14ac:dyDescent="0.25">
      <c r="A2456" s="2">
        <v>2455</v>
      </c>
      <c r="B2456" s="3" t="s">
        <v>15</v>
      </c>
      <c r="C2456" s="4" t="str">
        <f t="shared" si="209"/>
        <v>Lạng Sơn</v>
      </c>
      <c r="D2456" s="3" t="s">
        <v>208</v>
      </c>
      <c r="E2456" s="4" t="str">
        <f t="shared" si="210"/>
        <v>Huyện Lộc Bình</v>
      </c>
      <c r="F2456" s="3" t="s">
        <v>3220</v>
      </c>
      <c r="G2456" s="4" t="str">
        <f>HYPERLINK("https://diaocthongthai.com/xa-minh-hiep-loc-binh/","Xã Minh Hiệp")</f>
        <v>Xã Minh Hiệp</v>
      </c>
    </row>
    <row r="2457" spans="1:7" x14ac:dyDescent="0.25">
      <c r="A2457" s="2">
        <v>2456</v>
      </c>
      <c r="B2457" s="3" t="s">
        <v>15</v>
      </c>
      <c r="C2457" s="4" t="str">
        <f t="shared" si="209"/>
        <v>Lạng Sơn</v>
      </c>
      <c r="D2457" s="3" t="s">
        <v>208</v>
      </c>
      <c r="E2457" s="4" t="str">
        <f t="shared" si="210"/>
        <v>Huyện Lộc Bình</v>
      </c>
      <c r="F2457" s="3" t="s">
        <v>3221</v>
      </c>
      <c r="G2457" s="4" t="str">
        <f>HYPERLINK("https://diaocthongthai.com/xa-huu-lan-loc-binh/","Xã Hữu Lân")</f>
        <v>Xã Hữu Lân</v>
      </c>
    </row>
    <row r="2458" spans="1:7" x14ac:dyDescent="0.25">
      <c r="A2458" s="2">
        <v>2457</v>
      </c>
      <c r="B2458" s="3" t="s">
        <v>15</v>
      </c>
      <c r="C2458" s="4" t="str">
        <f t="shared" si="209"/>
        <v>Lạng Sơn</v>
      </c>
      <c r="D2458" s="3" t="s">
        <v>208</v>
      </c>
      <c r="E2458" s="4" t="str">
        <f t="shared" si="210"/>
        <v>Huyện Lộc Bình</v>
      </c>
      <c r="F2458" s="3" t="s">
        <v>3222</v>
      </c>
      <c r="G2458" s="4" t="str">
        <f>HYPERLINK("https://diaocthongthai.com/xa-loi-bac-loc-binh/","Xã Lợi Bác")</f>
        <v>Xã Lợi Bác</v>
      </c>
    </row>
    <row r="2459" spans="1:7" x14ac:dyDescent="0.25">
      <c r="A2459" s="2">
        <v>2458</v>
      </c>
      <c r="B2459" s="3" t="s">
        <v>15</v>
      </c>
      <c r="C2459" s="4" t="str">
        <f t="shared" si="209"/>
        <v>Lạng Sơn</v>
      </c>
      <c r="D2459" s="3" t="s">
        <v>208</v>
      </c>
      <c r="E2459" s="4" t="str">
        <f t="shared" si="210"/>
        <v>Huyện Lộc Bình</v>
      </c>
      <c r="F2459" s="3" t="s">
        <v>3223</v>
      </c>
      <c r="G2459" s="4" t="str">
        <f>HYPERLINK("https://diaocthongthai.com/xa-nam-quan-loc-binh/","Xã Nam Quan")</f>
        <v>Xã Nam Quan</v>
      </c>
    </row>
    <row r="2460" spans="1:7" x14ac:dyDescent="0.25">
      <c r="A2460" s="2">
        <v>2459</v>
      </c>
      <c r="B2460" s="3" t="s">
        <v>15</v>
      </c>
      <c r="C2460" s="4" t="str">
        <f t="shared" si="209"/>
        <v>Lạng Sơn</v>
      </c>
      <c r="D2460" s="3" t="s">
        <v>208</v>
      </c>
      <c r="E2460" s="4" t="str">
        <f t="shared" si="210"/>
        <v>Huyện Lộc Bình</v>
      </c>
      <c r="F2460" s="3" t="s">
        <v>3224</v>
      </c>
      <c r="G2460" s="4" t="str">
        <f>HYPERLINK("https://diaocthongthai.com/xa-xuan-duong-loc-binh/","Xã Xuân Dương")</f>
        <v>Xã Xuân Dương</v>
      </c>
    </row>
    <row r="2461" spans="1:7" x14ac:dyDescent="0.25">
      <c r="A2461" s="2">
        <v>2460</v>
      </c>
      <c r="B2461" s="3" t="s">
        <v>15</v>
      </c>
      <c r="C2461" s="4" t="str">
        <f t="shared" si="209"/>
        <v>Lạng Sơn</v>
      </c>
      <c r="D2461" s="3" t="s">
        <v>208</v>
      </c>
      <c r="E2461" s="4" t="str">
        <f t="shared" si="210"/>
        <v>Huyện Lộc Bình</v>
      </c>
      <c r="F2461" s="3" t="s">
        <v>3225</v>
      </c>
      <c r="G2461" s="4" t="str">
        <f>HYPERLINK("https://diaocthongthai.com/xa-ai-quoc-loc-binh/","Xã Ái Quốc")</f>
        <v>Xã Ái Quốc</v>
      </c>
    </row>
    <row r="2462" spans="1:7" x14ac:dyDescent="0.25">
      <c r="A2462" s="2">
        <v>2461</v>
      </c>
      <c r="B2462" s="3" t="s">
        <v>15</v>
      </c>
      <c r="C2462" s="4" t="str">
        <f t="shared" si="209"/>
        <v>Lạng Sơn</v>
      </c>
      <c r="D2462" s="3" t="s">
        <v>209</v>
      </c>
      <c r="E2462" s="4" t="str">
        <f t="shared" ref="E2462:E2473" si="211">HYPERLINK("https://diaocthongthai.com/ban-do-huyen-dinh-lap-lang-son/","Huyện Đình Lập")</f>
        <v>Huyện Đình Lập</v>
      </c>
      <c r="F2462" s="3" t="s">
        <v>3226</v>
      </c>
      <c r="G2462" s="4" t="str">
        <f>HYPERLINK("https://diaocthongthai.com/thi-tran-dinh-lap-dinh-lap/","Thị trấn Đình Lập")</f>
        <v>Thị trấn Đình Lập</v>
      </c>
    </row>
    <row r="2463" spans="1:7" x14ac:dyDescent="0.25">
      <c r="A2463" s="2">
        <v>2462</v>
      </c>
      <c r="B2463" s="3" t="s">
        <v>15</v>
      </c>
      <c r="C2463" s="4" t="str">
        <f t="shared" si="209"/>
        <v>Lạng Sơn</v>
      </c>
      <c r="D2463" s="3" t="s">
        <v>209</v>
      </c>
      <c r="E2463" s="4" t="str">
        <f t="shared" si="211"/>
        <v>Huyện Đình Lập</v>
      </c>
      <c r="F2463" s="3" t="s">
        <v>3227</v>
      </c>
      <c r="G2463" s="4" t="str">
        <f>HYPERLINK("https://diaocthongthai.com/thi-tran-nong-truong-thai-binh-dinh-lap/","Thị trấn NT Thái Bình")</f>
        <v>Thị trấn NT Thái Bình</v>
      </c>
    </row>
    <row r="2464" spans="1:7" x14ac:dyDescent="0.25">
      <c r="A2464" s="2">
        <v>2463</v>
      </c>
      <c r="B2464" s="3" t="s">
        <v>15</v>
      </c>
      <c r="C2464" s="4" t="str">
        <f t="shared" si="209"/>
        <v>Lạng Sơn</v>
      </c>
      <c r="D2464" s="3" t="s">
        <v>209</v>
      </c>
      <c r="E2464" s="4" t="str">
        <f t="shared" si="211"/>
        <v>Huyện Đình Lập</v>
      </c>
      <c r="F2464" s="3" t="s">
        <v>3228</v>
      </c>
      <c r="G2464" s="4" t="str">
        <f>HYPERLINK("https://diaocthongthai.com/xa-bac-xa-dinh-lap/","Xã Bắc Xa")</f>
        <v>Xã Bắc Xa</v>
      </c>
    </row>
    <row r="2465" spans="1:7" x14ac:dyDescent="0.25">
      <c r="A2465" s="2">
        <v>2464</v>
      </c>
      <c r="B2465" s="3" t="s">
        <v>15</v>
      </c>
      <c r="C2465" s="4" t="str">
        <f t="shared" si="209"/>
        <v>Lạng Sơn</v>
      </c>
      <c r="D2465" s="3" t="s">
        <v>209</v>
      </c>
      <c r="E2465" s="4" t="str">
        <f t="shared" si="211"/>
        <v>Huyện Đình Lập</v>
      </c>
      <c r="F2465" s="3" t="s">
        <v>3229</v>
      </c>
      <c r="G2465" s="4" t="str">
        <f>HYPERLINK("https://diaocthongthai.com/xa-binh-xa-dinh-lap/","Xã Bính Xá")</f>
        <v>Xã Bính Xá</v>
      </c>
    </row>
    <row r="2466" spans="1:7" x14ac:dyDescent="0.25">
      <c r="A2466" s="2">
        <v>2465</v>
      </c>
      <c r="B2466" s="3" t="s">
        <v>15</v>
      </c>
      <c r="C2466" s="4" t="str">
        <f t="shared" ref="C2466:C2473" si="212">HYPERLINK("https://diaocthongthai.com/ban-do-lang-son/","Lạng Sơn")</f>
        <v>Lạng Sơn</v>
      </c>
      <c r="D2466" s="3" t="s">
        <v>209</v>
      </c>
      <c r="E2466" s="4" t="str">
        <f t="shared" si="211"/>
        <v>Huyện Đình Lập</v>
      </c>
      <c r="F2466" s="3" t="s">
        <v>3230</v>
      </c>
      <c r="G2466" s="4" t="str">
        <f>HYPERLINK("https://diaocthongthai.com/xa-kien-moc-dinh-lap/","Xã Kiên Mộc")</f>
        <v>Xã Kiên Mộc</v>
      </c>
    </row>
    <row r="2467" spans="1:7" x14ac:dyDescent="0.25">
      <c r="A2467" s="2">
        <v>2466</v>
      </c>
      <c r="B2467" s="3" t="s">
        <v>15</v>
      </c>
      <c r="C2467" s="4" t="str">
        <f t="shared" si="212"/>
        <v>Lạng Sơn</v>
      </c>
      <c r="D2467" s="3" t="s">
        <v>209</v>
      </c>
      <c r="E2467" s="4" t="str">
        <f t="shared" si="211"/>
        <v>Huyện Đình Lập</v>
      </c>
      <c r="F2467" s="3" t="s">
        <v>3231</v>
      </c>
      <c r="G2467" s="4" t="str">
        <f>HYPERLINK("https://diaocthongthai.com/xa-dinh-lap-dinh-lap/","Xã Đình Lập")</f>
        <v>Xã Đình Lập</v>
      </c>
    </row>
    <row r="2468" spans="1:7" x14ac:dyDescent="0.25">
      <c r="A2468" s="2">
        <v>2467</v>
      </c>
      <c r="B2468" s="3" t="s">
        <v>15</v>
      </c>
      <c r="C2468" s="4" t="str">
        <f t="shared" si="212"/>
        <v>Lạng Sơn</v>
      </c>
      <c r="D2468" s="3" t="s">
        <v>209</v>
      </c>
      <c r="E2468" s="4" t="str">
        <f t="shared" si="211"/>
        <v>Huyện Đình Lập</v>
      </c>
      <c r="F2468" s="3" t="s">
        <v>3232</v>
      </c>
      <c r="G2468" s="4" t="str">
        <f>HYPERLINK("https://diaocthongthai.com/xa-thai-binh-dinh-lap/","Xã Thái Bình")</f>
        <v>Xã Thái Bình</v>
      </c>
    </row>
    <row r="2469" spans="1:7" x14ac:dyDescent="0.25">
      <c r="A2469" s="2">
        <v>2468</v>
      </c>
      <c r="B2469" s="3" t="s">
        <v>15</v>
      </c>
      <c r="C2469" s="4" t="str">
        <f t="shared" si="212"/>
        <v>Lạng Sơn</v>
      </c>
      <c r="D2469" s="3" t="s">
        <v>209</v>
      </c>
      <c r="E2469" s="4" t="str">
        <f t="shared" si="211"/>
        <v>Huyện Đình Lập</v>
      </c>
      <c r="F2469" s="3" t="s">
        <v>3233</v>
      </c>
      <c r="G2469" s="4" t="str">
        <f>HYPERLINK("https://diaocthongthai.com/xa-cuong-loi-dinh-lap/","Xã Cường Lợi")</f>
        <v>Xã Cường Lợi</v>
      </c>
    </row>
    <row r="2470" spans="1:7" x14ac:dyDescent="0.25">
      <c r="A2470" s="2">
        <v>2469</v>
      </c>
      <c r="B2470" s="3" t="s">
        <v>15</v>
      </c>
      <c r="C2470" s="4" t="str">
        <f t="shared" si="212"/>
        <v>Lạng Sơn</v>
      </c>
      <c r="D2470" s="3" t="s">
        <v>209</v>
      </c>
      <c r="E2470" s="4" t="str">
        <f t="shared" si="211"/>
        <v>Huyện Đình Lập</v>
      </c>
      <c r="F2470" s="3" t="s">
        <v>3234</v>
      </c>
      <c r="G2470" s="4" t="str">
        <f>HYPERLINK("https://diaocthongthai.com/xa-chau-son-dinh-lap/","Xã Châu Sơn")</f>
        <v>Xã Châu Sơn</v>
      </c>
    </row>
    <row r="2471" spans="1:7" x14ac:dyDescent="0.25">
      <c r="A2471" s="2">
        <v>2470</v>
      </c>
      <c r="B2471" s="3" t="s">
        <v>15</v>
      </c>
      <c r="C2471" s="4" t="str">
        <f t="shared" si="212"/>
        <v>Lạng Sơn</v>
      </c>
      <c r="D2471" s="3" t="s">
        <v>209</v>
      </c>
      <c r="E2471" s="4" t="str">
        <f t="shared" si="211"/>
        <v>Huyện Đình Lập</v>
      </c>
      <c r="F2471" s="3" t="s">
        <v>3235</v>
      </c>
      <c r="G2471" s="4" t="str">
        <f>HYPERLINK("https://diaocthongthai.com/xa-lam-ca-dinh-lap/","Xã Lâm Ca")</f>
        <v>Xã Lâm Ca</v>
      </c>
    </row>
    <row r="2472" spans="1:7" x14ac:dyDescent="0.25">
      <c r="A2472" s="2">
        <v>2471</v>
      </c>
      <c r="B2472" s="3" t="s">
        <v>15</v>
      </c>
      <c r="C2472" s="4" t="str">
        <f t="shared" si="212"/>
        <v>Lạng Sơn</v>
      </c>
      <c r="D2472" s="3" t="s">
        <v>209</v>
      </c>
      <c r="E2472" s="4" t="str">
        <f t="shared" si="211"/>
        <v>Huyện Đình Lập</v>
      </c>
      <c r="F2472" s="3" t="s">
        <v>3236</v>
      </c>
      <c r="G2472" s="4" t="str">
        <f>HYPERLINK("https://diaocthongthai.com/xa-dong-thang-dinh-lap/","Xã Đồng Thắng")</f>
        <v>Xã Đồng Thắng</v>
      </c>
    </row>
    <row r="2473" spans="1:7" x14ac:dyDescent="0.25">
      <c r="A2473" s="2">
        <v>2472</v>
      </c>
      <c r="B2473" s="3" t="s">
        <v>15</v>
      </c>
      <c r="C2473" s="4" t="str">
        <f t="shared" si="212"/>
        <v>Lạng Sơn</v>
      </c>
      <c r="D2473" s="3" t="s">
        <v>209</v>
      </c>
      <c r="E2473" s="4" t="str">
        <f t="shared" si="211"/>
        <v>Huyện Đình Lập</v>
      </c>
      <c r="F2473" s="3" t="s">
        <v>3237</v>
      </c>
      <c r="G2473" s="4" t="str">
        <f>HYPERLINK("https://diaocthongthai.com/xa-bac-lang-dinh-lap/","Xã Bắc Lãng")</f>
        <v>Xã Bắc Lãng</v>
      </c>
    </row>
    <row r="2474" spans="1:7" x14ac:dyDescent="0.25">
      <c r="A2474" s="2">
        <v>2473</v>
      </c>
      <c r="B2474" s="3" t="s">
        <v>16</v>
      </c>
      <c r="C2474" s="4" t="str">
        <f t="shared" ref="C2474:C2505" si="213">HYPERLINK("https://diaocthongthai.com/ban-do-quang-ninh/","Quảng Ninh")</f>
        <v>Quảng Ninh</v>
      </c>
      <c r="D2474" s="3" t="s">
        <v>210</v>
      </c>
      <c r="E2474" s="4" t="str">
        <f t="shared" ref="E2474:E2506" si="214">HYPERLINK("https://diaocthongthai.com/ban-do-tp-ha-long-quang-ninh/","Thành phố Hạ Long")</f>
        <v>Thành phố Hạ Long</v>
      </c>
      <c r="F2474" s="3" t="s">
        <v>3238</v>
      </c>
      <c r="G2474" s="4" t="str">
        <f>HYPERLINK("https://diaocthongthai.com/phuong-ha-khanh-tp-ha-long/","Phường Hà Khánh")</f>
        <v>Phường Hà Khánh</v>
      </c>
    </row>
    <row r="2475" spans="1:7" x14ac:dyDescent="0.25">
      <c r="A2475" s="2">
        <v>2474</v>
      </c>
      <c r="B2475" s="3" t="s">
        <v>16</v>
      </c>
      <c r="C2475" s="4" t="str">
        <f t="shared" si="213"/>
        <v>Quảng Ninh</v>
      </c>
      <c r="D2475" s="3" t="s">
        <v>210</v>
      </c>
      <c r="E2475" s="4" t="str">
        <f t="shared" si="214"/>
        <v>Thành phố Hạ Long</v>
      </c>
      <c r="F2475" s="3" t="s">
        <v>3239</v>
      </c>
      <c r="G2475" s="4" t="str">
        <f>HYPERLINK("https://diaocthongthai.com/phuong-ha-phong-tp-ha-long/","Phường Hà Phong")</f>
        <v>Phường Hà Phong</v>
      </c>
    </row>
    <row r="2476" spans="1:7" x14ac:dyDescent="0.25">
      <c r="A2476" s="2">
        <v>2475</v>
      </c>
      <c r="B2476" s="3" t="s">
        <v>16</v>
      </c>
      <c r="C2476" s="4" t="str">
        <f t="shared" si="213"/>
        <v>Quảng Ninh</v>
      </c>
      <c r="D2476" s="3" t="s">
        <v>210</v>
      </c>
      <c r="E2476" s="4" t="str">
        <f t="shared" si="214"/>
        <v>Thành phố Hạ Long</v>
      </c>
      <c r="F2476" s="3" t="s">
        <v>3240</v>
      </c>
      <c r="G2476" s="4" t="str">
        <f>HYPERLINK("https://diaocthongthai.com/phuong-ha-khau-tp-ha-long/","Phường Hà Khẩu")</f>
        <v>Phường Hà Khẩu</v>
      </c>
    </row>
    <row r="2477" spans="1:7" x14ac:dyDescent="0.25">
      <c r="A2477" s="2">
        <v>2476</v>
      </c>
      <c r="B2477" s="3" t="s">
        <v>16</v>
      </c>
      <c r="C2477" s="4" t="str">
        <f t="shared" si="213"/>
        <v>Quảng Ninh</v>
      </c>
      <c r="D2477" s="3" t="s">
        <v>210</v>
      </c>
      <c r="E2477" s="4" t="str">
        <f t="shared" si="214"/>
        <v>Thành phố Hạ Long</v>
      </c>
      <c r="F2477" s="3" t="s">
        <v>3241</v>
      </c>
      <c r="G2477" s="4" t="str">
        <f>HYPERLINK("https://diaocthongthai.com/phuong-cao-xanh-tp-ha-long/","Phường Cao Xanh")</f>
        <v>Phường Cao Xanh</v>
      </c>
    </row>
    <row r="2478" spans="1:7" x14ac:dyDescent="0.25">
      <c r="A2478" s="2">
        <v>2477</v>
      </c>
      <c r="B2478" s="3" t="s">
        <v>16</v>
      </c>
      <c r="C2478" s="4" t="str">
        <f t="shared" si="213"/>
        <v>Quảng Ninh</v>
      </c>
      <c r="D2478" s="3" t="s">
        <v>210</v>
      </c>
      <c r="E2478" s="4" t="str">
        <f t="shared" si="214"/>
        <v>Thành phố Hạ Long</v>
      </c>
      <c r="F2478" s="3" t="s">
        <v>3242</v>
      </c>
      <c r="G2478" s="4" t="str">
        <f>HYPERLINK("https://diaocthongthai.com/phuong-gieng-day-tp-ha-long/","Phường Giếng Đáy")</f>
        <v>Phường Giếng Đáy</v>
      </c>
    </row>
    <row r="2479" spans="1:7" x14ac:dyDescent="0.25">
      <c r="A2479" s="2">
        <v>2478</v>
      </c>
      <c r="B2479" s="3" t="s">
        <v>16</v>
      </c>
      <c r="C2479" s="4" t="str">
        <f t="shared" si="213"/>
        <v>Quảng Ninh</v>
      </c>
      <c r="D2479" s="3" t="s">
        <v>210</v>
      </c>
      <c r="E2479" s="4" t="str">
        <f t="shared" si="214"/>
        <v>Thành phố Hạ Long</v>
      </c>
      <c r="F2479" s="3" t="s">
        <v>3243</v>
      </c>
      <c r="G2479" s="4" t="str">
        <f>HYPERLINK("https://diaocthongthai.com/phuong-ha-tu-tp-ha-long/","Phường Hà Tu")</f>
        <v>Phường Hà Tu</v>
      </c>
    </row>
    <row r="2480" spans="1:7" x14ac:dyDescent="0.25">
      <c r="A2480" s="2">
        <v>2479</v>
      </c>
      <c r="B2480" s="3" t="s">
        <v>16</v>
      </c>
      <c r="C2480" s="4" t="str">
        <f t="shared" si="213"/>
        <v>Quảng Ninh</v>
      </c>
      <c r="D2480" s="3" t="s">
        <v>210</v>
      </c>
      <c r="E2480" s="4" t="str">
        <f t="shared" si="214"/>
        <v>Thành phố Hạ Long</v>
      </c>
      <c r="F2480" s="3" t="s">
        <v>3244</v>
      </c>
      <c r="G2480" s="4" t="str">
        <f>HYPERLINK("https://diaocthongthai.com/phuong-ha-trung-tp-ha-long/","Phường Hà Trung")</f>
        <v>Phường Hà Trung</v>
      </c>
    </row>
    <row r="2481" spans="1:7" x14ac:dyDescent="0.25">
      <c r="A2481" s="2">
        <v>2480</v>
      </c>
      <c r="B2481" s="3" t="s">
        <v>16</v>
      </c>
      <c r="C2481" s="4" t="str">
        <f t="shared" si="213"/>
        <v>Quảng Ninh</v>
      </c>
      <c r="D2481" s="3" t="s">
        <v>210</v>
      </c>
      <c r="E2481" s="4" t="str">
        <f t="shared" si="214"/>
        <v>Thành phố Hạ Long</v>
      </c>
      <c r="F2481" s="3" t="s">
        <v>3245</v>
      </c>
      <c r="G2481" s="4" t="str">
        <f>HYPERLINK("https://diaocthongthai.com/phuong-ha-lam-tp-ha-long/","Phường Hà Lầm")</f>
        <v>Phường Hà Lầm</v>
      </c>
    </row>
    <row r="2482" spans="1:7" x14ac:dyDescent="0.25">
      <c r="A2482" s="2">
        <v>2481</v>
      </c>
      <c r="B2482" s="3" t="s">
        <v>16</v>
      </c>
      <c r="C2482" s="4" t="str">
        <f t="shared" si="213"/>
        <v>Quảng Ninh</v>
      </c>
      <c r="D2482" s="3" t="s">
        <v>210</v>
      </c>
      <c r="E2482" s="4" t="str">
        <f t="shared" si="214"/>
        <v>Thành phố Hạ Long</v>
      </c>
      <c r="F2482" s="3" t="s">
        <v>3246</v>
      </c>
      <c r="G2482" s="4" t="str">
        <f>HYPERLINK("https://diaocthongthai.com/phuong-bai-chay-tp-ha-long/","Phường Bãi Cháy")</f>
        <v>Phường Bãi Cháy</v>
      </c>
    </row>
    <row r="2483" spans="1:7" x14ac:dyDescent="0.25">
      <c r="A2483" s="2">
        <v>2482</v>
      </c>
      <c r="B2483" s="3" t="s">
        <v>16</v>
      </c>
      <c r="C2483" s="4" t="str">
        <f t="shared" si="213"/>
        <v>Quảng Ninh</v>
      </c>
      <c r="D2483" s="3" t="s">
        <v>210</v>
      </c>
      <c r="E2483" s="4" t="str">
        <f t="shared" si="214"/>
        <v>Thành phố Hạ Long</v>
      </c>
      <c r="F2483" s="3" t="s">
        <v>3247</v>
      </c>
      <c r="G2483" s="4" t="str">
        <f>HYPERLINK("https://diaocthongthai.com/phuong-cao-thang-tp-ha-long/","Phường Cao Thắng")</f>
        <v>Phường Cao Thắng</v>
      </c>
    </row>
    <row r="2484" spans="1:7" x14ac:dyDescent="0.25">
      <c r="A2484" s="2">
        <v>2483</v>
      </c>
      <c r="B2484" s="3" t="s">
        <v>16</v>
      </c>
      <c r="C2484" s="4" t="str">
        <f t="shared" si="213"/>
        <v>Quảng Ninh</v>
      </c>
      <c r="D2484" s="3" t="s">
        <v>210</v>
      </c>
      <c r="E2484" s="4" t="str">
        <f t="shared" si="214"/>
        <v>Thành phố Hạ Long</v>
      </c>
      <c r="F2484" s="3" t="s">
        <v>3248</v>
      </c>
      <c r="G2484" s="4" t="str">
        <f>HYPERLINK("https://diaocthongthai.com/phuong-hung-thang-tp-ha-long/","Phường Hùng Thắng")</f>
        <v>Phường Hùng Thắng</v>
      </c>
    </row>
    <row r="2485" spans="1:7" x14ac:dyDescent="0.25">
      <c r="A2485" s="2">
        <v>2484</v>
      </c>
      <c r="B2485" s="3" t="s">
        <v>16</v>
      </c>
      <c r="C2485" s="4" t="str">
        <f t="shared" si="213"/>
        <v>Quảng Ninh</v>
      </c>
      <c r="D2485" s="3" t="s">
        <v>210</v>
      </c>
      <c r="E2485" s="4" t="str">
        <f t="shared" si="214"/>
        <v>Thành phố Hạ Long</v>
      </c>
      <c r="F2485" s="3" t="s">
        <v>3249</v>
      </c>
      <c r="G2485" s="4" t="str">
        <f>HYPERLINK("https://diaocthongthai.com/phuong-yet-kieu-tp-ha-long/","Phường Yết Kiêu")</f>
        <v>Phường Yết Kiêu</v>
      </c>
    </row>
    <row r="2486" spans="1:7" x14ac:dyDescent="0.25">
      <c r="A2486" s="2">
        <v>2485</v>
      </c>
      <c r="B2486" s="3" t="s">
        <v>16</v>
      </c>
      <c r="C2486" s="4" t="str">
        <f t="shared" si="213"/>
        <v>Quảng Ninh</v>
      </c>
      <c r="D2486" s="3" t="s">
        <v>210</v>
      </c>
      <c r="E2486" s="4" t="str">
        <f t="shared" si="214"/>
        <v>Thành phố Hạ Long</v>
      </c>
      <c r="F2486" s="3" t="s">
        <v>3250</v>
      </c>
      <c r="G2486" s="4" t="str">
        <f>HYPERLINK("https://diaocthongthai.com/phuong-tran-hung-dao-tp-ha-long/","Phường Trần Hưng Đạo")</f>
        <v>Phường Trần Hưng Đạo</v>
      </c>
    </row>
    <row r="2487" spans="1:7" x14ac:dyDescent="0.25">
      <c r="A2487" s="2">
        <v>2486</v>
      </c>
      <c r="B2487" s="3" t="s">
        <v>16</v>
      </c>
      <c r="C2487" s="4" t="str">
        <f t="shared" si="213"/>
        <v>Quảng Ninh</v>
      </c>
      <c r="D2487" s="3" t="s">
        <v>210</v>
      </c>
      <c r="E2487" s="4" t="str">
        <f t="shared" si="214"/>
        <v>Thành phố Hạ Long</v>
      </c>
      <c r="F2487" s="3" t="s">
        <v>3251</v>
      </c>
      <c r="G2487" s="4" t="str">
        <f>HYPERLINK("https://diaocthongthai.com/phuong-hong-hai-tp-ha-long/","Phường Hồng Hải")</f>
        <v>Phường Hồng Hải</v>
      </c>
    </row>
    <row r="2488" spans="1:7" x14ac:dyDescent="0.25">
      <c r="A2488" s="2">
        <v>2487</v>
      </c>
      <c r="B2488" s="3" t="s">
        <v>16</v>
      </c>
      <c r="C2488" s="4" t="str">
        <f t="shared" si="213"/>
        <v>Quảng Ninh</v>
      </c>
      <c r="D2488" s="3" t="s">
        <v>210</v>
      </c>
      <c r="E2488" s="4" t="str">
        <f t="shared" si="214"/>
        <v>Thành phố Hạ Long</v>
      </c>
      <c r="F2488" s="3" t="s">
        <v>3252</v>
      </c>
      <c r="G2488" s="4" t="str">
        <f>HYPERLINK("https://diaocthongthai.com/phuong-hong-gai-tp-ha-long/","Phường Hồng Gai")</f>
        <v>Phường Hồng Gai</v>
      </c>
    </row>
    <row r="2489" spans="1:7" x14ac:dyDescent="0.25">
      <c r="A2489" s="2">
        <v>2488</v>
      </c>
      <c r="B2489" s="3" t="s">
        <v>16</v>
      </c>
      <c r="C2489" s="4" t="str">
        <f t="shared" si="213"/>
        <v>Quảng Ninh</v>
      </c>
      <c r="D2489" s="3" t="s">
        <v>210</v>
      </c>
      <c r="E2489" s="4" t="str">
        <f t="shared" si="214"/>
        <v>Thành phố Hạ Long</v>
      </c>
      <c r="F2489" s="3" t="s">
        <v>3253</v>
      </c>
      <c r="G2489" s="4" t="str">
        <f>HYPERLINK("https://diaocthongthai.com/phuong-bach-dang-tp-ha-long/","Phường Bạch Đằng")</f>
        <v>Phường Bạch Đằng</v>
      </c>
    </row>
    <row r="2490" spans="1:7" x14ac:dyDescent="0.25">
      <c r="A2490" s="2">
        <v>2489</v>
      </c>
      <c r="B2490" s="3" t="s">
        <v>16</v>
      </c>
      <c r="C2490" s="4" t="str">
        <f t="shared" si="213"/>
        <v>Quảng Ninh</v>
      </c>
      <c r="D2490" s="3" t="s">
        <v>210</v>
      </c>
      <c r="E2490" s="4" t="str">
        <f t="shared" si="214"/>
        <v>Thành phố Hạ Long</v>
      </c>
      <c r="F2490" s="3" t="s">
        <v>3254</v>
      </c>
      <c r="G2490" s="4" t="str">
        <f>HYPERLINK("https://diaocthongthai.com/phuong-hong-ha-tp-ha-long/","Phường Hồng Hà")</f>
        <v>Phường Hồng Hà</v>
      </c>
    </row>
    <row r="2491" spans="1:7" x14ac:dyDescent="0.25">
      <c r="A2491" s="2">
        <v>2490</v>
      </c>
      <c r="B2491" s="3" t="s">
        <v>16</v>
      </c>
      <c r="C2491" s="4" t="str">
        <f t="shared" si="213"/>
        <v>Quảng Ninh</v>
      </c>
      <c r="D2491" s="3" t="s">
        <v>210</v>
      </c>
      <c r="E2491" s="4" t="str">
        <f t="shared" si="214"/>
        <v>Thành phố Hạ Long</v>
      </c>
      <c r="F2491" s="3" t="s">
        <v>3255</v>
      </c>
      <c r="G2491" s="4" t="str">
        <f>HYPERLINK("https://diaocthongthai.com/phuong-tuan-chau-tp-ha-long/","Phường Tuần Châu")</f>
        <v>Phường Tuần Châu</v>
      </c>
    </row>
    <row r="2492" spans="1:7" x14ac:dyDescent="0.25">
      <c r="A2492" s="2">
        <v>2491</v>
      </c>
      <c r="B2492" s="3" t="s">
        <v>16</v>
      </c>
      <c r="C2492" s="4" t="str">
        <f t="shared" si="213"/>
        <v>Quảng Ninh</v>
      </c>
      <c r="D2492" s="3" t="s">
        <v>210</v>
      </c>
      <c r="E2492" s="4" t="str">
        <f t="shared" si="214"/>
        <v>Thành phố Hạ Long</v>
      </c>
      <c r="F2492" s="3" t="s">
        <v>3256</v>
      </c>
      <c r="G2492" s="4" t="str">
        <f>HYPERLINK("https://diaocthongthai.com/phuong-viet-hung-tp-ha-long/","Phường Việt Hưng")</f>
        <v>Phường Việt Hưng</v>
      </c>
    </row>
    <row r="2493" spans="1:7" x14ac:dyDescent="0.25">
      <c r="A2493" s="2">
        <v>2492</v>
      </c>
      <c r="B2493" s="3" t="s">
        <v>16</v>
      </c>
      <c r="C2493" s="4" t="str">
        <f t="shared" si="213"/>
        <v>Quảng Ninh</v>
      </c>
      <c r="D2493" s="3" t="s">
        <v>210</v>
      </c>
      <c r="E2493" s="4" t="str">
        <f t="shared" si="214"/>
        <v>Thành phố Hạ Long</v>
      </c>
      <c r="F2493" s="3" t="s">
        <v>3257</v>
      </c>
      <c r="G2493" s="4" t="str">
        <f>HYPERLINK("https://diaocthongthai.com/phuong-dai-yen-tp-ha-long/","Phường Đại Yên")</f>
        <v>Phường Đại Yên</v>
      </c>
    </row>
    <row r="2494" spans="1:7" x14ac:dyDescent="0.25">
      <c r="A2494" s="2">
        <v>2493</v>
      </c>
      <c r="B2494" s="3" t="s">
        <v>16</v>
      </c>
      <c r="C2494" s="4" t="str">
        <f t="shared" si="213"/>
        <v>Quảng Ninh</v>
      </c>
      <c r="D2494" s="3" t="s">
        <v>210</v>
      </c>
      <c r="E2494" s="4" t="str">
        <f t="shared" si="214"/>
        <v>Thành phố Hạ Long</v>
      </c>
      <c r="F2494" s="3" t="s">
        <v>3258</v>
      </c>
      <c r="G2494" s="4" t="str">
        <f>HYPERLINK("https://diaocthongthai.com/phuong-hoanh-bo-tp-ha-long/","Phường Hoành Bồ")</f>
        <v>Phường Hoành Bồ</v>
      </c>
    </row>
    <row r="2495" spans="1:7" x14ac:dyDescent="0.25">
      <c r="A2495" s="2">
        <v>2494</v>
      </c>
      <c r="B2495" s="3" t="s">
        <v>16</v>
      </c>
      <c r="C2495" s="4" t="str">
        <f t="shared" si="213"/>
        <v>Quảng Ninh</v>
      </c>
      <c r="D2495" s="3" t="s">
        <v>210</v>
      </c>
      <c r="E2495" s="4" t="str">
        <f t="shared" si="214"/>
        <v>Thành phố Hạ Long</v>
      </c>
      <c r="F2495" s="3" t="s">
        <v>3259</v>
      </c>
      <c r="G2495" s="4" t="str">
        <f>HYPERLINK("https://diaocthongthai.com/xa-ky-thuong-tp-ha-long/","Xã Kỳ Thượng")</f>
        <v>Xã Kỳ Thượng</v>
      </c>
    </row>
    <row r="2496" spans="1:7" x14ac:dyDescent="0.25">
      <c r="A2496" s="2">
        <v>2495</v>
      </c>
      <c r="B2496" s="3" t="s">
        <v>16</v>
      </c>
      <c r="C2496" s="4" t="str">
        <f t="shared" si="213"/>
        <v>Quảng Ninh</v>
      </c>
      <c r="D2496" s="3" t="s">
        <v>210</v>
      </c>
      <c r="E2496" s="4" t="str">
        <f t="shared" si="214"/>
        <v>Thành phố Hạ Long</v>
      </c>
      <c r="F2496" s="3" t="s">
        <v>3260</v>
      </c>
      <c r="G2496" s="4" t="str">
        <f>HYPERLINK("https://diaocthongthai.com/xa-dong-son-tp-ha-long/","Xã Đồng Sơn")</f>
        <v>Xã Đồng Sơn</v>
      </c>
    </row>
    <row r="2497" spans="1:7" x14ac:dyDescent="0.25">
      <c r="A2497" s="2">
        <v>2496</v>
      </c>
      <c r="B2497" s="3" t="s">
        <v>16</v>
      </c>
      <c r="C2497" s="4" t="str">
        <f t="shared" si="213"/>
        <v>Quảng Ninh</v>
      </c>
      <c r="D2497" s="3" t="s">
        <v>210</v>
      </c>
      <c r="E2497" s="4" t="str">
        <f t="shared" si="214"/>
        <v>Thành phố Hạ Long</v>
      </c>
      <c r="F2497" s="3" t="s">
        <v>3261</v>
      </c>
      <c r="G2497" s="4" t="str">
        <f>HYPERLINK("https://diaocthongthai.com/xa-tan-dan-tp-ha-long/","Xã Tân Dân")</f>
        <v>Xã Tân Dân</v>
      </c>
    </row>
    <row r="2498" spans="1:7" x14ac:dyDescent="0.25">
      <c r="A2498" s="2">
        <v>2497</v>
      </c>
      <c r="B2498" s="3" t="s">
        <v>16</v>
      </c>
      <c r="C2498" s="4" t="str">
        <f t="shared" si="213"/>
        <v>Quảng Ninh</v>
      </c>
      <c r="D2498" s="3" t="s">
        <v>210</v>
      </c>
      <c r="E2498" s="4" t="str">
        <f t="shared" si="214"/>
        <v>Thành phố Hạ Long</v>
      </c>
      <c r="F2498" s="3" t="s">
        <v>3262</v>
      </c>
      <c r="G2498" s="4" t="str">
        <f>HYPERLINK("https://diaocthongthai.com/xa-dong-lam-tp-ha-long/","Xã Đồng Lâm")</f>
        <v>Xã Đồng Lâm</v>
      </c>
    </row>
    <row r="2499" spans="1:7" x14ac:dyDescent="0.25">
      <c r="A2499" s="2">
        <v>2498</v>
      </c>
      <c r="B2499" s="3" t="s">
        <v>16</v>
      </c>
      <c r="C2499" s="4" t="str">
        <f t="shared" si="213"/>
        <v>Quảng Ninh</v>
      </c>
      <c r="D2499" s="3" t="s">
        <v>210</v>
      </c>
      <c r="E2499" s="4" t="str">
        <f t="shared" si="214"/>
        <v>Thành phố Hạ Long</v>
      </c>
      <c r="F2499" s="3" t="s">
        <v>3263</v>
      </c>
      <c r="G2499" s="4" t="str">
        <f>HYPERLINK("https://diaocthongthai.com/xa-hoa-binh-tp-ha-long/","Xã Hòa Bình")</f>
        <v>Xã Hòa Bình</v>
      </c>
    </row>
    <row r="2500" spans="1:7" x14ac:dyDescent="0.25">
      <c r="A2500" s="2">
        <v>2499</v>
      </c>
      <c r="B2500" s="3" t="s">
        <v>16</v>
      </c>
      <c r="C2500" s="4" t="str">
        <f t="shared" si="213"/>
        <v>Quảng Ninh</v>
      </c>
      <c r="D2500" s="3" t="s">
        <v>210</v>
      </c>
      <c r="E2500" s="4" t="str">
        <f t="shared" si="214"/>
        <v>Thành phố Hạ Long</v>
      </c>
      <c r="F2500" s="3" t="s">
        <v>3264</v>
      </c>
      <c r="G2500" s="4" t="str">
        <f>HYPERLINK("https://diaocthongthai.com/xa-vu-oai-tp-ha-long/","Xã Vũ Oai")</f>
        <v>Xã Vũ Oai</v>
      </c>
    </row>
    <row r="2501" spans="1:7" x14ac:dyDescent="0.25">
      <c r="A2501" s="2">
        <v>2500</v>
      </c>
      <c r="B2501" s="3" t="s">
        <v>16</v>
      </c>
      <c r="C2501" s="4" t="str">
        <f t="shared" si="213"/>
        <v>Quảng Ninh</v>
      </c>
      <c r="D2501" s="3" t="s">
        <v>210</v>
      </c>
      <c r="E2501" s="4" t="str">
        <f t="shared" si="214"/>
        <v>Thành phố Hạ Long</v>
      </c>
      <c r="F2501" s="3" t="s">
        <v>3265</v>
      </c>
      <c r="G2501" s="4" t="str">
        <f>HYPERLINK("https://diaocthongthai.com/xa-dan-chu-tp-ha-long/","Xã Dân Chủ")</f>
        <v>Xã Dân Chủ</v>
      </c>
    </row>
    <row r="2502" spans="1:7" x14ac:dyDescent="0.25">
      <c r="A2502" s="2">
        <v>2501</v>
      </c>
      <c r="B2502" s="3" t="s">
        <v>16</v>
      </c>
      <c r="C2502" s="4" t="str">
        <f t="shared" si="213"/>
        <v>Quảng Ninh</v>
      </c>
      <c r="D2502" s="3" t="s">
        <v>210</v>
      </c>
      <c r="E2502" s="4" t="str">
        <f t="shared" si="214"/>
        <v>Thành phố Hạ Long</v>
      </c>
      <c r="F2502" s="3" t="s">
        <v>3266</v>
      </c>
      <c r="G2502" s="4" t="str">
        <f>HYPERLINK("https://diaocthongthai.com/xa-quang-la-tp-ha-long/","Xã Quảng La")</f>
        <v>Xã Quảng La</v>
      </c>
    </row>
    <row r="2503" spans="1:7" x14ac:dyDescent="0.25">
      <c r="A2503" s="2">
        <v>2502</v>
      </c>
      <c r="B2503" s="3" t="s">
        <v>16</v>
      </c>
      <c r="C2503" s="4" t="str">
        <f t="shared" si="213"/>
        <v>Quảng Ninh</v>
      </c>
      <c r="D2503" s="3" t="s">
        <v>210</v>
      </c>
      <c r="E2503" s="4" t="str">
        <f t="shared" si="214"/>
        <v>Thành phố Hạ Long</v>
      </c>
      <c r="F2503" s="3" t="s">
        <v>3267</v>
      </c>
      <c r="G2503" s="4" t="str">
        <f>HYPERLINK("https://diaocthongthai.com/xa-bang-ca-tp-ha-long/","Xã Bằng Cả")</f>
        <v>Xã Bằng Cả</v>
      </c>
    </row>
    <row r="2504" spans="1:7" x14ac:dyDescent="0.25">
      <c r="A2504" s="2">
        <v>2503</v>
      </c>
      <c r="B2504" s="3" t="s">
        <v>16</v>
      </c>
      <c r="C2504" s="4" t="str">
        <f t="shared" si="213"/>
        <v>Quảng Ninh</v>
      </c>
      <c r="D2504" s="3" t="s">
        <v>210</v>
      </c>
      <c r="E2504" s="4" t="str">
        <f t="shared" si="214"/>
        <v>Thành phố Hạ Long</v>
      </c>
      <c r="F2504" s="3" t="s">
        <v>3268</v>
      </c>
      <c r="G2504" s="4" t="str">
        <f>HYPERLINK("https://diaocthongthai.com/xa-thong-nhat-tp-ha-long/","Xã Thống Nhất")</f>
        <v>Xã Thống Nhất</v>
      </c>
    </row>
    <row r="2505" spans="1:7" x14ac:dyDescent="0.25">
      <c r="A2505" s="2">
        <v>2504</v>
      </c>
      <c r="B2505" s="3" t="s">
        <v>16</v>
      </c>
      <c r="C2505" s="4" t="str">
        <f t="shared" si="213"/>
        <v>Quảng Ninh</v>
      </c>
      <c r="D2505" s="3" t="s">
        <v>210</v>
      </c>
      <c r="E2505" s="4" t="str">
        <f t="shared" si="214"/>
        <v>Thành phố Hạ Long</v>
      </c>
      <c r="F2505" s="3" t="s">
        <v>3269</v>
      </c>
      <c r="G2505" s="4" t="str">
        <f>HYPERLINK("https://diaocthongthai.com/xa-son-duong-tp-ha-long/","Xã Sơn Dương")</f>
        <v>Xã Sơn Dương</v>
      </c>
    </row>
    <row r="2506" spans="1:7" x14ac:dyDescent="0.25">
      <c r="A2506" s="2">
        <v>2505</v>
      </c>
      <c r="B2506" s="3" t="s">
        <v>16</v>
      </c>
      <c r="C2506" s="4" t="str">
        <f t="shared" ref="C2506:C2537" si="215">HYPERLINK("https://diaocthongthai.com/ban-do-quang-ninh/","Quảng Ninh")</f>
        <v>Quảng Ninh</v>
      </c>
      <c r="D2506" s="3" t="s">
        <v>210</v>
      </c>
      <c r="E2506" s="4" t="str">
        <f t="shared" si="214"/>
        <v>Thành phố Hạ Long</v>
      </c>
      <c r="F2506" s="3" t="s">
        <v>3270</v>
      </c>
      <c r="G2506" s="4" t="str">
        <f>HYPERLINK("https://diaocthongthai.com/xa-le-loi-tp-ha-long/","Xã Lê Lợi")</f>
        <v>Xã Lê Lợi</v>
      </c>
    </row>
    <row r="2507" spans="1:7" x14ac:dyDescent="0.25">
      <c r="A2507" s="2">
        <v>2506</v>
      </c>
      <c r="B2507" s="3" t="s">
        <v>16</v>
      </c>
      <c r="C2507" s="4" t="str">
        <f t="shared" si="215"/>
        <v>Quảng Ninh</v>
      </c>
      <c r="D2507" s="3" t="s">
        <v>211</v>
      </c>
      <c r="E2507" s="4" t="str">
        <f t="shared" ref="E2507:E2523" si="216">HYPERLINK("https://diaocthongthai.com/ban-do-tp-mong-cai-quang-ninh/","Thành phố Móng Cái")</f>
        <v>Thành phố Móng Cái</v>
      </c>
      <c r="F2507" s="3" t="s">
        <v>3271</v>
      </c>
      <c r="G2507" s="4" t="str">
        <f>HYPERLINK("https://diaocthongthai.com/phuong-ka-long-tp-mong-cai/","Phường Ka Long")</f>
        <v>Phường Ka Long</v>
      </c>
    </row>
    <row r="2508" spans="1:7" x14ac:dyDescent="0.25">
      <c r="A2508" s="2">
        <v>2507</v>
      </c>
      <c r="B2508" s="3" t="s">
        <v>16</v>
      </c>
      <c r="C2508" s="4" t="str">
        <f t="shared" si="215"/>
        <v>Quảng Ninh</v>
      </c>
      <c r="D2508" s="3" t="s">
        <v>211</v>
      </c>
      <c r="E2508" s="4" t="str">
        <f t="shared" si="216"/>
        <v>Thành phố Móng Cái</v>
      </c>
      <c r="F2508" s="3" t="s">
        <v>3272</v>
      </c>
      <c r="G2508" s="4" t="str">
        <f>HYPERLINK("https://diaocthongthai.com/phuong-tran-phu-tp-mong-cai/","Phường Trần Phú")</f>
        <v>Phường Trần Phú</v>
      </c>
    </row>
    <row r="2509" spans="1:7" x14ac:dyDescent="0.25">
      <c r="A2509" s="2">
        <v>2508</v>
      </c>
      <c r="B2509" s="3" t="s">
        <v>16</v>
      </c>
      <c r="C2509" s="4" t="str">
        <f t="shared" si="215"/>
        <v>Quảng Ninh</v>
      </c>
      <c r="D2509" s="3" t="s">
        <v>211</v>
      </c>
      <c r="E2509" s="4" t="str">
        <f t="shared" si="216"/>
        <v>Thành phố Móng Cái</v>
      </c>
      <c r="F2509" s="3" t="s">
        <v>3273</v>
      </c>
      <c r="G2509" s="4" t="str">
        <f>HYPERLINK("https://diaocthongthai.com/phuong-ninh-duong-tp-mong-cai/","Phường Ninh Dương")</f>
        <v>Phường Ninh Dương</v>
      </c>
    </row>
    <row r="2510" spans="1:7" x14ac:dyDescent="0.25">
      <c r="A2510" s="2">
        <v>2509</v>
      </c>
      <c r="B2510" s="3" t="s">
        <v>16</v>
      </c>
      <c r="C2510" s="4" t="str">
        <f t="shared" si="215"/>
        <v>Quảng Ninh</v>
      </c>
      <c r="D2510" s="3" t="s">
        <v>211</v>
      </c>
      <c r="E2510" s="4" t="str">
        <f t="shared" si="216"/>
        <v>Thành phố Móng Cái</v>
      </c>
      <c r="F2510" s="3" t="s">
        <v>3274</v>
      </c>
      <c r="G2510" s="4" t="str">
        <f>HYPERLINK("https://diaocthongthai.com/phuong-hoa-lac-tp-mong-cai/","Phường Hoà Lạc")</f>
        <v>Phường Hoà Lạc</v>
      </c>
    </row>
    <row r="2511" spans="1:7" x14ac:dyDescent="0.25">
      <c r="A2511" s="2">
        <v>2510</v>
      </c>
      <c r="B2511" s="3" t="s">
        <v>16</v>
      </c>
      <c r="C2511" s="4" t="str">
        <f t="shared" si="215"/>
        <v>Quảng Ninh</v>
      </c>
      <c r="D2511" s="3" t="s">
        <v>211</v>
      </c>
      <c r="E2511" s="4" t="str">
        <f t="shared" si="216"/>
        <v>Thành phố Móng Cái</v>
      </c>
      <c r="F2511" s="3" t="s">
        <v>3275</v>
      </c>
      <c r="G2511" s="4" t="str">
        <f>HYPERLINK("https://diaocthongthai.com/phuong-tra-co-tp-mong-cai/","Phường Trà Cổ")</f>
        <v>Phường Trà Cổ</v>
      </c>
    </row>
    <row r="2512" spans="1:7" x14ac:dyDescent="0.25">
      <c r="A2512" s="2">
        <v>2511</v>
      </c>
      <c r="B2512" s="3" t="s">
        <v>16</v>
      </c>
      <c r="C2512" s="4" t="str">
        <f t="shared" si="215"/>
        <v>Quảng Ninh</v>
      </c>
      <c r="D2512" s="3" t="s">
        <v>211</v>
      </c>
      <c r="E2512" s="4" t="str">
        <f t="shared" si="216"/>
        <v>Thành phố Móng Cái</v>
      </c>
      <c r="F2512" s="3" t="s">
        <v>3276</v>
      </c>
      <c r="G2512" s="4" t="str">
        <f>HYPERLINK("https://diaocthongthai.com/xa-hai-son-tp-mong-cai/","Xã Hải Sơn")</f>
        <v>Xã Hải Sơn</v>
      </c>
    </row>
    <row r="2513" spans="1:7" x14ac:dyDescent="0.25">
      <c r="A2513" s="2">
        <v>2512</v>
      </c>
      <c r="B2513" s="3" t="s">
        <v>16</v>
      </c>
      <c r="C2513" s="4" t="str">
        <f t="shared" si="215"/>
        <v>Quảng Ninh</v>
      </c>
      <c r="D2513" s="3" t="s">
        <v>211</v>
      </c>
      <c r="E2513" s="4" t="str">
        <f t="shared" si="216"/>
        <v>Thành phố Móng Cái</v>
      </c>
      <c r="F2513" s="3" t="s">
        <v>3277</v>
      </c>
      <c r="G2513" s="4" t="str">
        <f>HYPERLINK("https://diaocthongthai.com/xa-bac-son-tp-mong-cai/","Xã Bắc Sơn")</f>
        <v>Xã Bắc Sơn</v>
      </c>
    </row>
    <row r="2514" spans="1:7" x14ac:dyDescent="0.25">
      <c r="A2514" s="2">
        <v>2513</v>
      </c>
      <c r="B2514" s="3" t="s">
        <v>16</v>
      </c>
      <c r="C2514" s="4" t="str">
        <f t="shared" si="215"/>
        <v>Quảng Ninh</v>
      </c>
      <c r="D2514" s="3" t="s">
        <v>211</v>
      </c>
      <c r="E2514" s="4" t="str">
        <f t="shared" si="216"/>
        <v>Thành phố Móng Cái</v>
      </c>
      <c r="F2514" s="3" t="s">
        <v>3278</v>
      </c>
      <c r="G2514" s="4" t="str">
        <f>HYPERLINK("https://diaocthongthai.com/xa-hai-dong-tp-mong-cai/","Xã Hải Đông")</f>
        <v>Xã Hải Đông</v>
      </c>
    </row>
    <row r="2515" spans="1:7" x14ac:dyDescent="0.25">
      <c r="A2515" s="2">
        <v>2514</v>
      </c>
      <c r="B2515" s="3" t="s">
        <v>16</v>
      </c>
      <c r="C2515" s="4" t="str">
        <f t="shared" si="215"/>
        <v>Quảng Ninh</v>
      </c>
      <c r="D2515" s="3" t="s">
        <v>211</v>
      </c>
      <c r="E2515" s="4" t="str">
        <f t="shared" si="216"/>
        <v>Thành phố Móng Cái</v>
      </c>
      <c r="F2515" s="3" t="s">
        <v>3279</v>
      </c>
      <c r="G2515" s="4" t="str">
        <f>HYPERLINK("https://diaocthongthai.com/xa-hai-tien-tp-mong-cai/","Xã Hải Tiến")</f>
        <v>Xã Hải Tiến</v>
      </c>
    </row>
    <row r="2516" spans="1:7" x14ac:dyDescent="0.25">
      <c r="A2516" s="2">
        <v>2515</v>
      </c>
      <c r="B2516" s="3" t="s">
        <v>16</v>
      </c>
      <c r="C2516" s="4" t="str">
        <f t="shared" si="215"/>
        <v>Quảng Ninh</v>
      </c>
      <c r="D2516" s="3" t="s">
        <v>211</v>
      </c>
      <c r="E2516" s="4" t="str">
        <f t="shared" si="216"/>
        <v>Thành phố Móng Cái</v>
      </c>
      <c r="F2516" s="3" t="s">
        <v>3280</v>
      </c>
      <c r="G2516" s="4" t="str">
        <f>HYPERLINK("https://diaocthongthai.com/phuong-hai-yen-tp-mong-cai/","Phường Hải Yên")</f>
        <v>Phường Hải Yên</v>
      </c>
    </row>
    <row r="2517" spans="1:7" x14ac:dyDescent="0.25">
      <c r="A2517" s="2">
        <v>2516</v>
      </c>
      <c r="B2517" s="3" t="s">
        <v>16</v>
      </c>
      <c r="C2517" s="4" t="str">
        <f t="shared" si="215"/>
        <v>Quảng Ninh</v>
      </c>
      <c r="D2517" s="3" t="s">
        <v>211</v>
      </c>
      <c r="E2517" s="4" t="str">
        <f t="shared" si="216"/>
        <v>Thành phố Móng Cái</v>
      </c>
      <c r="F2517" s="3" t="s">
        <v>3281</v>
      </c>
      <c r="G2517" s="4" t="str">
        <f>HYPERLINK("https://diaocthongthai.com/xa-quang-nghia-tp-mong-cai/","Xã Quảng Nghĩa")</f>
        <v>Xã Quảng Nghĩa</v>
      </c>
    </row>
    <row r="2518" spans="1:7" x14ac:dyDescent="0.25">
      <c r="A2518" s="2">
        <v>2517</v>
      </c>
      <c r="B2518" s="3" t="s">
        <v>16</v>
      </c>
      <c r="C2518" s="4" t="str">
        <f t="shared" si="215"/>
        <v>Quảng Ninh</v>
      </c>
      <c r="D2518" s="3" t="s">
        <v>211</v>
      </c>
      <c r="E2518" s="4" t="str">
        <f t="shared" si="216"/>
        <v>Thành phố Móng Cái</v>
      </c>
      <c r="F2518" s="3" t="s">
        <v>3282</v>
      </c>
      <c r="G2518" s="4" t="str">
        <f>HYPERLINK("https://diaocthongthai.com/phuong-hai-hoa-tp-mong-cai/","Phường Hải Hoà")</f>
        <v>Phường Hải Hoà</v>
      </c>
    </row>
    <row r="2519" spans="1:7" x14ac:dyDescent="0.25">
      <c r="A2519" s="2">
        <v>2518</v>
      </c>
      <c r="B2519" s="3" t="s">
        <v>16</v>
      </c>
      <c r="C2519" s="4" t="str">
        <f t="shared" si="215"/>
        <v>Quảng Ninh</v>
      </c>
      <c r="D2519" s="3" t="s">
        <v>211</v>
      </c>
      <c r="E2519" s="4" t="str">
        <f t="shared" si="216"/>
        <v>Thành phố Móng Cái</v>
      </c>
      <c r="F2519" s="3" t="s">
        <v>3283</v>
      </c>
      <c r="G2519" s="4" t="str">
        <f>HYPERLINK("https://diaocthongthai.com/xa-hai-xuan-tp-mong-cai/","Xã Hải Xuân")</f>
        <v>Xã Hải Xuân</v>
      </c>
    </row>
    <row r="2520" spans="1:7" x14ac:dyDescent="0.25">
      <c r="A2520" s="2">
        <v>2519</v>
      </c>
      <c r="B2520" s="3" t="s">
        <v>16</v>
      </c>
      <c r="C2520" s="4" t="str">
        <f t="shared" si="215"/>
        <v>Quảng Ninh</v>
      </c>
      <c r="D2520" s="3" t="s">
        <v>211</v>
      </c>
      <c r="E2520" s="4" t="str">
        <f t="shared" si="216"/>
        <v>Thành phố Móng Cái</v>
      </c>
      <c r="F2520" s="3" t="s">
        <v>3284</v>
      </c>
      <c r="G2520" s="4" t="str">
        <f>HYPERLINK("https://diaocthongthai.com/xa-van-ninh-tp-mong-cai/","Xã Vạn Ninh")</f>
        <v>Xã Vạn Ninh</v>
      </c>
    </row>
    <row r="2521" spans="1:7" x14ac:dyDescent="0.25">
      <c r="A2521" s="2">
        <v>2520</v>
      </c>
      <c r="B2521" s="3" t="s">
        <v>16</v>
      </c>
      <c r="C2521" s="4" t="str">
        <f t="shared" si="215"/>
        <v>Quảng Ninh</v>
      </c>
      <c r="D2521" s="3" t="s">
        <v>211</v>
      </c>
      <c r="E2521" s="4" t="str">
        <f t="shared" si="216"/>
        <v>Thành phố Móng Cái</v>
      </c>
      <c r="F2521" s="3" t="s">
        <v>3285</v>
      </c>
      <c r="G2521" s="4" t="str">
        <f>HYPERLINK("https://diaocthongthai.com/phuong-binh-ngoc-tp-mong-cai/","Phường Bình Ngọc")</f>
        <v>Phường Bình Ngọc</v>
      </c>
    </row>
    <row r="2522" spans="1:7" x14ac:dyDescent="0.25">
      <c r="A2522" s="2">
        <v>2521</v>
      </c>
      <c r="B2522" s="3" t="s">
        <v>16</v>
      </c>
      <c r="C2522" s="4" t="str">
        <f t="shared" si="215"/>
        <v>Quảng Ninh</v>
      </c>
      <c r="D2522" s="3" t="s">
        <v>211</v>
      </c>
      <c r="E2522" s="4" t="str">
        <f t="shared" si="216"/>
        <v>Thành phố Móng Cái</v>
      </c>
      <c r="F2522" s="3" t="s">
        <v>3286</v>
      </c>
      <c r="G2522" s="4" t="str">
        <f>HYPERLINK("https://diaocthongthai.com/xa-vinh-trung-tp-mong-cai/","Xã Vĩnh Trung")</f>
        <v>Xã Vĩnh Trung</v>
      </c>
    </row>
    <row r="2523" spans="1:7" x14ac:dyDescent="0.25">
      <c r="A2523" s="2">
        <v>2522</v>
      </c>
      <c r="B2523" s="3" t="s">
        <v>16</v>
      </c>
      <c r="C2523" s="4" t="str">
        <f t="shared" si="215"/>
        <v>Quảng Ninh</v>
      </c>
      <c r="D2523" s="3" t="s">
        <v>211</v>
      </c>
      <c r="E2523" s="4" t="str">
        <f t="shared" si="216"/>
        <v>Thành phố Móng Cái</v>
      </c>
      <c r="F2523" s="3" t="s">
        <v>3287</v>
      </c>
      <c r="G2523" s="4" t="str">
        <f>HYPERLINK("https://diaocthongthai.com/xa-vinh-thuc-tp-mong-cai/","Xã Vĩnh Thực")</f>
        <v>Xã Vĩnh Thực</v>
      </c>
    </row>
    <row r="2524" spans="1:7" x14ac:dyDescent="0.25">
      <c r="A2524" s="2">
        <v>2523</v>
      </c>
      <c r="B2524" s="3" t="s">
        <v>16</v>
      </c>
      <c r="C2524" s="4" t="str">
        <f t="shared" si="215"/>
        <v>Quảng Ninh</v>
      </c>
      <c r="D2524" s="3" t="s">
        <v>212</v>
      </c>
      <c r="E2524" s="4" t="str">
        <f t="shared" ref="E2524:E2539" si="217">HYPERLINK("https://diaocthongthai.com/ban-do-tp-cam-pha-quang-ninh/","Thành phố Cẩm Phả")</f>
        <v>Thành phố Cẩm Phả</v>
      </c>
      <c r="F2524" s="3" t="s">
        <v>3288</v>
      </c>
      <c r="G2524" s="4" t="str">
        <f>HYPERLINK("https://diaocthongthai.com/phuong-mong-duong-tp-cam-pha/","Phường Mông Dương")</f>
        <v>Phường Mông Dương</v>
      </c>
    </row>
    <row r="2525" spans="1:7" x14ac:dyDescent="0.25">
      <c r="A2525" s="2">
        <v>2524</v>
      </c>
      <c r="B2525" s="3" t="s">
        <v>16</v>
      </c>
      <c r="C2525" s="4" t="str">
        <f t="shared" si="215"/>
        <v>Quảng Ninh</v>
      </c>
      <c r="D2525" s="3" t="s">
        <v>212</v>
      </c>
      <c r="E2525" s="4" t="str">
        <f t="shared" si="217"/>
        <v>Thành phố Cẩm Phả</v>
      </c>
      <c r="F2525" s="3" t="s">
        <v>3289</v>
      </c>
      <c r="G2525" s="4" t="str">
        <f>HYPERLINK("https://diaocthongthai.com/phuong-cua-ong-tp-cam-pha/","Phường Cửa Ông")</f>
        <v>Phường Cửa Ông</v>
      </c>
    </row>
    <row r="2526" spans="1:7" x14ac:dyDescent="0.25">
      <c r="A2526" s="2">
        <v>2525</v>
      </c>
      <c r="B2526" s="3" t="s">
        <v>16</v>
      </c>
      <c r="C2526" s="4" t="str">
        <f t="shared" si="215"/>
        <v>Quảng Ninh</v>
      </c>
      <c r="D2526" s="3" t="s">
        <v>212</v>
      </c>
      <c r="E2526" s="4" t="str">
        <f t="shared" si="217"/>
        <v>Thành phố Cẩm Phả</v>
      </c>
      <c r="F2526" s="3" t="s">
        <v>3290</v>
      </c>
      <c r="G2526" s="4" t="str">
        <f>HYPERLINK("https://diaocthongthai.com/phuong-cam-son-tp-cam-pha/","Phường Cẩm Sơn")</f>
        <v>Phường Cẩm Sơn</v>
      </c>
    </row>
    <row r="2527" spans="1:7" x14ac:dyDescent="0.25">
      <c r="A2527" s="2">
        <v>2526</v>
      </c>
      <c r="B2527" s="3" t="s">
        <v>16</v>
      </c>
      <c r="C2527" s="4" t="str">
        <f t="shared" si="215"/>
        <v>Quảng Ninh</v>
      </c>
      <c r="D2527" s="3" t="s">
        <v>212</v>
      </c>
      <c r="E2527" s="4" t="str">
        <f t="shared" si="217"/>
        <v>Thành phố Cẩm Phả</v>
      </c>
      <c r="F2527" s="3" t="s">
        <v>3291</v>
      </c>
      <c r="G2527" s="4" t="str">
        <f>HYPERLINK("https://diaocthongthai.com/phuong-cam-dong-tp-cam-pha/","Phường Cẩm Đông")</f>
        <v>Phường Cẩm Đông</v>
      </c>
    </row>
    <row r="2528" spans="1:7" x14ac:dyDescent="0.25">
      <c r="A2528" s="2">
        <v>2527</v>
      </c>
      <c r="B2528" s="3" t="s">
        <v>16</v>
      </c>
      <c r="C2528" s="4" t="str">
        <f t="shared" si="215"/>
        <v>Quảng Ninh</v>
      </c>
      <c r="D2528" s="3" t="s">
        <v>212</v>
      </c>
      <c r="E2528" s="4" t="str">
        <f t="shared" si="217"/>
        <v>Thành phố Cẩm Phả</v>
      </c>
      <c r="F2528" s="3" t="s">
        <v>3292</v>
      </c>
      <c r="G2528" s="4" t="str">
        <f>HYPERLINK("https://diaocthongthai.com/phuong-cam-phu-tp-cam-pha/","Phường Cẩm Phú")</f>
        <v>Phường Cẩm Phú</v>
      </c>
    </row>
    <row r="2529" spans="1:7" x14ac:dyDescent="0.25">
      <c r="A2529" s="2">
        <v>2528</v>
      </c>
      <c r="B2529" s="3" t="s">
        <v>16</v>
      </c>
      <c r="C2529" s="4" t="str">
        <f t="shared" si="215"/>
        <v>Quảng Ninh</v>
      </c>
      <c r="D2529" s="3" t="s">
        <v>212</v>
      </c>
      <c r="E2529" s="4" t="str">
        <f t="shared" si="217"/>
        <v>Thành phố Cẩm Phả</v>
      </c>
      <c r="F2529" s="3" t="s">
        <v>3293</v>
      </c>
      <c r="G2529" s="4" t="str">
        <f>HYPERLINK("https://diaocthongthai.com/phuong-cam-tay-tp-cam-pha/","Phường Cẩm Tây")</f>
        <v>Phường Cẩm Tây</v>
      </c>
    </row>
    <row r="2530" spans="1:7" x14ac:dyDescent="0.25">
      <c r="A2530" s="2">
        <v>2529</v>
      </c>
      <c r="B2530" s="3" t="s">
        <v>16</v>
      </c>
      <c r="C2530" s="4" t="str">
        <f t="shared" si="215"/>
        <v>Quảng Ninh</v>
      </c>
      <c r="D2530" s="3" t="s">
        <v>212</v>
      </c>
      <c r="E2530" s="4" t="str">
        <f t="shared" si="217"/>
        <v>Thành phố Cẩm Phả</v>
      </c>
      <c r="F2530" s="3" t="s">
        <v>3294</v>
      </c>
      <c r="G2530" s="4" t="str">
        <f>HYPERLINK("https://diaocthongthai.com/phuong-quang-hanh-tp-cam-pha/","Phường Quang Hanh")</f>
        <v>Phường Quang Hanh</v>
      </c>
    </row>
    <row r="2531" spans="1:7" x14ac:dyDescent="0.25">
      <c r="A2531" s="2">
        <v>2530</v>
      </c>
      <c r="B2531" s="3" t="s">
        <v>16</v>
      </c>
      <c r="C2531" s="4" t="str">
        <f t="shared" si="215"/>
        <v>Quảng Ninh</v>
      </c>
      <c r="D2531" s="3" t="s">
        <v>212</v>
      </c>
      <c r="E2531" s="4" t="str">
        <f t="shared" si="217"/>
        <v>Thành phố Cẩm Phả</v>
      </c>
      <c r="F2531" s="3" t="s">
        <v>3295</v>
      </c>
      <c r="G2531" s="4" t="str">
        <f>HYPERLINK("https://diaocthongthai.com/phuong-cam-thinh-tp-cam-pha/","Phường Cẩm Thịnh")</f>
        <v>Phường Cẩm Thịnh</v>
      </c>
    </row>
    <row r="2532" spans="1:7" x14ac:dyDescent="0.25">
      <c r="A2532" s="2">
        <v>2531</v>
      </c>
      <c r="B2532" s="3" t="s">
        <v>16</v>
      </c>
      <c r="C2532" s="4" t="str">
        <f t="shared" si="215"/>
        <v>Quảng Ninh</v>
      </c>
      <c r="D2532" s="3" t="s">
        <v>212</v>
      </c>
      <c r="E2532" s="4" t="str">
        <f t="shared" si="217"/>
        <v>Thành phố Cẩm Phả</v>
      </c>
      <c r="F2532" s="3" t="s">
        <v>3296</v>
      </c>
      <c r="G2532" s="4" t="str">
        <f>HYPERLINK("https://diaocthongthai.com/phuong-cam-thuy-tp-cam-pha/","Phường Cẩm Thủy")</f>
        <v>Phường Cẩm Thủy</v>
      </c>
    </row>
    <row r="2533" spans="1:7" x14ac:dyDescent="0.25">
      <c r="A2533" s="2">
        <v>2532</v>
      </c>
      <c r="B2533" s="3" t="s">
        <v>16</v>
      </c>
      <c r="C2533" s="4" t="str">
        <f t="shared" si="215"/>
        <v>Quảng Ninh</v>
      </c>
      <c r="D2533" s="3" t="s">
        <v>212</v>
      </c>
      <c r="E2533" s="4" t="str">
        <f t="shared" si="217"/>
        <v>Thành phố Cẩm Phả</v>
      </c>
      <c r="F2533" s="3" t="s">
        <v>3297</v>
      </c>
      <c r="G2533" s="4" t="str">
        <f>HYPERLINK("https://diaocthongthai.com/phuong-cam-thach-tp-cam-pha/","Phường Cẩm Thạch")</f>
        <v>Phường Cẩm Thạch</v>
      </c>
    </row>
    <row r="2534" spans="1:7" x14ac:dyDescent="0.25">
      <c r="A2534" s="2">
        <v>2533</v>
      </c>
      <c r="B2534" s="3" t="s">
        <v>16</v>
      </c>
      <c r="C2534" s="4" t="str">
        <f t="shared" si="215"/>
        <v>Quảng Ninh</v>
      </c>
      <c r="D2534" s="3" t="s">
        <v>212</v>
      </c>
      <c r="E2534" s="4" t="str">
        <f t="shared" si="217"/>
        <v>Thành phố Cẩm Phả</v>
      </c>
      <c r="F2534" s="3" t="s">
        <v>3298</v>
      </c>
      <c r="G2534" s="4" t="str">
        <f>HYPERLINK("https://diaocthongthai.com/phuong-cam-thanh-tp-cam-pha/","Phường Cẩm Thành")</f>
        <v>Phường Cẩm Thành</v>
      </c>
    </row>
    <row r="2535" spans="1:7" x14ac:dyDescent="0.25">
      <c r="A2535" s="2">
        <v>2534</v>
      </c>
      <c r="B2535" s="3" t="s">
        <v>16</v>
      </c>
      <c r="C2535" s="4" t="str">
        <f t="shared" si="215"/>
        <v>Quảng Ninh</v>
      </c>
      <c r="D2535" s="3" t="s">
        <v>212</v>
      </c>
      <c r="E2535" s="4" t="str">
        <f t="shared" si="217"/>
        <v>Thành phố Cẩm Phả</v>
      </c>
      <c r="F2535" s="3" t="s">
        <v>3299</v>
      </c>
      <c r="G2535" s="4" t="str">
        <f>HYPERLINK("https://diaocthongthai.com/phuong-cam-trung-tp-cam-pha/","Phường Cẩm Trung")</f>
        <v>Phường Cẩm Trung</v>
      </c>
    </row>
    <row r="2536" spans="1:7" x14ac:dyDescent="0.25">
      <c r="A2536" s="2">
        <v>2535</v>
      </c>
      <c r="B2536" s="3" t="s">
        <v>16</v>
      </c>
      <c r="C2536" s="4" t="str">
        <f t="shared" si="215"/>
        <v>Quảng Ninh</v>
      </c>
      <c r="D2536" s="3" t="s">
        <v>212</v>
      </c>
      <c r="E2536" s="4" t="str">
        <f t="shared" si="217"/>
        <v>Thành phố Cẩm Phả</v>
      </c>
      <c r="F2536" s="3" t="s">
        <v>3300</v>
      </c>
      <c r="G2536" s="4" t="str">
        <f>HYPERLINK("https://diaocthongthai.com/phuong-cam-binh-tp-cam-pha/","Phường Cẩm Bình")</f>
        <v>Phường Cẩm Bình</v>
      </c>
    </row>
    <row r="2537" spans="1:7" x14ac:dyDescent="0.25">
      <c r="A2537" s="2">
        <v>2536</v>
      </c>
      <c r="B2537" s="3" t="s">
        <v>16</v>
      </c>
      <c r="C2537" s="4" t="str">
        <f t="shared" si="215"/>
        <v>Quảng Ninh</v>
      </c>
      <c r="D2537" s="3" t="s">
        <v>212</v>
      </c>
      <c r="E2537" s="4" t="str">
        <f t="shared" si="217"/>
        <v>Thành phố Cẩm Phả</v>
      </c>
      <c r="F2537" s="3" t="s">
        <v>3301</v>
      </c>
      <c r="G2537" s="4" t="str">
        <f>HYPERLINK("https://diaocthongthai.com/xa-cong-hoa-tp-cam-pha/","Xã Cộng Hòa")</f>
        <v>Xã Cộng Hòa</v>
      </c>
    </row>
    <row r="2538" spans="1:7" x14ac:dyDescent="0.25">
      <c r="A2538" s="2">
        <v>2537</v>
      </c>
      <c r="B2538" s="3" t="s">
        <v>16</v>
      </c>
      <c r="C2538" s="4" t="str">
        <f t="shared" ref="C2538:C2569" si="218">HYPERLINK("https://diaocthongthai.com/ban-do-quang-ninh/","Quảng Ninh")</f>
        <v>Quảng Ninh</v>
      </c>
      <c r="D2538" s="3" t="s">
        <v>212</v>
      </c>
      <c r="E2538" s="4" t="str">
        <f t="shared" si="217"/>
        <v>Thành phố Cẩm Phả</v>
      </c>
      <c r="F2538" s="3" t="s">
        <v>3302</v>
      </c>
      <c r="G2538" s="4" t="str">
        <f>HYPERLINK("https://diaocthongthai.com/xa-cam-hai-tp-cam-pha/","Xã Cẩm Hải")</f>
        <v>Xã Cẩm Hải</v>
      </c>
    </row>
    <row r="2539" spans="1:7" x14ac:dyDescent="0.25">
      <c r="A2539" s="2">
        <v>2538</v>
      </c>
      <c r="B2539" s="3" t="s">
        <v>16</v>
      </c>
      <c r="C2539" s="4" t="str">
        <f t="shared" si="218"/>
        <v>Quảng Ninh</v>
      </c>
      <c r="D2539" s="3" t="s">
        <v>212</v>
      </c>
      <c r="E2539" s="4" t="str">
        <f t="shared" si="217"/>
        <v>Thành phố Cẩm Phả</v>
      </c>
      <c r="F2539" s="3" t="s">
        <v>3303</v>
      </c>
      <c r="G2539" s="4" t="str">
        <f>HYPERLINK("https://diaocthongthai.com/xa-duong-huy-tp-cam-pha/","Xã Dương Huy")</f>
        <v>Xã Dương Huy</v>
      </c>
    </row>
    <row r="2540" spans="1:7" x14ac:dyDescent="0.25">
      <c r="A2540" s="2">
        <v>2539</v>
      </c>
      <c r="B2540" s="3" t="s">
        <v>16</v>
      </c>
      <c r="C2540" s="4" t="str">
        <f t="shared" si="218"/>
        <v>Quảng Ninh</v>
      </c>
      <c r="D2540" s="3" t="s">
        <v>213</v>
      </c>
      <c r="E2540" s="4" t="str">
        <f t="shared" ref="E2540:E2549" si="219">HYPERLINK("https://diaocthongthai.com/ban-do-tp-uong-bi-quang-ninh/","Thành phố Uông Bí")</f>
        <v>Thành phố Uông Bí</v>
      </c>
      <c r="F2540" s="3" t="s">
        <v>3304</v>
      </c>
      <c r="G2540" s="4" t="str">
        <f>HYPERLINK("https://diaocthongthai.com/phuong-vang-danh-tp-uong-bi/","Phường Vàng Danh")</f>
        <v>Phường Vàng Danh</v>
      </c>
    </row>
    <row r="2541" spans="1:7" x14ac:dyDescent="0.25">
      <c r="A2541" s="2">
        <v>2540</v>
      </c>
      <c r="B2541" s="3" t="s">
        <v>16</v>
      </c>
      <c r="C2541" s="4" t="str">
        <f t="shared" si="218"/>
        <v>Quảng Ninh</v>
      </c>
      <c r="D2541" s="3" t="s">
        <v>213</v>
      </c>
      <c r="E2541" s="4" t="str">
        <f t="shared" si="219"/>
        <v>Thành phố Uông Bí</v>
      </c>
      <c r="F2541" s="3" t="s">
        <v>3305</v>
      </c>
      <c r="G2541" s="4" t="str">
        <f>HYPERLINK("https://diaocthongthai.com/phuong-thanh-son-tp-uong-bi/","Phường Thanh Sơn")</f>
        <v>Phường Thanh Sơn</v>
      </c>
    </row>
    <row r="2542" spans="1:7" x14ac:dyDescent="0.25">
      <c r="A2542" s="2">
        <v>2541</v>
      </c>
      <c r="B2542" s="3" t="s">
        <v>16</v>
      </c>
      <c r="C2542" s="4" t="str">
        <f t="shared" si="218"/>
        <v>Quảng Ninh</v>
      </c>
      <c r="D2542" s="3" t="s">
        <v>213</v>
      </c>
      <c r="E2542" s="4" t="str">
        <f t="shared" si="219"/>
        <v>Thành phố Uông Bí</v>
      </c>
      <c r="F2542" s="3" t="s">
        <v>3306</v>
      </c>
      <c r="G2542" s="4" t="str">
        <f>HYPERLINK("https://diaocthongthai.com/phuong-bac-son-tp-uong-bi/","Phường Bắc Sơn")</f>
        <v>Phường Bắc Sơn</v>
      </c>
    </row>
    <row r="2543" spans="1:7" x14ac:dyDescent="0.25">
      <c r="A2543" s="2">
        <v>2542</v>
      </c>
      <c r="B2543" s="3" t="s">
        <v>16</v>
      </c>
      <c r="C2543" s="4" t="str">
        <f t="shared" si="218"/>
        <v>Quảng Ninh</v>
      </c>
      <c r="D2543" s="3" t="s">
        <v>213</v>
      </c>
      <c r="E2543" s="4" t="str">
        <f t="shared" si="219"/>
        <v>Thành phố Uông Bí</v>
      </c>
      <c r="F2543" s="3" t="s">
        <v>3307</v>
      </c>
      <c r="G2543" s="4" t="str">
        <f>HYPERLINK("https://diaocthongthai.com/phuong-quang-trung-tp-uong-bi/","Phường Quang Trung")</f>
        <v>Phường Quang Trung</v>
      </c>
    </row>
    <row r="2544" spans="1:7" x14ac:dyDescent="0.25">
      <c r="A2544" s="2">
        <v>2543</v>
      </c>
      <c r="B2544" s="3" t="s">
        <v>16</v>
      </c>
      <c r="C2544" s="4" t="str">
        <f t="shared" si="218"/>
        <v>Quảng Ninh</v>
      </c>
      <c r="D2544" s="3" t="s">
        <v>213</v>
      </c>
      <c r="E2544" s="4" t="str">
        <f t="shared" si="219"/>
        <v>Thành phố Uông Bí</v>
      </c>
      <c r="F2544" s="3" t="s">
        <v>3308</v>
      </c>
      <c r="G2544" s="4" t="str">
        <f>HYPERLINK("https://diaocthongthai.com/phuong-trung-vuong-tp-uong-bi/","Phường Trưng Vương")</f>
        <v>Phường Trưng Vương</v>
      </c>
    </row>
    <row r="2545" spans="1:7" x14ac:dyDescent="0.25">
      <c r="A2545" s="2">
        <v>2544</v>
      </c>
      <c r="B2545" s="3" t="s">
        <v>16</v>
      </c>
      <c r="C2545" s="4" t="str">
        <f t="shared" si="218"/>
        <v>Quảng Ninh</v>
      </c>
      <c r="D2545" s="3" t="s">
        <v>213</v>
      </c>
      <c r="E2545" s="4" t="str">
        <f t="shared" si="219"/>
        <v>Thành phố Uông Bí</v>
      </c>
      <c r="F2545" s="3" t="s">
        <v>3309</v>
      </c>
      <c r="G2545" s="4" t="str">
        <f>HYPERLINK("https://diaocthongthai.com/phuong-nam-khe-tp-uong-bi/","Phường Nam Khê")</f>
        <v>Phường Nam Khê</v>
      </c>
    </row>
    <row r="2546" spans="1:7" x14ac:dyDescent="0.25">
      <c r="A2546" s="2">
        <v>2545</v>
      </c>
      <c r="B2546" s="3" t="s">
        <v>16</v>
      </c>
      <c r="C2546" s="4" t="str">
        <f t="shared" si="218"/>
        <v>Quảng Ninh</v>
      </c>
      <c r="D2546" s="3" t="s">
        <v>213</v>
      </c>
      <c r="E2546" s="4" t="str">
        <f t="shared" si="219"/>
        <v>Thành phố Uông Bí</v>
      </c>
      <c r="F2546" s="3" t="s">
        <v>3310</v>
      </c>
      <c r="G2546" s="4" t="str">
        <f>HYPERLINK("https://diaocthongthai.com/phuong-yen-thanh-tp-uong-bi/","Phường Yên Thanh")</f>
        <v>Phường Yên Thanh</v>
      </c>
    </row>
    <row r="2547" spans="1:7" x14ac:dyDescent="0.25">
      <c r="A2547" s="2">
        <v>2546</v>
      </c>
      <c r="B2547" s="3" t="s">
        <v>16</v>
      </c>
      <c r="C2547" s="4" t="str">
        <f t="shared" si="218"/>
        <v>Quảng Ninh</v>
      </c>
      <c r="D2547" s="3" t="s">
        <v>213</v>
      </c>
      <c r="E2547" s="4" t="str">
        <f t="shared" si="219"/>
        <v>Thành phố Uông Bí</v>
      </c>
      <c r="F2547" s="3" t="s">
        <v>3311</v>
      </c>
      <c r="G2547" s="4" t="str">
        <f>HYPERLINK("https://diaocthongthai.com/xa-thuong-yen-cong-tp-uong-bi/","Xã Thượng Yên Công")</f>
        <v>Xã Thượng Yên Công</v>
      </c>
    </row>
    <row r="2548" spans="1:7" x14ac:dyDescent="0.25">
      <c r="A2548" s="2">
        <v>2547</v>
      </c>
      <c r="B2548" s="3" t="s">
        <v>16</v>
      </c>
      <c r="C2548" s="4" t="str">
        <f t="shared" si="218"/>
        <v>Quảng Ninh</v>
      </c>
      <c r="D2548" s="3" t="s">
        <v>213</v>
      </c>
      <c r="E2548" s="4" t="str">
        <f t="shared" si="219"/>
        <v>Thành phố Uông Bí</v>
      </c>
      <c r="F2548" s="3" t="s">
        <v>3312</v>
      </c>
      <c r="G2548" s="4" t="str">
        <f>HYPERLINK("https://diaocthongthai.com/phuong-phuong-dong-tp-uong-bi/","Phường Phương Đông")</f>
        <v>Phường Phương Đông</v>
      </c>
    </row>
    <row r="2549" spans="1:7" x14ac:dyDescent="0.25">
      <c r="A2549" s="2">
        <v>2548</v>
      </c>
      <c r="B2549" s="3" t="s">
        <v>16</v>
      </c>
      <c r="C2549" s="4" t="str">
        <f t="shared" si="218"/>
        <v>Quảng Ninh</v>
      </c>
      <c r="D2549" s="3" t="s">
        <v>213</v>
      </c>
      <c r="E2549" s="4" t="str">
        <f t="shared" si="219"/>
        <v>Thành phố Uông Bí</v>
      </c>
      <c r="F2549" s="3" t="s">
        <v>3313</v>
      </c>
      <c r="G2549" s="4" t="str">
        <f>HYPERLINK("https://diaocthongthai.com/phuong-phuong-nam-tp-uong-bi/","Phường Phương Nam")</f>
        <v>Phường Phương Nam</v>
      </c>
    </row>
    <row r="2550" spans="1:7" x14ac:dyDescent="0.25">
      <c r="A2550" s="2">
        <v>2549</v>
      </c>
      <c r="B2550" s="3" t="s">
        <v>16</v>
      </c>
      <c r="C2550" s="4" t="str">
        <f t="shared" si="218"/>
        <v>Quảng Ninh</v>
      </c>
      <c r="D2550" s="3" t="s">
        <v>214</v>
      </c>
      <c r="E2550" s="4" t="str">
        <f t="shared" ref="E2550:E2556" si="220">HYPERLINK("https://diaocthongthai.com/ban-do-huyen-binh-lieu-quang-ninh/","Huyện Bình Liêu")</f>
        <v>Huyện Bình Liêu</v>
      </c>
      <c r="F2550" s="3" t="s">
        <v>3314</v>
      </c>
      <c r="G2550" s="4" t="str">
        <f>HYPERLINK("https://diaocthongthai.com/thi-tran-binh-lieu-binh-lieu/","Thị trấn Bình Liêu")</f>
        <v>Thị trấn Bình Liêu</v>
      </c>
    </row>
    <row r="2551" spans="1:7" x14ac:dyDescent="0.25">
      <c r="A2551" s="2">
        <v>2550</v>
      </c>
      <c r="B2551" s="3" t="s">
        <v>16</v>
      </c>
      <c r="C2551" s="4" t="str">
        <f t="shared" si="218"/>
        <v>Quảng Ninh</v>
      </c>
      <c r="D2551" s="3" t="s">
        <v>214</v>
      </c>
      <c r="E2551" s="4" t="str">
        <f t="shared" si="220"/>
        <v>Huyện Bình Liêu</v>
      </c>
      <c r="F2551" s="3" t="s">
        <v>3315</v>
      </c>
      <c r="G2551" s="4" t="str">
        <f>HYPERLINK("https://diaocthongthai.com/xa-hoanh-mo-binh-lieu/","Xã Hoành Mô")</f>
        <v>Xã Hoành Mô</v>
      </c>
    </row>
    <row r="2552" spans="1:7" x14ac:dyDescent="0.25">
      <c r="A2552" s="2">
        <v>2551</v>
      </c>
      <c r="B2552" s="3" t="s">
        <v>16</v>
      </c>
      <c r="C2552" s="4" t="str">
        <f t="shared" si="218"/>
        <v>Quảng Ninh</v>
      </c>
      <c r="D2552" s="3" t="s">
        <v>214</v>
      </c>
      <c r="E2552" s="4" t="str">
        <f t="shared" si="220"/>
        <v>Huyện Bình Liêu</v>
      </c>
      <c r="F2552" s="3" t="s">
        <v>3316</v>
      </c>
      <c r="G2552" s="4" t="str">
        <f>HYPERLINK("https://diaocthongthai.com/xa-dong-tam-binh-lieu/","Xã Đồng Tâm")</f>
        <v>Xã Đồng Tâm</v>
      </c>
    </row>
    <row r="2553" spans="1:7" x14ac:dyDescent="0.25">
      <c r="A2553" s="2">
        <v>2552</v>
      </c>
      <c r="B2553" s="3" t="s">
        <v>16</v>
      </c>
      <c r="C2553" s="4" t="str">
        <f t="shared" si="218"/>
        <v>Quảng Ninh</v>
      </c>
      <c r="D2553" s="3" t="s">
        <v>214</v>
      </c>
      <c r="E2553" s="4" t="str">
        <f t="shared" si="220"/>
        <v>Huyện Bình Liêu</v>
      </c>
      <c r="F2553" s="3" t="s">
        <v>3317</v>
      </c>
      <c r="G2553" s="4" t="str">
        <f>HYPERLINK("https://diaocthongthai.com/xa-dong-van-binh-lieu/","Xã Đồng Văn")</f>
        <v>Xã Đồng Văn</v>
      </c>
    </row>
    <row r="2554" spans="1:7" x14ac:dyDescent="0.25">
      <c r="A2554" s="2">
        <v>2553</v>
      </c>
      <c r="B2554" s="3" t="s">
        <v>16</v>
      </c>
      <c r="C2554" s="4" t="str">
        <f t="shared" si="218"/>
        <v>Quảng Ninh</v>
      </c>
      <c r="D2554" s="3" t="s">
        <v>214</v>
      </c>
      <c r="E2554" s="4" t="str">
        <f t="shared" si="220"/>
        <v>Huyện Bình Liêu</v>
      </c>
      <c r="F2554" s="3" t="s">
        <v>3318</v>
      </c>
      <c r="G2554" s="4" t="str">
        <f>HYPERLINK("https://diaocthongthai.com/xa-vo-ngai-binh-lieu/","Xã Vô Ngại")</f>
        <v>Xã Vô Ngại</v>
      </c>
    </row>
    <row r="2555" spans="1:7" x14ac:dyDescent="0.25">
      <c r="A2555" s="2">
        <v>2554</v>
      </c>
      <c r="B2555" s="3" t="s">
        <v>16</v>
      </c>
      <c r="C2555" s="4" t="str">
        <f t="shared" si="218"/>
        <v>Quảng Ninh</v>
      </c>
      <c r="D2555" s="3" t="s">
        <v>214</v>
      </c>
      <c r="E2555" s="4" t="str">
        <f t="shared" si="220"/>
        <v>Huyện Bình Liêu</v>
      </c>
      <c r="F2555" s="3" t="s">
        <v>3319</v>
      </c>
      <c r="G2555" s="4" t="str">
        <f>HYPERLINK("https://diaocthongthai.com/xa-luc-hon-binh-lieu/","Xã Lục Hồn")</f>
        <v>Xã Lục Hồn</v>
      </c>
    </row>
    <row r="2556" spans="1:7" x14ac:dyDescent="0.25">
      <c r="A2556" s="2">
        <v>2555</v>
      </c>
      <c r="B2556" s="3" t="s">
        <v>16</v>
      </c>
      <c r="C2556" s="4" t="str">
        <f t="shared" si="218"/>
        <v>Quảng Ninh</v>
      </c>
      <c r="D2556" s="3" t="s">
        <v>214</v>
      </c>
      <c r="E2556" s="4" t="str">
        <f t="shared" si="220"/>
        <v>Huyện Bình Liêu</v>
      </c>
      <c r="F2556" s="3" t="s">
        <v>3320</v>
      </c>
      <c r="G2556" s="4" t="str">
        <f>HYPERLINK("https://diaocthongthai.com/xa-huc-dong-binh-lieu/","Xã Húc Động")</f>
        <v>Xã Húc Động</v>
      </c>
    </row>
    <row r="2557" spans="1:7" x14ac:dyDescent="0.25">
      <c r="A2557" s="2">
        <v>2556</v>
      </c>
      <c r="B2557" s="3" t="s">
        <v>16</v>
      </c>
      <c r="C2557" s="4" t="str">
        <f t="shared" si="218"/>
        <v>Quảng Ninh</v>
      </c>
      <c r="D2557" s="3" t="s">
        <v>215</v>
      </c>
      <c r="E2557" s="4" t="str">
        <f t="shared" ref="E2557:E2567" si="221">HYPERLINK("https://diaocthongthai.com/ban-do-huyen-tien-yen-quang-ninh/","Huyện Tiên Yên")</f>
        <v>Huyện Tiên Yên</v>
      </c>
      <c r="F2557" s="3" t="s">
        <v>3321</v>
      </c>
      <c r="G2557" s="4" t="str">
        <f>HYPERLINK("https://diaocthongthai.com/thi-tran-tien-yen-tien-yen/","Thị trấn Tiên Yên")</f>
        <v>Thị trấn Tiên Yên</v>
      </c>
    </row>
    <row r="2558" spans="1:7" x14ac:dyDescent="0.25">
      <c r="A2558" s="2">
        <v>2557</v>
      </c>
      <c r="B2558" s="3" t="s">
        <v>16</v>
      </c>
      <c r="C2558" s="4" t="str">
        <f t="shared" si="218"/>
        <v>Quảng Ninh</v>
      </c>
      <c r="D2558" s="3" t="s">
        <v>215</v>
      </c>
      <c r="E2558" s="4" t="str">
        <f t="shared" si="221"/>
        <v>Huyện Tiên Yên</v>
      </c>
      <c r="F2558" s="3" t="s">
        <v>3322</v>
      </c>
      <c r="G2558" s="4" t="str">
        <f>HYPERLINK("https://diaocthongthai.com/xa-ha-lau-tien-yen/","Xã Hà Lâu")</f>
        <v>Xã Hà Lâu</v>
      </c>
    </row>
    <row r="2559" spans="1:7" x14ac:dyDescent="0.25">
      <c r="A2559" s="2">
        <v>2558</v>
      </c>
      <c r="B2559" s="3" t="s">
        <v>16</v>
      </c>
      <c r="C2559" s="4" t="str">
        <f t="shared" si="218"/>
        <v>Quảng Ninh</v>
      </c>
      <c r="D2559" s="3" t="s">
        <v>215</v>
      </c>
      <c r="E2559" s="4" t="str">
        <f t="shared" si="221"/>
        <v>Huyện Tiên Yên</v>
      </c>
      <c r="F2559" s="3" t="s">
        <v>3323</v>
      </c>
      <c r="G2559" s="4" t="str">
        <f>HYPERLINK("https://diaocthongthai.com/xa-dai-duc-tien-yen/","Xã Đại Dực")</f>
        <v>Xã Đại Dực</v>
      </c>
    </row>
    <row r="2560" spans="1:7" x14ac:dyDescent="0.25">
      <c r="A2560" s="2">
        <v>2559</v>
      </c>
      <c r="B2560" s="3" t="s">
        <v>16</v>
      </c>
      <c r="C2560" s="4" t="str">
        <f t="shared" si="218"/>
        <v>Quảng Ninh</v>
      </c>
      <c r="D2560" s="3" t="s">
        <v>215</v>
      </c>
      <c r="E2560" s="4" t="str">
        <f t="shared" si="221"/>
        <v>Huyện Tiên Yên</v>
      </c>
      <c r="F2560" s="3" t="s">
        <v>3324</v>
      </c>
      <c r="G2560" s="4" t="str">
        <f>HYPERLINK("https://diaocthongthai.com/xa-phong-du-tien-yen/","Xã Phong Dụ")</f>
        <v>Xã Phong Dụ</v>
      </c>
    </row>
    <row r="2561" spans="1:7" x14ac:dyDescent="0.25">
      <c r="A2561" s="2">
        <v>2560</v>
      </c>
      <c r="B2561" s="3" t="s">
        <v>16</v>
      </c>
      <c r="C2561" s="4" t="str">
        <f t="shared" si="218"/>
        <v>Quảng Ninh</v>
      </c>
      <c r="D2561" s="3" t="s">
        <v>215</v>
      </c>
      <c r="E2561" s="4" t="str">
        <f t="shared" si="221"/>
        <v>Huyện Tiên Yên</v>
      </c>
      <c r="F2561" s="3" t="s">
        <v>3325</v>
      </c>
      <c r="G2561" s="4" t="str">
        <f>HYPERLINK("https://diaocthongthai.com/xa-dien-xa-tien-yen/","Xã Điền Xá")</f>
        <v>Xã Điền Xá</v>
      </c>
    </row>
    <row r="2562" spans="1:7" x14ac:dyDescent="0.25">
      <c r="A2562" s="2">
        <v>2561</v>
      </c>
      <c r="B2562" s="3" t="s">
        <v>16</v>
      </c>
      <c r="C2562" s="4" t="str">
        <f t="shared" si="218"/>
        <v>Quảng Ninh</v>
      </c>
      <c r="D2562" s="3" t="s">
        <v>215</v>
      </c>
      <c r="E2562" s="4" t="str">
        <f t="shared" si="221"/>
        <v>Huyện Tiên Yên</v>
      </c>
      <c r="F2562" s="3" t="s">
        <v>3326</v>
      </c>
      <c r="G2562" s="4" t="str">
        <f>HYPERLINK("https://diaocthongthai.com/xa-dong-ngu-tien-yen/","Xã Đông Ngũ")</f>
        <v>Xã Đông Ngũ</v>
      </c>
    </row>
    <row r="2563" spans="1:7" x14ac:dyDescent="0.25">
      <c r="A2563" s="2">
        <v>2562</v>
      </c>
      <c r="B2563" s="3" t="s">
        <v>16</v>
      </c>
      <c r="C2563" s="4" t="str">
        <f t="shared" si="218"/>
        <v>Quảng Ninh</v>
      </c>
      <c r="D2563" s="3" t="s">
        <v>215</v>
      </c>
      <c r="E2563" s="4" t="str">
        <f t="shared" si="221"/>
        <v>Huyện Tiên Yên</v>
      </c>
      <c r="F2563" s="3" t="s">
        <v>3327</v>
      </c>
      <c r="G2563" s="4" t="str">
        <f>HYPERLINK("https://diaocthongthai.com/xa-yen-than-tien-yen/","Xã Yên Than")</f>
        <v>Xã Yên Than</v>
      </c>
    </row>
    <row r="2564" spans="1:7" x14ac:dyDescent="0.25">
      <c r="A2564" s="2">
        <v>2563</v>
      </c>
      <c r="B2564" s="3" t="s">
        <v>16</v>
      </c>
      <c r="C2564" s="4" t="str">
        <f t="shared" si="218"/>
        <v>Quảng Ninh</v>
      </c>
      <c r="D2564" s="3" t="s">
        <v>215</v>
      </c>
      <c r="E2564" s="4" t="str">
        <f t="shared" si="221"/>
        <v>Huyện Tiên Yên</v>
      </c>
      <c r="F2564" s="3" t="s">
        <v>3328</v>
      </c>
      <c r="G2564" s="4" t="str">
        <f>HYPERLINK("https://diaocthongthai.com/xa-dong-hai-tien-yen/","Xã Đông Hải")</f>
        <v>Xã Đông Hải</v>
      </c>
    </row>
    <row r="2565" spans="1:7" x14ac:dyDescent="0.25">
      <c r="A2565" s="2">
        <v>2564</v>
      </c>
      <c r="B2565" s="3" t="s">
        <v>16</v>
      </c>
      <c r="C2565" s="4" t="str">
        <f t="shared" si="218"/>
        <v>Quảng Ninh</v>
      </c>
      <c r="D2565" s="3" t="s">
        <v>215</v>
      </c>
      <c r="E2565" s="4" t="str">
        <f t="shared" si="221"/>
        <v>Huyện Tiên Yên</v>
      </c>
      <c r="F2565" s="3" t="s">
        <v>3329</v>
      </c>
      <c r="G2565" s="4" t="str">
        <f>HYPERLINK("https://diaocthongthai.com/xa-hai-lang-tien-yen/","Xã Hải Lạng")</f>
        <v>Xã Hải Lạng</v>
      </c>
    </row>
    <row r="2566" spans="1:7" x14ac:dyDescent="0.25">
      <c r="A2566" s="2">
        <v>2565</v>
      </c>
      <c r="B2566" s="3" t="s">
        <v>16</v>
      </c>
      <c r="C2566" s="4" t="str">
        <f t="shared" si="218"/>
        <v>Quảng Ninh</v>
      </c>
      <c r="D2566" s="3" t="s">
        <v>215</v>
      </c>
      <c r="E2566" s="4" t="str">
        <f t="shared" si="221"/>
        <v>Huyện Tiên Yên</v>
      </c>
      <c r="F2566" s="3" t="s">
        <v>3330</v>
      </c>
      <c r="G2566" s="4" t="str">
        <f>HYPERLINK("https://diaocthongthai.com/xa-tien-lang-tien-yen/","Xã Tiên Lãng")</f>
        <v>Xã Tiên Lãng</v>
      </c>
    </row>
    <row r="2567" spans="1:7" x14ac:dyDescent="0.25">
      <c r="A2567" s="2">
        <v>2566</v>
      </c>
      <c r="B2567" s="3" t="s">
        <v>16</v>
      </c>
      <c r="C2567" s="4" t="str">
        <f t="shared" si="218"/>
        <v>Quảng Ninh</v>
      </c>
      <c r="D2567" s="3" t="s">
        <v>215</v>
      </c>
      <c r="E2567" s="4" t="str">
        <f t="shared" si="221"/>
        <v>Huyện Tiên Yên</v>
      </c>
      <c r="F2567" s="3" t="s">
        <v>3331</v>
      </c>
      <c r="G2567" s="4" t="str">
        <f>HYPERLINK("https://diaocthongthai.com/xa-dong-rui-tien-yen/","Xã Đồng Rui")</f>
        <v>Xã Đồng Rui</v>
      </c>
    </row>
    <row r="2568" spans="1:7" x14ac:dyDescent="0.25">
      <c r="A2568" s="2">
        <v>2567</v>
      </c>
      <c r="B2568" s="3" t="s">
        <v>16</v>
      </c>
      <c r="C2568" s="4" t="str">
        <f t="shared" si="218"/>
        <v>Quảng Ninh</v>
      </c>
      <c r="D2568" s="3" t="s">
        <v>216</v>
      </c>
      <c r="E2568" s="4" t="str">
        <f t="shared" ref="E2568:E2576" si="222">HYPERLINK("https://diaocthongthai.com/ban-do-huyen-dam-ha-quang-ninh/","Huyện Đầm Hà")</f>
        <v>Huyện Đầm Hà</v>
      </c>
      <c r="F2568" s="3" t="s">
        <v>3332</v>
      </c>
      <c r="G2568" s="4" t="str">
        <f>HYPERLINK("https://diaocthongthai.com/thi-tran-dam-ha-dam-ha/","Thị trấn Đầm Hà")</f>
        <v>Thị trấn Đầm Hà</v>
      </c>
    </row>
    <row r="2569" spans="1:7" x14ac:dyDescent="0.25">
      <c r="A2569" s="2">
        <v>2568</v>
      </c>
      <c r="B2569" s="3" t="s">
        <v>16</v>
      </c>
      <c r="C2569" s="4" t="str">
        <f t="shared" si="218"/>
        <v>Quảng Ninh</v>
      </c>
      <c r="D2569" s="3" t="s">
        <v>216</v>
      </c>
      <c r="E2569" s="4" t="str">
        <f t="shared" si="222"/>
        <v>Huyện Đầm Hà</v>
      </c>
      <c r="F2569" s="3" t="s">
        <v>3333</v>
      </c>
      <c r="G2569" s="4" t="str">
        <f>HYPERLINK("https://diaocthongthai.com/xa-quang-lam-dam-ha/","Xã Quảng Lâm")</f>
        <v>Xã Quảng Lâm</v>
      </c>
    </row>
    <row r="2570" spans="1:7" x14ac:dyDescent="0.25">
      <c r="A2570" s="2">
        <v>2569</v>
      </c>
      <c r="B2570" s="3" t="s">
        <v>16</v>
      </c>
      <c r="C2570" s="4" t="str">
        <f t="shared" ref="C2570:C2601" si="223">HYPERLINK("https://diaocthongthai.com/ban-do-quang-ninh/","Quảng Ninh")</f>
        <v>Quảng Ninh</v>
      </c>
      <c r="D2570" s="3" t="s">
        <v>216</v>
      </c>
      <c r="E2570" s="4" t="str">
        <f t="shared" si="222"/>
        <v>Huyện Đầm Hà</v>
      </c>
      <c r="F2570" s="3" t="s">
        <v>3334</v>
      </c>
      <c r="G2570" s="4" t="str">
        <f>HYPERLINK("https://diaocthongthai.com/xa-quang-an-dam-ha/","Xã Quảng An")</f>
        <v>Xã Quảng An</v>
      </c>
    </row>
    <row r="2571" spans="1:7" x14ac:dyDescent="0.25">
      <c r="A2571" s="2">
        <v>2570</v>
      </c>
      <c r="B2571" s="3" t="s">
        <v>16</v>
      </c>
      <c r="C2571" s="4" t="str">
        <f t="shared" si="223"/>
        <v>Quảng Ninh</v>
      </c>
      <c r="D2571" s="3" t="s">
        <v>216</v>
      </c>
      <c r="E2571" s="4" t="str">
        <f t="shared" si="222"/>
        <v>Huyện Đầm Hà</v>
      </c>
      <c r="F2571" s="3" t="s">
        <v>3335</v>
      </c>
      <c r="G2571" s="4" t="str">
        <f>HYPERLINK("https://diaocthongthai.com/xa-tan-binh-dam-ha/","Xã Tân Bình")</f>
        <v>Xã Tân Bình</v>
      </c>
    </row>
    <row r="2572" spans="1:7" x14ac:dyDescent="0.25">
      <c r="A2572" s="2">
        <v>2571</v>
      </c>
      <c r="B2572" s="3" t="s">
        <v>16</v>
      </c>
      <c r="C2572" s="4" t="str">
        <f t="shared" si="223"/>
        <v>Quảng Ninh</v>
      </c>
      <c r="D2572" s="3" t="s">
        <v>216</v>
      </c>
      <c r="E2572" s="4" t="str">
        <f t="shared" si="222"/>
        <v>Huyện Đầm Hà</v>
      </c>
      <c r="F2572" s="3" t="s">
        <v>3336</v>
      </c>
      <c r="G2572" s="4" t="str">
        <f>HYPERLINK("https://diaocthongthai.com/xa-duc-yen-dam-ha/","Xã Dực Yên")</f>
        <v>Xã Dực Yên</v>
      </c>
    </row>
    <row r="2573" spans="1:7" x14ac:dyDescent="0.25">
      <c r="A2573" s="2">
        <v>2572</v>
      </c>
      <c r="B2573" s="3" t="s">
        <v>16</v>
      </c>
      <c r="C2573" s="4" t="str">
        <f t="shared" si="223"/>
        <v>Quảng Ninh</v>
      </c>
      <c r="D2573" s="3" t="s">
        <v>216</v>
      </c>
      <c r="E2573" s="4" t="str">
        <f t="shared" si="222"/>
        <v>Huyện Đầm Hà</v>
      </c>
      <c r="F2573" s="3" t="s">
        <v>3337</v>
      </c>
      <c r="G2573" s="4" t="str">
        <f>HYPERLINK("https://diaocthongthai.com/xa-quang-tan-dam-ha/","Xã Quảng Tân")</f>
        <v>Xã Quảng Tân</v>
      </c>
    </row>
    <row r="2574" spans="1:7" x14ac:dyDescent="0.25">
      <c r="A2574" s="2">
        <v>2573</v>
      </c>
      <c r="B2574" s="3" t="s">
        <v>16</v>
      </c>
      <c r="C2574" s="4" t="str">
        <f t="shared" si="223"/>
        <v>Quảng Ninh</v>
      </c>
      <c r="D2574" s="3" t="s">
        <v>216</v>
      </c>
      <c r="E2574" s="4" t="str">
        <f t="shared" si="222"/>
        <v>Huyện Đầm Hà</v>
      </c>
      <c r="F2574" s="3" t="s">
        <v>3338</v>
      </c>
      <c r="G2574" s="4" t="str">
        <f>HYPERLINK("https://diaocthongthai.com/xa-dam-ha-dam-ha/","Xã Đầm Hà")</f>
        <v>Xã Đầm Hà</v>
      </c>
    </row>
    <row r="2575" spans="1:7" x14ac:dyDescent="0.25">
      <c r="A2575" s="2">
        <v>2574</v>
      </c>
      <c r="B2575" s="3" t="s">
        <v>16</v>
      </c>
      <c r="C2575" s="4" t="str">
        <f t="shared" si="223"/>
        <v>Quảng Ninh</v>
      </c>
      <c r="D2575" s="3" t="s">
        <v>216</v>
      </c>
      <c r="E2575" s="4" t="str">
        <f t="shared" si="222"/>
        <v>Huyện Đầm Hà</v>
      </c>
      <c r="F2575" s="3" t="s">
        <v>3339</v>
      </c>
      <c r="G2575" s="4" t="str">
        <f>HYPERLINK("https://diaocthongthai.com/xa-tan-lap-dam-ha/","Xã Tân Lập")</f>
        <v>Xã Tân Lập</v>
      </c>
    </row>
    <row r="2576" spans="1:7" x14ac:dyDescent="0.25">
      <c r="A2576" s="2">
        <v>2575</v>
      </c>
      <c r="B2576" s="3" t="s">
        <v>16</v>
      </c>
      <c r="C2576" s="4" t="str">
        <f t="shared" si="223"/>
        <v>Quảng Ninh</v>
      </c>
      <c r="D2576" s="3" t="s">
        <v>216</v>
      </c>
      <c r="E2576" s="4" t="str">
        <f t="shared" si="222"/>
        <v>Huyện Đầm Hà</v>
      </c>
      <c r="F2576" s="3" t="s">
        <v>3340</v>
      </c>
      <c r="G2576" s="4" t="str">
        <f>HYPERLINK("https://diaocthongthai.com/xa-dai-binh-dam-ha/","Xã Đại Bình")</f>
        <v>Xã Đại Bình</v>
      </c>
    </row>
    <row r="2577" spans="1:7" x14ac:dyDescent="0.25">
      <c r="A2577" s="2">
        <v>2576</v>
      </c>
      <c r="B2577" s="3" t="s">
        <v>16</v>
      </c>
      <c r="C2577" s="4" t="str">
        <f t="shared" si="223"/>
        <v>Quảng Ninh</v>
      </c>
      <c r="D2577" s="3" t="s">
        <v>217</v>
      </c>
      <c r="E2577" s="4" t="str">
        <f t="shared" ref="E2577:E2587" si="224">HYPERLINK("https://diaocthongthai.com/ban-do-huyen-hai-ha-quang-ninh/","Huyện Hải Hà")</f>
        <v>Huyện Hải Hà</v>
      </c>
      <c r="F2577" s="3" t="s">
        <v>3341</v>
      </c>
      <c r="G2577" s="4" t="str">
        <f>HYPERLINK("https://diaocthongthai.com/thi-tran-quang-ha-hai-ha/","Thị trấn Quảng Hà")</f>
        <v>Thị trấn Quảng Hà</v>
      </c>
    </row>
    <row r="2578" spans="1:7" x14ac:dyDescent="0.25">
      <c r="A2578" s="2">
        <v>2577</v>
      </c>
      <c r="B2578" s="3" t="s">
        <v>16</v>
      </c>
      <c r="C2578" s="4" t="str">
        <f t="shared" si="223"/>
        <v>Quảng Ninh</v>
      </c>
      <c r="D2578" s="3" t="s">
        <v>217</v>
      </c>
      <c r="E2578" s="4" t="str">
        <f t="shared" si="224"/>
        <v>Huyện Hải Hà</v>
      </c>
      <c r="F2578" s="3" t="s">
        <v>3342</v>
      </c>
      <c r="G2578" s="4" t="str">
        <f>HYPERLINK("https://diaocthongthai.com/xa-quang-duc-hai-ha/","Xã Quảng Đức")</f>
        <v>Xã Quảng Đức</v>
      </c>
    </row>
    <row r="2579" spans="1:7" x14ac:dyDescent="0.25">
      <c r="A2579" s="2">
        <v>2578</v>
      </c>
      <c r="B2579" s="3" t="s">
        <v>16</v>
      </c>
      <c r="C2579" s="4" t="str">
        <f t="shared" si="223"/>
        <v>Quảng Ninh</v>
      </c>
      <c r="D2579" s="3" t="s">
        <v>217</v>
      </c>
      <c r="E2579" s="4" t="str">
        <f t="shared" si="224"/>
        <v>Huyện Hải Hà</v>
      </c>
      <c r="F2579" s="3" t="s">
        <v>3343</v>
      </c>
      <c r="G2579" s="4" t="str">
        <f>HYPERLINK("https://diaocthongthai.com/xa-quang-son-hai-ha/","Xã Quảng Sơn")</f>
        <v>Xã Quảng Sơn</v>
      </c>
    </row>
    <row r="2580" spans="1:7" x14ac:dyDescent="0.25">
      <c r="A2580" s="2">
        <v>2579</v>
      </c>
      <c r="B2580" s="3" t="s">
        <v>16</v>
      </c>
      <c r="C2580" s="4" t="str">
        <f t="shared" si="223"/>
        <v>Quảng Ninh</v>
      </c>
      <c r="D2580" s="3" t="s">
        <v>217</v>
      </c>
      <c r="E2580" s="4" t="str">
        <f t="shared" si="224"/>
        <v>Huyện Hải Hà</v>
      </c>
      <c r="F2580" s="3" t="s">
        <v>3344</v>
      </c>
      <c r="G2580" s="4" t="str">
        <f>HYPERLINK("https://diaocthongthai.com/xa-quang-thanh-hai-ha/","Xã Quảng Thành")</f>
        <v>Xã Quảng Thành</v>
      </c>
    </row>
    <row r="2581" spans="1:7" x14ac:dyDescent="0.25">
      <c r="A2581" s="2">
        <v>2580</v>
      </c>
      <c r="B2581" s="3" t="s">
        <v>16</v>
      </c>
      <c r="C2581" s="4" t="str">
        <f t="shared" si="223"/>
        <v>Quảng Ninh</v>
      </c>
      <c r="D2581" s="3" t="s">
        <v>217</v>
      </c>
      <c r="E2581" s="4" t="str">
        <f t="shared" si="224"/>
        <v>Huyện Hải Hà</v>
      </c>
      <c r="F2581" s="3" t="s">
        <v>3345</v>
      </c>
      <c r="G2581" s="4" t="str">
        <f>HYPERLINK("https://diaocthongthai.com/xa-quang-thinh-hai-ha/","Xã Quảng Thịnh")</f>
        <v>Xã Quảng Thịnh</v>
      </c>
    </row>
    <row r="2582" spans="1:7" x14ac:dyDescent="0.25">
      <c r="A2582" s="2">
        <v>2581</v>
      </c>
      <c r="B2582" s="3" t="s">
        <v>16</v>
      </c>
      <c r="C2582" s="4" t="str">
        <f t="shared" si="223"/>
        <v>Quảng Ninh</v>
      </c>
      <c r="D2582" s="3" t="s">
        <v>217</v>
      </c>
      <c r="E2582" s="4" t="str">
        <f t="shared" si="224"/>
        <v>Huyện Hải Hà</v>
      </c>
      <c r="F2582" s="3" t="s">
        <v>3346</v>
      </c>
      <c r="G2582" s="4" t="str">
        <f>HYPERLINK("https://diaocthongthai.com/xa-quang-minh-hai-ha/","Xã Quảng Minh")</f>
        <v>Xã Quảng Minh</v>
      </c>
    </row>
    <row r="2583" spans="1:7" x14ac:dyDescent="0.25">
      <c r="A2583" s="2">
        <v>2582</v>
      </c>
      <c r="B2583" s="3" t="s">
        <v>16</v>
      </c>
      <c r="C2583" s="4" t="str">
        <f t="shared" si="223"/>
        <v>Quảng Ninh</v>
      </c>
      <c r="D2583" s="3" t="s">
        <v>217</v>
      </c>
      <c r="E2583" s="4" t="str">
        <f t="shared" si="224"/>
        <v>Huyện Hải Hà</v>
      </c>
      <c r="F2583" s="3" t="s">
        <v>3347</v>
      </c>
      <c r="G2583" s="4" t="str">
        <f>HYPERLINK("https://diaocthongthai.com/xa-quang-chinh-hai-ha/","Xã Quảng Chính")</f>
        <v>Xã Quảng Chính</v>
      </c>
    </row>
    <row r="2584" spans="1:7" x14ac:dyDescent="0.25">
      <c r="A2584" s="2">
        <v>2583</v>
      </c>
      <c r="B2584" s="3" t="s">
        <v>16</v>
      </c>
      <c r="C2584" s="4" t="str">
        <f t="shared" si="223"/>
        <v>Quảng Ninh</v>
      </c>
      <c r="D2584" s="3" t="s">
        <v>217</v>
      </c>
      <c r="E2584" s="4" t="str">
        <f t="shared" si="224"/>
        <v>Huyện Hải Hà</v>
      </c>
      <c r="F2584" s="3" t="s">
        <v>3348</v>
      </c>
      <c r="G2584" s="4" t="str">
        <f>HYPERLINK("https://diaocthongthai.com/xa-quang-long-hai-ha/","Xã Quảng Long")</f>
        <v>Xã Quảng Long</v>
      </c>
    </row>
    <row r="2585" spans="1:7" x14ac:dyDescent="0.25">
      <c r="A2585" s="2">
        <v>2584</v>
      </c>
      <c r="B2585" s="3" t="s">
        <v>16</v>
      </c>
      <c r="C2585" s="4" t="str">
        <f t="shared" si="223"/>
        <v>Quảng Ninh</v>
      </c>
      <c r="D2585" s="3" t="s">
        <v>217</v>
      </c>
      <c r="E2585" s="4" t="str">
        <f t="shared" si="224"/>
        <v>Huyện Hải Hà</v>
      </c>
      <c r="F2585" s="3" t="s">
        <v>3349</v>
      </c>
      <c r="G2585" s="4" t="str">
        <f>HYPERLINK("https://diaocthongthai.com/xa-duong-hoa-hai-ha/","Xã Đường Hoa")</f>
        <v>Xã Đường Hoa</v>
      </c>
    </row>
    <row r="2586" spans="1:7" x14ac:dyDescent="0.25">
      <c r="A2586" s="2">
        <v>2585</v>
      </c>
      <c r="B2586" s="3" t="s">
        <v>16</v>
      </c>
      <c r="C2586" s="4" t="str">
        <f t="shared" si="223"/>
        <v>Quảng Ninh</v>
      </c>
      <c r="D2586" s="3" t="s">
        <v>217</v>
      </c>
      <c r="E2586" s="4" t="str">
        <f t="shared" si="224"/>
        <v>Huyện Hải Hà</v>
      </c>
      <c r="F2586" s="3" t="s">
        <v>3350</v>
      </c>
      <c r="G2586" s="4" t="str">
        <f>HYPERLINK("https://diaocthongthai.com/xa-quang-phong-hai-ha/","Xã Quảng Phong")</f>
        <v>Xã Quảng Phong</v>
      </c>
    </row>
    <row r="2587" spans="1:7" x14ac:dyDescent="0.25">
      <c r="A2587" s="2">
        <v>2586</v>
      </c>
      <c r="B2587" s="3" t="s">
        <v>16</v>
      </c>
      <c r="C2587" s="4" t="str">
        <f t="shared" si="223"/>
        <v>Quảng Ninh</v>
      </c>
      <c r="D2587" s="3" t="s">
        <v>217</v>
      </c>
      <c r="E2587" s="4" t="str">
        <f t="shared" si="224"/>
        <v>Huyện Hải Hà</v>
      </c>
      <c r="F2587" s="3" t="s">
        <v>3351</v>
      </c>
      <c r="G2587" s="4" t="str">
        <f>HYPERLINK("https://diaocthongthai.com/xa-cai-chien-hai-ha/","Xã Cái Chiên")</f>
        <v>Xã Cái Chiên</v>
      </c>
    </row>
    <row r="2588" spans="1:7" x14ac:dyDescent="0.25">
      <c r="A2588" s="2">
        <v>2587</v>
      </c>
      <c r="B2588" s="3" t="s">
        <v>16</v>
      </c>
      <c r="C2588" s="4" t="str">
        <f t="shared" si="223"/>
        <v>Quảng Ninh</v>
      </c>
      <c r="D2588" s="3" t="s">
        <v>218</v>
      </c>
      <c r="E2588" s="4" t="str">
        <f t="shared" ref="E2588:E2595" si="225">HYPERLINK("https://diaocthongthai.com/ban-do-huyen-ba-che-quang-ninh/","Huyện Ba Chẽ")</f>
        <v>Huyện Ba Chẽ</v>
      </c>
      <c r="F2588" s="3" t="s">
        <v>3352</v>
      </c>
      <c r="G2588" s="4" t="str">
        <f>HYPERLINK("https://diaocthongthai.com/thi-tran-ba-che-ba-che/","Thị trấn Ba Chẽ")</f>
        <v>Thị trấn Ba Chẽ</v>
      </c>
    </row>
    <row r="2589" spans="1:7" x14ac:dyDescent="0.25">
      <c r="A2589" s="2">
        <v>2588</v>
      </c>
      <c r="B2589" s="3" t="s">
        <v>16</v>
      </c>
      <c r="C2589" s="4" t="str">
        <f t="shared" si="223"/>
        <v>Quảng Ninh</v>
      </c>
      <c r="D2589" s="3" t="s">
        <v>218</v>
      </c>
      <c r="E2589" s="4" t="str">
        <f t="shared" si="225"/>
        <v>Huyện Ba Chẽ</v>
      </c>
      <c r="F2589" s="3" t="s">
        <v>3353</v>
      </c>
      <c r="G2589" s="4" t="str">
        <f>HYPERLINK("https://diaocthongthai.com/xa-thanh-son-ba-che/","Xã Thanh Sơn")</f>
        <v>Xã Thanh Sơn</v>
      </c>
    </row>
    <row r="2590" spans="1:7" x14ac:dyDescent="0.25">
      <c r="A2590" s="2">
        <v>2589</v>
      </c>
      <c r="B2590" s="3" t="s">
        <v>16</v>
      </c>
      <c r="C2590" s="4" t="str">
        <f t="shared" si="223"/>
        <v>Quảng Ninh</v>
      </c>
      <c r="D2590" s="3" t="s">
        <v>218</v>
      </c>
      <c r="E2590" s="4" t="str">
        <f t="shared" si="225"/>
        <v>Huyện Ba Chẽ</v>
      </c>
      <c r="F2590" s="3" t="s">
        <v>3354</v>
      </c>
      <c r="G2590" s="4" t="str">
        <f>HYPERLINK("https://diaocthongthai.com/xa-thanh-lam-ba-che/","Xã Thanh Lâm")</f>
        <v>Xã Thanh Lâm</v>
      </c>
    </row>
    <row r="2591" spans="1:7" x14ac:dyDescent="0.25">
      <c r="A2591" s="2">
        <v>2590</v>
      </c>
      <c r="B2591" s="3" t="s">
        <v>16</v>
      </c>
      <c r="C2591" s="4" t="str">
        <f t="shared" si="223"/>
        <v>Quảng Ninh</v>
      </c>
      <c r="D2591" s="3" t="s">
        <v>218</v>
      </c>
      <c r="E2591" s="4" t="str">
        <f t="shared" si="225"/>
        <v>Huyện Ba Chẽ</v>
      </c>
      <c r="F2591" s="3" t="s">
        <v>3355</v>
      </c>
      <c r="G2591" s="4" t="str">
        <f>HYPERLINK("https://diaocthongthai.com/xa-dap-thanh-ba-che/","Xã Đạp Thanh")</f>
        <v>Xã Đạp Thanh</v>
      </c>
    </row>
    <row r="2592" spans="1:7" x14ac:dyDescent="0.25">
      <c r="A2592" s="2">
        <v>2591</v>
      </c>
      <c r="B2592" s="3" t="s">
        <v>16</v>
      </c>
      <c r="C2592" s="4" t="str">
        <f t="shared" si="223"/>
        <v>Quảng Ninh</v>
      </c>
      <c r="D2592" s="3" t="s">
        <v>218</v>
      </c>
      <c r="E2592" s="4" t="str">
        <f t="shared" si="225"/>
        <v>Huyện Ba Chẽ</v>
      </c>
      <c r="F2592" s="3" t="s">
        <v>3356</v>
      </c>
      <c r="G2592" s="4" t="str">
        <f>HYPERLINK("https://diaocthongthai.com/xa-nam-son-ba-che/","Xã Nam Sơn")</f>
        <v>Xã Nam Sơn</v>
      </c>
    </row>
    <row r="2593" spans="1:7" x14ac:dyDescent="0.25">
      <c r="A2593" s="2">
        <v>2592</v>
      </c>
      <c r="B2593" s="3" t="s">
        <v>16</v>
      </c>
      <c r="C2593" s="4" t="str">
        <f t="shared" si="223"/>
        <v>Quảng Ninh</v>
      </c>
      <c r="D2593" s="3" t="s">
        <v>218</v>
      </c>
      <c r="E2593" s="4" t="str">
        <f t="shared" si="225"/>
        <v>Huyện Ba Chẽ</v>
      </c>
      <c r="F2593" s="3" t="s">
        <v>3357</v>
      </c>
      <c r="G2593" s="4" t="str">
        <f>HYPERLINK("https://diaocthongthai.com/xa-luong-mong-ba-che/","Xã Lương Mông")</f>
        <v>Xã Lương Mông</v>
      </c>
    </row>
    <row r="2594" spans="1:7" x14ac:dyDescent="0.25">
      <c r="A2594" s="2">
        <v>2593</v>
      </c>
      <c r="B2594" s="3" t="s">
        <v>16</v>
      </c>
      <c r="C2594" s="4" t="str">
        <f t="shared" si="223"/>
        <v>Quảng Ninh</v>
      </c>
      <c r="D2594" s="3" t="s">
        <v>218</v>
      </c>
      <c r="E2594" s="4" t="str">
        <f t="shared" si="225"/>
        <v>Huyện Ba Chẽ</v>
      </c>
      <c r="F2594" s="3" t="s">
        <v>3358</v>
      </c>
      <c r="G2594" s="4" t="str">
        <f>HYPERLINK("https://diaocthongthai.com/xa-don-dac-ba-che/","Xã Đồn Đạc")</f>
        <v>Xã Đồn Đạc</v>
      </c>
    </row>
    <row r="2595" spans="1:7" x14ac:dyDescent="0.25">
      <c r="A2595" s="2">
        <v>2594</v>
      </c>
      <c r="B2595" s="3" t="s">
        <v>16</v>
      </c>
      <c r="C2595" s="4" t="str">
        <f t="shared" si="223"/>
        <v>Quảng Ninh</v>
      </c>
      <c r="D2595" s="3" t="s">
        <v>218</v>
      </c>
      <c r="E2595" s="4" t="str">
        <f t="shared" si="225"/>
        <v>Huyện Ba Chẽ</v>
      </c>
      <c r="F2595" s="3" t="s">
        <v>3359</v>
      </c>
      <c r="G2595" s="4" t="str">
        <f>HYPERLINK("https://diaocthongthai.com/xa-minh-cam-ba-che/","Xã Minh Cầm")</f>
        <v>Xã Minh Cầm</v>
      </c>
    </row>
    <row r="2596" spans="1:7" x14ac:dyDescent="0.25">
      <c r="A2596" s="2">
        <v>2595</v>
      </c>
      <c r="B2596" s="3" t="s">
        <v>16</v>
      </c>
      <c r="C2596" s="4" t="str">
        <f t="shared" si="223"/>
        <v>Quảng Ninh</v>
      </c>
      <c r="D2596" s="3" t="s">
        <v>219</v>
      </c>
      <c r="E2596" s="4" t="str">
        <f t="shared" ref="E2596:E2607" si="226">HYPERLINK("https://diaocthongthai.com/ban-do-huyen-van-don-quang-ninh/","Huyện Vân Đồn")</f>
        <v>Huyện Vân Đồn</v>
      </c>
      <c r="F2596" s="3" t="s">
        <v>3360</v>
      </c>
      <c r="G2596" s="4" t="str">
        <f>HYPERLINK("https://diaocthongthai.com/thi-tran-cai-rong-van-don/","Thị trấn Cái Rồng")</f>
        <v>Thị trấn Cái Rồng</v>
      </c>
    </row>
    <row r="2597" spans="1:7" x14ac:dyDescent="0.25">
      <c r="A2597" s="2">
        <v>2596</v>
      </c>
      <c r="B2597" s="3" t="s">
        <v>16</v>
      </c>
      <c r="C2597" s="4" t="str">
        <f t="shared" si="223"/>
        <v>Quảng Ninh</v>
      </c>
      <c r="D2597" s="3" t="s">
        <v>219</v>
      </c>
      <c r="E2597" s="4" t="str">
        <f t="shared" si="226"/>
        <v>Huyện Vân Đồn</v>
      </c>
      <c r="F2597" s="3" t="s">
        <v>3361</v>
      </c>
      <c r="G2597" s="4" t="str">
        <f>HYPERLINK("https://diaocthongthai.com/xa-dai-xuyen-van-don/","Xã Đài Xuyên")</f>
        <v>Xã Đài Xuyên</v>
      </c>
    </row>
    <row r="2598" spans="1:7" x14ac:dyDescent="0.25">
      <c r="A2598" s="2">
        <v>2597</v>
      </c>
      <c r="B2598" s="3" t="s">
        <v>16</v>
      </c>
      <c r="C2598" s="4" t="str">
        <f t="shared" si="223"/>
        <v>Quảng Ninh</v>
      </c>
      <c r="D2598" s="3" t="s">
        <v>219</v>
      </c>
      <c r="E2598" s="4" t="str">
        <f t="shared" si="226"/>
        <v>Huyện Vân Đồn</v>
      </c>
      <c r="F2598" s="3" t="s">
        <v>3362</v>
      </c>
      <c r="G2598" s="4" t="str">
        <f>HYPERLINK("https://diaocthongthai.com/xa-binh-dan-van-don/","Xã Bình Dân")</f>
        <v>Xã Bình Dân</v>
      </c>
    </row>
    <row r="2599" spans="1:7" x14ac:dyDescent="0.25">
      <c r="A2599" s="2">
        <v>2598</v>
      </c>
      <c r="B2599" s="3" t="s">
        <v>16</v>
      </c>
      <c r="C2599" s="4" t="str">
        <f t="shared" si="223"/>
        <v>Quảng Ninh</v>
      </c>
      <c r="D2599" s="3" t="s">
        <v>219</v>
      </c>
      <c r="E2599" s="4" t="str">
        <f t="shared" si="226"/>
        <v>Huyện Vân Đồn</v>
      </c>
      <c r="F2599" s="3" t="s">
        <v>3363</v>
      </c>
      <c r="G2599" s="4" t="str">
        <f>HYPERLINK("https://diaocthongthai.com/xa-van-yen-van-don/","Xã Vạn Yên")</f>
        <v>Xã Vạn Yên</v>
      </c>
    </row>
    <row r="2600" spans="1:7" x14ac:dyDescent="0.25">
      <c r="A2600" s="2">
        <v>2599</v>
      </c>
      <c r="B2600" s="3" t="s">
        <v>16</v>
      </c>
      <c r="C2600" s="4" t="str">
        <f t="shared" si="223"/>
        <v>Quảng Ninh</v>
      </c>
      <c r="D2600" s="3" t="s">
        <v>219</v>
      </c>
      <c r="E2600" s="4" t="str">
        <f t="shared" si="226"/>
        <v>Huyện Vân Đồn</v>
      </c>
      <c r="F2600" s="3" t="s">
        <v>3364</v>
      </c>
      <c r="G2600" s="4" t="str">
        <f>HYPERLINK("https://diaocthongthai.com/xa-minh-chau-van-don/","Xã Minh Châu")</f>
        <v>Xã Minh Châu</v>
      </c>
    </row>
    <row r="2601" spans="1:7" x14ac:dyDescent="0.25">
      <c r="A2601" s="2">
        <v>2600</v>
      </c>
      <c r="B2601" s="3" t="s">
        <v>16</v>
      </c>
      <c r="C2601" s="4" t="str">
        <f t="shared" si="223"/>
        <v>Quảng Ninh</v>
      </c>
      <c r="D2601" s="3" t="s">
        <v>219</v>
      </c>
      <c r="E2601" s="4" t="str">
        <f t="shared" si="226"/>
        <v>Huyện Vân Đồn</v>
      </c>
      <c r="F2601" s="3" t="s">
        <v>3365</v>
      </c>
      <c r="G2601" s="4" t="str">
        <f>HYPERLINK("https://diaocthongthai.com/xa-doan-ket-van-don/","Xã Đoàn Kết")</f>
        <v>Xã Đoàn Kết</v>
      </c>
    </row>
    <row r="2602" spans="1:7" x14ac:dyDescent="0.25">
      <c r="A2602" s="2">
        <v>2601</v>
      </c>
      <c r="B2602" s="3" t="s">
        <v>16</v>
      </c>
      <c r="C2602" s="4" t="str">
        <f t="shared" ref="C2602:C2633" si="227">HYPERLINK("https://diaocthongthai.com/ban-do-quang-ninh/","Quảng Ninh")</f>
        <v>Quảng Ninh</v>
      </c>
      <c r="D2602" s="3" t="s">
        <v>219</v>
      </c>
      <c r="E2602" s="4" t="str">
        <f t="shared" si="226"/>
        <v>Huyện Vân Đồn</v>
      </c>
      <c r="F2602" s="3" t="s">
        <v>3366</v>
      </c>
      <c r="G2602" s="4" t="str">
        <f>HYPERLINK("https://diaocthongthai.com/xa-ha-long-van-don/","Xã Hạ Long")</f>
        <v>Xã Hạ Long</v>
      </c>
    </row>
    <row r="2603" spans="1:7" x14ac:dyDescent="0.25">
      <c r="A2603" s="2">
        <v>2602</v>
      </c>
      <c r="B2603" s="3" t="s">
        <v>16</v>
      </c>
      <c r="C2603" s="4" t="str">
        <f t="shared" si="227"/>
        <v>Quảng Ninh</v>
      </c>
      <c r="D2603" s="3" t="s">
        <v>219</v>
      </c>
      <c r="E2603" s="4" t="str">
        <f t="shared" si="226"/>
        <v>Huyện Vân Đồn</v>
      </c>
      <c r="F2603" s="3" t="s">
        <v>3367</v>
      </c>
      <c r="G2603" s="4" t="str">
        <f>HYPERLINK("https://diaocthongthai.com/xa-dong-xa-van-don/","Xã Đông Xá")</f>
        <v>Xã Đông Xá</v>
      </c>
    </row>
    <row r="2604" spans="1:7" x14ac:dyDescent="0.25">
      <c r="A2604" s="2">
        <v>2603</v>
      </c>
      <c r="B2604" s="3" t="s">
        <v>16</v>
      </c>
      <c r="C2604" s="4" t="str">
        <f t="shared" si="227"/>
        <v>Quảng Ninh</v>
      </c>
      <c r="D2604" s="3" t="s">
        <v>219</v>
      </c>
      <c r="E2604" s="4" t="str">
        <f t="shared" si="226"/>
        <v>Huyện Vân Đồn</v>
      </c>
      <c r="F2604" s="3" t="s">
        <v>3368</v>
      </c>
      <c r="G2604" s="4" t="str">
        <f>HYPERLINK("https://diaocthongthai.com/xa-ban-sen-van-don/","Xã Bản Sen")</f>
        <v>Xã Bản Sen</v>
      </c>
    </row>
    <row r="2605" spans="1:7" x14ac:dyDescent="0.25">
      <c r="A2605" s="2">
        <v>2604</v>
      </c>
      <c r="B2605" s="3" t="s">
        <v>16</v>
      </c>
      <c r="C2605" s="4" t="str">
        <f t="shared" si="227"/>
        <v>Quảng Ninh</v>
      </c>
      <c r="D2605" s="3" t="s">
        <v>219</v>
      </c>
      <c r="E2605" s="4" t="str">
        <f t="shared" si="226"/>
        <v>Huyện Vân Đồn</v>
      </c>
      <c r="F2605" s="3" t="s">
        <v>3369</v>
      </c>
      <c r="G2605" s="4" t="str">
        <f>HYPERLINK("https://diaocthongthai.com/xa-thang-loi-van-don/","Xã Thắng Lợi")</f>
        <v>Xã Thắng Lợi</v>
      </c>
    </row>
    <row r="2606" spans="1:7" x14ac:dyDescent="0.25">
      <c r="A2606" s="2">
        <v>2605</v>
      </c>
      <c r="B2606" s="3" t="s">
        <v>16</v>
      </c>
      <c r="C2606" s="4" t="str">
        <f t="shared" si="227"/>
        <v>Quảng Ninh</v>
      </c>
      <c r="D2606" s="3" t="s">
        <v>219</v>
      </c>
      <c r="E2606" s="4" t="str">
        <f t="shared" si="226"/>
        <v>Huyện Vân Đồn</v>
      </c>
      <c r="F2606" s="3" t="s">
        <v>3370</v>
      </c>
      <c r="G2606" s="4" t="str">
        <f>HYPERLINK("https://diaocthongthai.com/xa-quan-lan-van-don/","Xã Quan Lạn")</f>
        <v>Xã Quan Lạn</v>
      </c>
    </row>
    <row r="2607" spans="1:7" x14ac:dyDescent="0.25">
      <c r="A2607" s="2">
        <v>2606</v>
      </c>
      <c r="B2607" s="3" t="s">
        <v>16</v>
      </c>
      <c r="C2607" s="4" t="str">
        <f t="shared" si="227"/>
        <v>Quảng Ninh</v>
      </c>
      <c r="D2607" s="3" t="s">
        <v>219</v>
      </c>
      <c r="E2607" s="4" t="str">
        <f t="shared" si="226"/>
        <v>Huyện Vân Đồn</v>
      </c>
      <c r="F2607" s="3" t="s">
        <v>3371</v>
      </c>
      <c r="G2607" s="4" t="str">
        <f>HYPERLINK("https://diaocthongthai.com/xa-ngoc-vung-van-don/","Xã Ngọc Vừng")</f>
        <v>Xã Ngọc Vừng</v>
      </c>
    </row>
    <row r="2608" spans="1:7" x14ac:dyDescent="0.25">
      <c r="A2608" s="2">
        <v>2607</v>
      </c>
      <c r="B2608" s="3" t="s">
        <v>16</v>
      </c>
      <c r="C2608" s="4" t="str">
        <f t="shared" si="227"/>
        <v>Quảng Ninh</v>
      </c>
      <c r="D2608" s="3" t="s">
        <v>220</v>
      </c>
      <c r="E2608" s="4" t="str">
        <f t="shared" ref="E2608:E2628" si="228">HYPERLINK("https://diaocthongthai.com/ban-do-thi-xa-dong-trieu-quang-ninh/","Thị xã Đông Triều")</f>
        <v>Thị xã Đông Triều</v>
      </c>
      <c r="F2608" s="3" t="s">
        <v>3372</v>
      </c>
      <c r="G2608" s="4" t="str">
        <f>HYPERLINK("https://diaocthongthai.com/phuong-mao-khe-dong-trieu/","Phường Mạo Khê")</f>
        <v>Phường Mạo Khê</v>
      </c>
    </row>
    <row r="2609" spans="1:7" x14ac:dyDescent="0.25">
      <c r="A2609" s="2">
        <v>2608</v>
      </c>
      <c r="B2609" s="3" t="s">
        <v>16</v>
      </c>
      <c r="C2609" s="4" t="str">
        <f t="shared" si="227"/>
        <v>Quảng Ninh</v>
      </c>
      <c r="D2609" s="3" t="s">
        <v>220</v>
      </c>
      <c r="E2609" s="4" t="str">
        <f t="shared" si="228"/>
        <v>Thị xã Đông Triều</v>
      </c>
      <c r="F2609" s="3" t="s">
        <v>3373</v>
      </c>
      <c r="G2609" s="4" t="str">
        <f>HYPERLINK("https://diaocthongthai.com/phuong-dong-trieu-dong-trieu/","Phường Đông Triều")</f>
        <v>Phường Đông Triều</v>
      </c>
    </row>
    <row r="2610" spans="1:7" x14ac:dyDescent="0.25">
      <c r="A2610" s="2">
        <v>2609</v>
      </c>
      <c r="B2610" s="3" t="s">
        <v>16</v>
      </c>
      <c r="C2610" s="4" t="str">
        <f t="shared" si="227"/>
        <v>Quảng Ninh</v>
      </c>
      <c r="D2610" s="3" t="s">
        <v>220</v>
      </c>
      <c r="E2610" s="4" t="str">
        <f t="shared" si="228"/>
        <v>Thị xã Đông Triều</v>
      </c>
      <c r="F2610" s="3" t="s">
        <v>3374</v>
      </c>
      <c r="G2610" s="4" t="str">
        <f>HYPERLINK("https://diaocthongthai.com/xa-an-sinh-dong-trieu/","Xã An Sinh")</f>
        <v>Xã An Sinh</v>
      </c>
    </row>
    <row r="2611" spans="1:7" x14ac:dyDescent="0.25">
      <c r="A2611" s="2">
        <v>2610</v>
      </c>
      <c r="B2611" s="3" t="s">
        <v>16</v>
      </c>
      <c r="C2611" s="4" t="str">
        <f t="shared" si="227"/>
        <v>Quảng Ninh</v>
      </c>
      <c r="D2611" s="3" t="s">
        <v>220</v>
      </c>
      <c r="E2611" s="4" t="str">
        <f t="shared" si="228"/>
        <v>Thị xã Đông Triều</v>
      </c>
      <c r="F2611" s="3" t="s">
        <v>3375</v>
      </c>
      <c r="G2611" s="4" t="str">
        <f>HYPERLINK("https://diaocthongthai.com/xa-trang-luong-dong-trieu/","Xã Tràng Lương")</f>
        <v>Xã Tràng Lương</v>
      </c>
    </row>
    <row r="2612" spans="1:7" x14ac:dyDescent="0.25">
      <c r="A2612" s="2">
        <v>2611</v>
      </c>
      <c r="B2612" s="3" t="s">
        <v>16</v>
      </c>
      <c r="C2612" s="4" t="str">
        <f t="shared" si="227"/>
        <v>Quảng Ninh</v>
      </c>
      <c r="D2612" s="3" t="s">
        <v>220</v>
      </c>
      <c r="E2612" s="4" t="str">
        <f t="shared" si="228"/>
        <v>Thị xã Đông Triều</v>
      </c>
      <c r="F2612" s="3" t="s">
        <v>3376</v>
      </c>
      <c r="G2612" s="4" t="str">
        <f>HYPERLINK("https://diaocthongthai.com/xa-binh-khe-dong-trieu/","Xã Bình Khê")</f>
        <v>Xã Bình Khê</v>
      </c>
    </row>
    <row r="2613" spans="1:7" x14ac:dyDescent="0.25">
      <c r="A2613" s="2">
        <v>2612</v>
      </c>
      <c r="B2613" s="3" t="s">
        <v>16</v>
      </c>
      <c r="C2613" s="4" t="str">
        <f t="shared" si="227"/>
        <v>Quảng Ninh</v>
      </c>
      <c r="D2613" s="3" t="s">
        <v>220</v>
      </c>
      <c r="E2613" s="4" t="str">
        <f t="shared" si="228"/>
        <v>Thị xã Đông Triều</v>
      </c>
      <c r="F2613" s="3" t="s">
        <v>3377</v>
      </c>
      <c r="G2613" s="4" t="str">
        <f>HYPERLINK("https://diaocthongthai.com/xa-viet-dan-dong-trieu/","Xã Việt Dân")</f>
        <v>Xã Việt Dân</v>
      </c>
    </row>
    <row r="2614" spans="1:7" x14ac:dyDescent="0.25">
      <c r="A2614" s="2">
        <v>2613</v>
      </c>
      <c r="B2614" s="3" t="s">
        <v>16</v>
      </c>
      <c r="C2614" s="4" t="str">
        <f t="shared" si="227"/>
        <v>Quảng Ninh</v>
      </c>
      <c r="D2614" s="3" t="s">
        <v>220</v>
      </c>
      <c r="E2614" s="4" t="str">
        <f t="shared" si="228"/>
        <v>Thị xã Đông Triều</v>
      </c>
      <c r="F2614" s="3" t="s">
        <v>3378</v>
      </c>
      <c r="G2614" s="4" t="str">
        <f>HYPERLINK("https://diaocthongthai.com/xa-tan-viet-dong-trieu/","Xã Tân Việt")</f>
        <v>Xã Tân Việt</v>
      </c>
    </row>
    <row r="2615" spans="1:7" x14ac:dyDescent="0.25">
      <c r="A2615" s="2">
        <v>2614</v>
      </c>
      <c r="B2615" s="3" t="s">
        <v>16</v>
      </c>
      <c r="C2615" s="4" t="str">
        <f t="shared" si="227"/>
        <v>Quảng Ninh</v>
      </c>
      <c r="D2615" s="3" t="s">
        <v>220</v>
      </c>
      <c r="E2615" s="4" t="str">
        <f t="shared" si="228"/>
        <v>Thị xã Đông Triều</v>
      </c>
      <c r="F2615" s="3" t="s">
        <v>3379</v>
      </c>
      <c r="G2615" s="4" t="str">
        <f>HYPERLINK("https://diaocthongthai.com/xa-binh-duong-dong-trieu/","Xã Bình Dương")</f>
        <v>Xã Bình Dương</v>
      </c>
    </row>
    <row r="2616" spans="1:7" x14ac:dyDescent="0.25">
      <c r="A2616" s="2">
        <v>2615</v>
      </c>
      <c r="B2616" s="3" t="s">
        <v>16</v>
      </c>
      <c r="C2616" s="4" t="str">
        <f t="shared" si="227"/>
        <v>Quảng Ninh</v>
      </c>
      <c r="D2616" s="3" t="s">
        <v>220</v>
      </c>
      <c r="E2616" s="4" t="str">
        <f t="shared" si="228"/>
        <v>Thị xã Đông Triều</v>
      </c>
      <c r="F2616" s="3" t="s">
        <v>3380</v>
      </c>
      <c r="G2616" s="4" t="str">
        <f>HYPERLINK("https://diaocthongthai.com/phuong-duc-chinh-dong-trieu/","Phường Đức Chính")</f>
        <v>Phường Đức Chính</v>
      </c>
    </row>
    <row r="2617" spans="1:7" x14ac:dyDescent="0.25">
      <c r="A2617" s="2">
        <v>2616</v>
      </c>
      <c r="B2617" s="3" t="s">
        <v>16</v>
      </c>
      <c r="C2617" s="4" t="str">
        <f t="shared" si="227"/>
        <v>Quảng Ninh</v>
      </c>
      <c r="D2617" s="3" t="s">
        <v>220</v>
      </c>
      <c r="E2617" s="4" t="str">
        <f t="shared" si="228"/>
        <v>Thị xã Đông Triều</v>
      </c>
      <c r="F2617" s="3" t="s">
        <v>3381</v>
      </c>
      <c r="G2617" s="4" t="str">
        <f>HYPERLINK("https://diaocthongthai.com/phuong-trang-an-dong-trieu/","Phường Tràng An")</f>
        <v>Phường Tràng An</v>
      </c>
    </row>
    <row r="2618" spans="1:7" x14ac:dyDescent="0.25">
      <c r="A2618" s="2">
        <v>2617</v>
      </c>
      <c r="B2618" s="3" t="s">
        <v>16</v>
      </c>
      <c r="C2618" s="4" t="str">
        <f t="shared" si="227"/>
        <v>Quảng Ninh</v>
      </c>
      <c r="D2618" s="3" t="s">
        <v>220</v>
      </c>
      <c r="E2618" s="4" t="str">
        <f t="shared" si="228"/>
        <v>Thị xã Đông Triều</v>
      </c>
      <c r="F2618" s="3" t="s">
        <v>3382</v>
      </c>
      <c r="G2618" s="4" t="str">
        <f>HYPERLINK("https://diaocthongthai.com/xa-nguyen-hue-dong-trieu/","Xã Nguyễn Huệ")</f>
        <v>Xã Nguyễn Huệ</v>
      </c>
    </row>
    <row r="2619" spans="1:7" x14ac:dyDescent="0.25">
      <c r="A2619" s="2">
        <v>2618</v>
      </c>
      <c r="B2619" s="3" t="s">
        <v>16</v>
      </c>
      <c r="C2619" s="4" t="str">
        <f t="shared" si="227"/>
        <v>Quảng Ninh</v>
      </c>
      <c r="D2619" s="3" t="s">
        <v>220</v>
      </c>
      <c r="E2619" s="4" t="str">
        <f t="shared" si="228"/>
        <v>Thị xã Đông Triều</v>
      </c>
      <c r="F2619" s="3" t="s">
        <v>3383</v>
      </c>
      <c r="G2619" s="4" t="str">
        <f>HYPERLINK("https://diaocthongthai.com/xa-thuy-an-dong-trieu/","Xã Thủy An")</f>
        <v>Xã Thủy An</v>
      </c>
    </row>
    <row r="2620" spans="1:7" x14ac:dyDescent="0.25">
      <c r="A2620" s="2">
        <v>2619</v>
      </c>
      <c r="B2620" s="3" t="s">
        <v>16</v>
      </c>
      <c r="C2620" s="4" t="str">
        <f t="shared" si="227"/>
        <v>Quảng Ninh</v>
      </c>
      <c r="D2620" s="3" t="s">
        <v>220</v>
      </c>
      <c r="E2620" s="4" t="str">
        <f t="shared" si="228"/>
        <v>Thị xã Đông Triều</v>
      </c>
      <c r="F2620" s="3" t="s">
        <v>3384</v>
      </c>
      <c r="G2620" s="4" t="str">
        <f>HYPERLINK("https://diaocthongthai.com/phuong-xuan-son-dong-trieu/","Phường Xuân Sơn")</f>
        <v>Phường Xuân Sơn</v>
      </c>
    </row>
    <row r="2621" spans="1:7" x14ac:dyDescent="0.25">
      <c r="A2621" s="2">
        <v>2620</v>
      </c>
      <c r="B2621" s="3" t="s">
        <v>16</v>
      </c>
      <c r="C2621" s="4" t="str">
        <f t="shared" si="227"/>
        <v>Quảng Ninh</v>
      </c>
      <c r="D2621" s="3" t="s">
        <v>220</v>
      </c>
      <c r="E2621" s="4" t="str">
        <f t="shared" si="228"/>
        <v>Thị xã Đông Triều</v>
      </c>
      <c r="F2621" s="3" t="s">
        <v>3385</v>
      </c>
      <c r="G2621" s="4" t="str">
        <f>HYPERLINK("https://diaocthongthai.com/xa-hong-thai-tay-dong-trieu/","Xã Hồng Thái Tây")</f>
        <v>Xã Hồng Thái Tây</v>
      </c>
    </row>
    <row r="2622" spans="1:7" x14ac:dyDescent="0.25">
      <c r="A2622" s="2">
        <v>2621</v>
      </c>
      <c r="B2622" s="3" t="s">
        <v>16</v>
      </c>
      <c r="C2622" s="4" t="str">
        <f t="shared" si="227"/>
        <v>Quảng Ninh</v>
      </c>
      <c r="D2622" s="3" t="s">
        <v>220</v>
      </c>
      <c r="E2622" s="4" t="str">
        <f t="shared" si="228"/>
        <v>Thị xã Đông Triều</v>
      </c>
      <c r="F2622" s="3" t="s">
        <v>3386</v>
      </c>
      <c r="G2622" s="4" t="str">
        <f>HYPERLINK("https://diaocthongthai.com/xa-hong-thai-dong-dong-trieu/","Xã Hồng Thái Đông")</f>
        <v>Xã Hồng Thái Đông</v>
      </c>
    </row>
    <row r="2623" spans="1:7" x14ac:dyDescent="0.25">
      <c r="A2623" s="2">
        <v>2622</v>
      </c>
      <c r="B2623" s="3" t="s">
        <v>16</v>
      </c>
      <c r="C2623" s="4" t="str">
        <f t="shared" si="227"/>
        <v>Quảng Ninh</v>
      </c>
      <c r="D2623" s="3" t="s">
        <v>220</v>
      </c>
      <c r="E2623" s="4" t="str">
        <f t="shared" si="228"/>
        <v>Thị xã Đông Triều</v>
      </c>
      <c r="F2623" s="3" t="s">
        <v>3387</v>
      </c>
      <c r="G2623" s="4" t="str">
        <f>HYPERLINK("https://diaocthongthai.com/phuong-hoang-que-dong-trieu/","Phường Hoàng Quế")</f>
        <v>Phường Hoàng Quế</v>
      </c>
    </row>
    <row r="2624" spans="1:7" x14ac:dyDescent="0.25">
      <c r="A2624" s="2">
        <v>2623</v>
      </c>
      <c r="B2624" s="3" t="s">
        <v>16</v>
      </c>
      <c r="C2624" s="4" t="str">
        <f t="shared" si="227"/>
        <v>Quảng Ninh</v>
      </c>
      <c r="D2624" s="3" t="s">
        <v>220</v>
      </c>
      <c r="E2624" s="4" t="str">
        <f t="shared" si="228"/>
        <v>Thị xã Đông Triều</v>
      </c>
      <c r="F2624" s="3" t="s">
        <v>3388</v>
      </c>
      <c r="G2624" s="4" t="str">
        <f>HYPERLINK("https://diaocthongthai.com/phuong-yen-tho-dong-trieu/","Phường Yên Thọ")</f>
        <v>Phường Yên Thọ</v>
      </c>
    </row>
    <row r="2625" spans="1:7" x14ac:dyDescent="0.25">
      <c r="A2625" s="2">
        <v>2624</v>
      </c>
      <c r="B2625" s="3" t="s">
        <v>16</v>
      </c>
      <c r="C2625" s="4" t="str">
        <f t="shared" si="227"/>
        <v>Quảng Ninh</v>
      </c>
      <c r="D2625" s="3" t="s">
        <v>220</v>
      </c>
      <c r="E2625" s="4" t="str">
        <f t="shared" si="228"/>
        <v>Thị xã Đông Triều</v>
      </c>
      <c r="F2625" s="3" t="s">
        <v>3389</v>
      </c>
      <c r="G2625" s="4" t="str">
        <f>HYPERLINK("https://diaocthongthai.com/phuong-hong-phong-dong-trieu/","Phường Hồng Phong")</f>
        <v>Phường Hồng Phong</v>
      </c>
    </row>
    <row r="2626" spans="1:7" x14ac:dyDescent="0.25">
      <c r="A2626" s="2">
        <v>2625</v>
      </c>
      <c r="B2626" s="3" t="s">
        <v>16</v>
      </c>
      <c r="C2626" s="4" t="str">
        <f t="shared" si="227"/>
        <v>Quảng Ninh</v>
      </c>
      <c r="D2626" s="3" t="s">
        <v>220</v>
      </c>
      <c r="E2626" s="4" t="str">
        <f t="shared" si="228"/>
        <v>Thị xã Đông Triều</v>
      </c>
      <c r="F2626" s="3" t="s">
        <v>3390</v>
      </c>
      <c r="G2626" s="4" t="str">
        <f>HYPERLINK("https://diaocthongthai.com/phuong-kim-son-dong-trieu/","Phường Kim Sơn")</f>
        <v>Phường Kim Sơn</v>
      </c>
    </row>
    <row r="2627" spans="1:7" x14ac:dyDescent="0.25">
      <c r="A2627" s="2">
        <v>2626</v>
      </c>
      <c r="B2627" s="3" t="s">
        <v>16</v>
      </c>
      <c r="C2627" s="4" t="str">
        <f t="shared" si="227"/>
        <v>Quảng Ninh</v>
      </c>
      <c r="D2627" s="3" t="s">
        <v>220</v>
      </c>
      <c r="E2627" s="4" t="str">
        <f t="shared" si="228"/>
        <v>Thị xã Đông Triều</v>
      </c>
      <c r="F2627" s="3" t="s">
        <v>3391</v>
      </c>
      <c r="G2627" s="4" t="str">
        <f>HYPERLINK("https://diaocthongthai.com/phuong-hung-dao-dong-trieu/","Phường Hưng Đạo")</f>
        <v>Phường Hưng Đạo</v>
      </c>
    </row>
    <row r="2628" spans="1:7" x14ac:dyDescent="0.25">
      <c r="A2628" s="2">
        <v>2627</v>
      </c>
      <c r="B2628" s="3" t="s">
        <v>16</v>
      </c>
      <c r="C2628" s="4" t="str">
        <f t="shared" si="227"/>
        <v>Quảng Ninh</v>
      </c>
      <c r="D2628" s="3" t="s">
        <v>220</v>
      </c>
      <c r="E2628" s="4" t="str">
        <f t="shared" si="228"/>
        <v>Thị xã Đông Triều</v>
      </c>
      <c r="F2628" s="3" t="s">
        <v>3392</v>
      </c>
      <c r="G2628" s="4" t="str">
        <f>HYPERLINK("https://diaocthongthai.com/xa-yen-duc-dong-trieu/","Xã Yên Đức")</f>
        <v>Xã Yên Đức</v>
      </c>
    </row>
    <row r="2629" spans="1:7" x14ac:dyDescent="0.25">
      <c r="A2629" s="2">
        <v>2628</v>
      </c>
      <c r="B2629" s="3" t="s">
        <v>16</v>
      </c>
      <c r="C2629" s="4" t="str">
        <f t="shared" si="227"/>
        <v>Quảng Ninh</v>
      </c>
      <c r="D2629" s="3" t="s">
        <v>221</v>
      </c>
      <c r="E2629" s="4" t="str">
        <f t="shared" ref="E2629:E2647" si="229">HYPERLINK("https://diaocthongthai.com/ban-do-thi-xa-quang-yen-quang-ninh/","Thị xã Quảng Yên")</f>
        <v>Thị xã Quảng Yên</v>
      </c>
      <c r="F2629" s="3" t="s">
        <v>3393</v>
      </c>
      <c r="G2629" s="4" t="str">
        <f>HYPERLINK("https://diaocthongthai.com/phuong-quang-yen-quang-yen/","Phường Quảng Yên")</f>
        <v>Phường Quảng Yên</v>
      </c>
    </row>
    <row r="2630" spans="1:7" x14ac:dyDescent="0.25">
      <c r="A2630" s="2">
        <v>2629</v>
      </c>
      <c r="B2630" s="3" t="s">
        <v>16</v>
      </c>
      <c r="C2630" s="4" t="str">
        <f t="shared" si="227"/>
        <v>Quảng Ninh</v>
      </c>
      <c r="D2630" s="3" t="s">
        <v>221</v>
      </c>
      <c r="E2630" s="4" t="str">
        <f t="shared" si="229"/>
        <v>Thị xã Quảng Yên</v>
      </c>
      <c r="F2630" s="3" t="s">
        <v>3394</v>
      </c>
      <c r="G2630" s="4" t="str">
        <f>HYPERLINK("https://diaocthongthai.com/phuong-dong-mai-quang-yen/","Phường Đông Mai")</f>
        <v>Phường Đông Mai</v>
      </c>
    </row>
    <row r="2631" spans="1:7" x14ac:dyDescent="0.25">
      <c r="A2631" s="2">
        <v>2630</v>
      </c>
      <c r="B2631" s="3" t="s">
        <v>16</v>
      </c>
      <c r="C2631" s="4" t="str">
        <f t="shared" si="227"/>
        <v>Quảng Ninh</v>
      </c>
      <c r="D2631" s="3" t="s">
        <v>221</v>
      </c>
      <c r="E2631" s="4" t="str">
        <f t="shared" si="229"/>
        <v>Thị xã Quảng Yên</v>
      </c>
      <c r="F2631" s="3" t="s">
        <v>3395</v>
      </c>
      <c r="G2631" s="4" t="str">
        <f>HYPERLINK("https://diaocthongthai.com/phuong-minh-thanh-quang-yen/","Phường Minh Thành")</f>
        <v>Phường Minh Thành</v>
      </c>
    </row>
    <row r="2632" spans="1:7" x14ac:dyDescent="0.25">
      <c r="A2632" s="2">
        <v>2631</v>
      </c>
      <c r="B2632" s="3" t="s">
        <v>16</v>
      </c>
      <c r="C2632" s="4" t="str">
        <f t="shared" si="227"/>
        <v>Quảng Ninh</v>
      </c>
      <c r="D2632" s="3" t="s">
        <v>221</v>
      </c>
      <c r="E2632" s="4" t="str">
        <f t="shared" si="229"/>
        <v>Thị xã Quảng Yên</v>
      </c>
      <c r="F2632" s="3" t="s">
        <v>3396</v>
      </c>
      <c r="G2632" s="4" t="str">
        <f>HYPERLINK("https://diaocthongthai.com/xa-song-khoai-quang-yen/","Xã Sông Khoai")</f>
        <v>Xã Sông Khoai</v>
      </c>
    </row>
    <row r="2633" spans="1:7" x14ac:dyDescent="0.25">
      <c r="A2633" s="2">
        <v>2632</v>
      </c>
      <c r="B2633" s="3" t="s">
        <v>16</v>
      </c>
      <c r="C2633" s="4" t="str">
        <f t="shared" si="227"/>
        <v>Quảng Ninh</v>
      </c>
      <c r="D2633" s="3" t="s">
        <v>221</v>
      </c>
      <c r="E2633" s="4" t="str">
        <f t="shared" si="229"/>
        <v>Thị xã Quảng Yên</v>
      </c>
      <c r="F2633" s="3" t="s">
        <v>3397</v>
      </c>
      <c r="G2633" s="4" t="str">
        <f>HYPERLINK("https://diaocthongthai.com/xa-hiep-hoa-quang-yen/","Xã Hiệp Hòa")</f>
        <v>Xã Hiệp Hòa</v>
      </c>
    </row>
    <row r="2634" spans="1:7" x14ac:dyDescent="0.25">
      <c r="A2634" s="2">
        <v>2633</v>
      </c>
      <c r="B2634" s="3" t="s">
        <v>16</v>
      </c>
      <c r="C2634" s="4" t="str">
        <f t="shared" ref="C2634:C2650" si="230">HYPERLINK("https://diaocthongthai.com/ban-do-quang-ninh/","Quảng Ninh")</f>
        <v>Quảng Ninh</v>
      </c>
      <c r="D2634" s="3" t="s">
        <v>221</v>
      </c>
      <c r="E2634" s="4" t="str">
        <f t="shared" si="229"/>
        <v>Thị xã Quảng Yên</v>
      </c>
      <c r="F2634" s="3" t="s">
        <v>3398</v>
      </c>
      <c r="G2634" s="4" t="str">
        <f>HYPERLINK("https://diaocthongthai.com/phuong-cong-hoa-quang-yen/","Phường Cộng Hòa")</f>
        <v>Phường Cộng Hòa</v>
      </c>
    </row>
    <row r="2635" spans="1:7" x14ac:dyDescent="0.25">
      <c r="A2635" s="2">
        <v>2634</v>
      </c>
      <c r="B2635" s="3" t="s">
        <v>16</v>
      </c>
      <c r="C2635" s="4" t="str">
        <f t="shared" si="230"/>
        <v>Quảng Ninh</v>
      </c>
      <c r="D2635" s="3" t="s">
        <v>221</v>
      </c>
      <c r="E2635" s="4" t="str">
        <f t="shared" si="229"/>
        <v>Thị xã Quảng Yên</v>
      </c>
      <c r="F2635" s="3" t="s">
        <v>3399</v>
      </c>
      <c r="G2635" s="4" t="str">
        <f>HYPERLINK("https://diaocthongthai.com/xa-tien-an-quang-yen/","Xã Tiền An")</f>
        <v>Xã Tiền An</v>
      </c>
    </row>
    <row r="2636" spans="1:7" x14ac:dyDescent="0.25">
      <c r="A2636" s="2">
        <v>2635</v>
      </c>
      <c r="B2636" s="3" t="s">
        <v>16</v>
      </c>
      <c r="C2636" s="4" t="str">
        <f t="shared" si="230"/>
        <v>Quảng Ninh</v>
      </c>
      <c r="D2636" s="3" t="s">
        <v>221</v>
      </c>
      <c r="E2636" s="4" t="str">
        <f t="shared" si="229"/>
        <v>Thị xã Quảng Yên</v>
      </c>
      <c r="F2636" s="3" t="s">
        <v>3400</v>
      </c>
      <c r="G2636" s="4" t="str">
        <f>HYPERLINK("https://diaocthongthai.com/xa-hoang-tan-quang-yen/","Xã Hoàng Tân")</f>
        <v>Xã Hoàng Tân</v>
      </c>
    </row>
    <row r="2637" spans="1:7" x14ac:dyDescent="0.25">
      <c r="A2637" s="2">
        <v>2636</v>
      </c>
      <c r="B2637" s="3" t="s">
        <v>16</v>
      </c>
      <c r="C2637" s="4" t="str">
        <f t="shared" si="230"/>
        <v>Quảng Ninh</v>
      </c>
      <c r="D2637" s="3" t="s">
        <v>221</v>
      </c>
      <c r="E2637" s="4" t="str">
        <f t="shared" si="229"/>
        <v>Thị xã Quảng Yên</v>
      </c>
      <c r="F2637" s="3" t="s">
        <v>3401</v>
      </c>
      <c r="G2637" s="4" t="str">
        <f>HYPERLINK("https://diaocthongthai.com/phuong-tan-an-quang-yen/","Phường Tân An")</f>
        <v>Phường Tân An</v>
      </c>
    </row>
    <row r="2638" spans="1:7" x14ac:dyDescent="0.25">
      <c r="A2638" s="2">
        <v>2637</v>
      </c>
      <c r="B2638" s="3" t="s">
        <v>16</v>
      </c>
      <c r="C2638" s="4" t="str">
        <f t="shared" si="230"/>
        <v>Quảng Ninh</v>
      </c>
      <c r="D2638" s="3" t="s">
        <v>221</v>
      </c>
      <c r="E2638" s="4" t="str">
        <f t="shared" si="229"/>
        <v>Thị xã Quảng Yên</v>
      </c>
      <c r="F2638" s="3" t="s">
        <v>3402</v>
      </c>
      <c r="G2638" s="4" t="str">
        <f>HYPERLINK("https://diaocthongthai.com/phuong-yen-giang-quang-yen/","Phường Yên Giang")</f>
        <v>Phường Yên Giang</v>
      </c>
    </row>
    <row r="2639" spans="1:7" x14ac:dyDescent="0.25">
      <c r="A2639" s="2">
        <v>2638</v>
      </c>
      <c r="B2639" s="3" t="s">
        <v>16</v>
      </c>
      <c r="C2639" s="4" t="str">
        <f t="shared" si="230"/>
        <v>Quảng Ninh</v>
      </c>
      <c r="D2639" s="3" t="s">
        <v>221</v>
      </c>
      <c r="E2639" s="4" t="str">
        <f t="shared" si="229"/>
        <v>Thị xã Quảng Yên</v>
      </c>
      <c r="F2639" s="3" t="s">
        <v>3403</v>
      </c>
      <c r="G2639" s="4" t="str">
        <f>HYPERLINK("https://diaocthongthai.com/phuong-nam-hoa-quang-yen/","Phường Nam Hoà")</f>
        <v>Phường Nam Hoà</v>
      </c>
    </row>
    <row r="2640" spans="1:7" x14ac:dyDescent="0.25">
      <c r="A2640" s="2">
        <v>2639</v>
      </c>
      <c r="B2640" s="3" t="s">
        <v>16</v>
      </c>
      <c r="C2640" s="4" t="str">
        <f t="shared" si="230"/>
        <v>Quảng Ninh</v>
      </c>
      <c r="D2640" s="3" t="s">
        <v>221</v>
      </c>
      <c r="E2640" s="4" t="str">
        <f t="shared" si="229"/>
        <v>Thị xã Quảng Yên</v>
      </c>
      <c r="F2640" s="3" t="s">
        <v>3404</v>
      </c>
      <c r="G2640" s="4" t="str">
        <f>HYPERLINK("https://diaocthongthai.com/phuong-ha-an-quang-yen/","Phường Hà An")</f>
        <v>Phường Hà An</v>
      </c>
    </row>
    <row r="2641" spans="1:7" x14ac:dyDescent="0.25">
      <c r="A2641" s="2">
        <v>2640</v>
      </c>
      <c r="B2641" s="3" t="s">
        <v>16</v>
      </c>
      <c r="C2641" s="4" t="str">
        <f t="shared" si="230"/>
        <v>Quảng Ninh</v>
      </c>
      <c r="D2641" s="3" t="s">
        <v>221</v>
      </c>
      <c r="E2641" s="4" t="str">
        <f t="shared" si="229"/>
        <v>Thị xã Quảng Yên</v>
      </c>
      <c r="F2641" s="3" t="s">
        <v>3405</v>
      </c>
      <c r="G2641" s="4" t="str">
        <f>HYPERLINK("https://diaocthongthai.com/xa-cam-la-quang-yen/","Xã Cẩm La")</f>
        <v>Xã Cẩm La</v>
      </c>
    </row>
    <row r="2642" spans="1:7" x14ac:dyDescent="0.25">
      <c r="A2642" s="2">
        <v>2641</v>
      </c>
      <c r="B2642" s="3" t="s">
        <v>16</v>
      </c>
      <c r="C2642" s="4" t="str">
        <f t="shared" si="230"/>
        <v>Quảng Ninh</v>
      </c>
      <c r="D2642" s="3" t="s">
        <v>221</v>
      </c>
      <c r="E2642" s="4" t="str">
        <f t="shared" si="229"/>
        <v>Thị xã Quảng Yên</v>
      </c>
      <c r="F2642" s="3" t="s">
        <v>3406</v>
      </c>
      <c r="G2642" s="4" t="str">
        <f>HYPERLINK("https://diaocthongthai.com/phuong-phong-hai-quang-yen/","Phường Phong Hải")</f>
        <v>Phường Phong Hải</v>
      </c>
    </row>
    <row r="2643" spans="1:7" x14ac:dyDescent="0.25">
      <c r="A2643" s="2">
        <v>2642</v>
      </c>
      <c r="B2643" s="3" t="s">
        <v>16</v>
      </c>
      <c r="C2643" s="4" t="str">
        <f t="shared" si="230"/>
        <v>Quảng Ninh</v>
      </c>
      <c r="D2643" s="3" t="s">
        <v>221</v>
      </c>
      <c r="E2643" s="4" t="str">
        <f t="shared" si="229"/>
        <v>Thị xã Quảng Yên</v>
      </c>
      <c r="F2643" s="3" t="s">
        <v>3407</v>
      </c>
      <c r="G2643" s="4" t="str">
        <f>HYPERLINK("https://diaocthongthai.com/phuong-yen-hai-quang-yen/","Phường Yên Hải")</f>
        <v>Phường Yên Hải</v>
      </c>
    </row>
    <row r="2644" spans="1:7" x14ac:dyDescent="0.25">
      <c r="A2644" s="2">
        <v>2643</v>
      </c>
      <c r="B2644" s="3" t="s">
        <v>16</v>
      </c>
      <c r="C2644" s="4" t="str">
        <f t="shared" si="230"/>
        <v>Quảng Ninh</v>
      </c>
      <c r="D2644" s="3" t="s">
        <v>221</v>
      </c>
      <c r="E2644" s="4" t="str">
        <f t="shared" si="229"/>
        <v>Thị xã Quảng Yên</v>
      </c>
      <c r="F2644" s="3" t="s">
        <v>3408</v>
      </c>
      <c r="G2644" s="4" t="str">
        <f>HYPERLINK("https://diaocthongthai.com/xa-lien-hoa-quang-yen/","Xã Liên Hòa")</f>
        <v>Xã Liên Hòa</v>
      </c>
    </row>
    <row r="2645" spans="1:7" x14ac:dyDescent="0.25">
      <c r="A2645" s="2">
        <v>2644</v>
      </c>
      <c r="B2645" s="3" t="s">
        <v>16</v>
      </c>
      <c r="C2645" s="4" t="str">
        <f t="shared" si="230"/>
        <v>Quảng Ninh</v>
      </c>
      <c r="D2645" s="3" t="s">
        <v>221</v>
      </c>
      <c r="E2645" s="4" t="str">
        <f t="shared" si="229"/>
        <v>Thị xã Quảng Yên</v>
      </c>
      <c r="F2645" s="3" t="s">
        <v>3409</v>
      </c>
      <c r="G2645" s="4" t="str">
        <f>HYPERLINK("https://diaocthongthai.com/phuong-phong-coc-quang-yen/","Phường Phong Cốc")</f>
        <v>Phường Phong Cốc</v>
      </c>
    </row>
    <row r="2646" spans="1:7" x14ac:dyDescent="0.25">
      <c r="A2646" s="2">
        <v>2645</v>
      </c>
      <c r="B2646" s="3" t="s">
        <v>16</v>
      </c>
      <c r="C2646" s="4" t="str">
        <f t="shared" si="230"/>
        <v>Quảng Ninh</v>
      </c>
      <c r="D2646" s="3" t="s">
        <v>221</v>
      </c>
      <c r="E2646" s="4" t="str">
        <f t="shared" si="229"/>
        <v>Thị xã Quảng Yên</v>
      </c>
      <c r="F2646" s="3" t="s">
        <v>3410</v>
      </c>
      <c r="G2646" s="4" t="str">
        <f>HYPERLINK("https://diaocthongthai.com/xa-lien-vi-quang-yen/","Xã Liên Vị")</f>
        <v>Xã Liên Vị</v>
      </c>
    </row>
    <row r="2647" spans="1:7" x14ac:dyDescent="0.25">
      <c r="A2647" s="2">
        <v>2646</v>
      </c>
      <c r="B2647" s="3" t="s">
        <v>16</v>
      </c>
      <c r="C2647" s="4" t="str">
        <f t="shared" si="230"/>
        <v>Quảng Ninh</v>
      </c>
      <c r="D2647" s="3" t="s">
        <v>221</v>
      </c>
      <c r="E2647" s="4" t="str">
        <f t="shared" si="229"/>
        <v>Thị xã Quảng Yên</v>
      </c>
      <c r="F2647" s="3" t="s">
        <v>3411</v>
      </c>
      <c r="G2647" s="4" t="str">
        <f>HYPERLINK("https://diaocthongthai.com/xa-tien-phong-quang-yen/","Xã Tiền Phong")</f>
        <v>Xã Tiền Phong</v>
      </c>
    </row>
    <row r="2648" spans="1:7" x14ac:dyDescent="0.25">
      <c r="A2648" s="2">
        <v>2647</v>
      </c>
      <c r="B2648" s="3" t="s">
        <v>16</v>
      </c>
      <c r="C2648" s="4" t="str">
        <f t="shared" si="230"/>
        <v>Quảng Ninh</v>
      </c>
      <c r="D2648" s="3" t="s">
        <v>222</v>
      </c>
      <c r="E2648" s="4" t="str">
        <f>HYPERLINK("https://diaocthongthai.com/ban-do-huyen-co-to-quang-ninh/","Huyện Cô Tô")</f>
        <v>Huyện Cô Tô</v>
      </c>
      <c r="F2648" s="3" t="s">
        <v>3412</v>
      </c>
      <c r="G2648" s="4" t="str">
        <f>HYPERLINK("https://diaocthongthai.com/thi-tran-co-to-co-to/","Thị trấn Cô Tô")</f>
        <v>Thị trấn Cô Tô</v>
      </c>
    </row>
    <row r="2649" spans="1:7" x14ac:dyDescent="0.25">
      <c r="A2649" s="2">
        <v>2648</v>
      </c>
      <c r="B2649" s="3" t="s">
        <v>16</v>
      </c>
      <c r="C2649" s="4" t="str">
        <f t="shared" si="230"/>
        <v>Quảng Ninh</v>
      </c>
      <c r="D2649" s="3" t="s">
        <v>222</v>
      </c>
      <c r="E2649" s="4" t="str">
        <f>HYPERLINK("https://diaocthongthai.com/ban-do-huyen-co-to-quang-ninh/","Huyện Cô Tô")</f>
        <v>Huyện Cô Tô</v>
      </c>
      <c r="F2649" s="3" t="s">
        <v>3413</v>
      </c>
      <c r="G2649" s="4" t="str">
        <f>HYPERLINK("https://diaocthongthai.com/xa-dong-tien-co-to/","Xã Đồng Tiến")</f>
        <v>Xã Đồng Tiến</v>
      </c>
    </row>
    <row r="2650" spans="1:7" x14ac:dyDescent="0.25">
      <c r="A2650" s="2">
        <v>2649</v>
      </c>
      <c r="B2650" s="3" t="s">
        <v>16</v>
      </c>
      <c r="C2650" s="4" t="str">
        <f t="shared" si="230"/>
        <v>Quảng Ninh</v>
      </c>
      <c r="D2650" s="3" t="s">
        <v>222</v>
      </c>
      <c r="E2650" s="4" t="str">
        <f>HYPERLINK("https://diaocthongthai.com/ban-do-huyen-co-to-quang-ninh/","Huyện Cô Tô")</f>
        <v>Huyện Cô Tô</v>
      </c>
      <c r="F2650" s="3" t="s">
        <v>3414</v>
      </c>
      <c r="G2650" s="4" t="str">
        <f>HYPERLINK("https://diaocthongthai.com/xa-thanh-lan-co-to/","Xã Thanh Lân")</f>
        <v>Xã Thanh Lân</v>
      </c>
    </row>
    <row r="2651" spans="1:7" x14ac:dyDescent="0.25">
      <c r="A2651" s="2">
        <v>2650</v>
      </c>
      <c r="B2651" s="3" t="s">
        <v>17</v>
      </c>
      <c r="C2651" s="4" t="str">
        <f t="shared" ref="C2651:C2714" si="231">HYPERLINK("https://diaocthongthai.com/ban-do-bac-giang/","Bắc Giang")</f>
        <v>Bắc Giang</v>
      </c>
      <c r="D2651" s="3" t="s">
        <v>223</v>
      </c>
      <c r="E2651" s="4" t="str">
        <f t="shared" ref="E2651:E2666" si="232">HYPERLINK("https://diaocthongthai.com/ban-do-tp-bac-giang-bac-giang/","Thành phố Bắc Giang")</f>
        <v>Thành phố Bắc Giang</v>
      </c>
      <c r="F2651" s="3" t="s">
        <v>3415</v>
      </c>
      <c r="G2651" s="4" t="str">
        <f>HYPERLINK("https://diaocthongthai.com/phuong-tho-xuong-tp-bac-giang/","Phường Thọ Xương")</f>
        <v>Phường Thọ Xương</v>
      </c>
    </row>
    <row r="2652" spans="1:7" x14ac:dyDescent="0.25">
      <c r="A2652" s="2">
        <v>2651</v>
      </c>
      <c r="B2652" s="3" t="s">
        <v>17</v>
      </c>
      <c r="C2652" s="4" t="str">
        <f t="shared" si="231"/>
        <v>Bắc Giang</v>
      </c>
      <c r="D2652" s="3" t="s">
        <v>223</v>
      </c>
      <c r="E2652" s="4" t="str">
        <f t="shared" si="232"/>
        <v>Thành phố Bắc Giang</v>
      </c>
      <c r="F2652" s="3" t="s">
        <v>3416</v>
      </c>
      <c r="G2652" s="4" t="str">
        <f>HYPERLINK("https://diaocthongthai.com/phuong-tran-nguyen-han-tp-bac-giang/","Phường Trần Nguyên Hãn")</f>
        <v>Phường Trần Nguyên Hãn</v>
      </c>
    </row>
    <row r="2653" spans="1:7" x14ac:dyDescent="0.25">
      <c r="A2653" s="2">
        <v>2652</v>
      </c>
      <c r="B2653" s="3" t="s">
        <v>17</v>
      </c>
      <c r="C2653" s="4" t="str">
        <f t="shared" si="231"/>
        <v>Bắc Giang</v>
      </c>
      <c r="D2653" s="3" t="s">
        <v>223</v>
      </c>
      <c r="E2653" s="4" t="str">
        <f t="shared" si="232"/>
        <v>Thành phố Bắc Giang</v>
      </c>
      <c r="F2653" s="3" t="s">
        <v>3417</v>
      </c>
      <c r="G2653" s="4" t="str">
        <f>HYPERLINK("https://diaocthongthai.com/phuong-ngo-quyen-tp-bac-giang/","Phường Ngô Quyền")</f>
        <v>Phường Ngô Quyền</v>
      </c>
    </row>
    <row r="2654" spans="1:7" x14ac:dyDescent="0.25">
      <c r="A2654" s="2">
        <v>2653</v>
      </c>
      <c r="B2654" s="3" t="s">
        <v>17</v>
      </c>
      <c r="C2654" s="4" t="str">
        <f t="shared" si="231"/>
        <v>Bắc Giang</v>
      </c>
      <c r="D2654" s="3" t="s">
        <v>223</v>
      </c>
      <c r="E2654" s="4" t="str">
        <f t="shared" si="232"/>
        <v>Thành phố Bắc Giang</v>
      </c>
      <c r="F2654" s="3" t="s">
        <v>3418</v>
      </c>
      <c r="G2654" s="4" t="str">
        <f>HYPERLINK("https://diaocthongthai.com/phuong-hoang-van-thu-tp-bac-giang/","Phường Hoàng Văn Thụ")</f>
        <v>Phường Hoàng Văn Thụ</v>
      </c>
    </row>
    <row r="2655" spans="1:7" x14ac:dyDescent="0.25">
      <c r="A2655" s="2">
        <v>2654</v>
      </c>
      <c r="B2655" s="3" t="s">
        <v>17</v>
      </c>
      <c r="C2655" s="4" t="str">
        <f t="shared" si="231"/>
        <v>Bắc Giang</v>
      </c>
      <c r="D2655" s="3" t="s">
        <v>223</v>
      </c>
      <c r="E2655" s="4" t="str">
        <f t="shared" si="232"/>
        <v>Thành phố Bắc Giang</v>
      </c>
      <c r="F2655" s="3" t="s">
        <v>3419</v>
      </c>
      <c r="G2655" s="4" t="str">
        <f>HYPERLINK("https://diaocthongthai.com/phuong-tran-phu-tp-bac-giang/","Phường Trần Phú")</f>
        <v>Phường Trần Phú</v>
      </c>
    </row>
    <row r="2656" spans="1:7" x14ac:dyDescent="0.25">
      <c r="A2656" s="2">
        <v>2655</v>
      </c>
      <c r="B2656" s="3" t="s">
        <v>17</v>
      </c>
      <c r="C2656" s="4" t="str">
        <f t="shared" si="231"/>
        <v>Bắc Giang</v>
      </c>
      <c r="D2656" s="3" t="s">
        <v>223</v>
      </c>
      <c r="E2656" s="4" t="str">
        <f t="shared" si="232"/>
        <v>Thành phố Bắc Giang</v>
      </c>
      <c r="F2656" s="3" t="s">
        <v>3420</v>
      </c>
      <c r="G2656" s="4" t="str">
        <f>HYPERLINK("https://diaocthongthai.com/phuong-my-do-tp-bac-giang/","Phường Mỹ Độ")</f>
        <v>Phường Mỹ Độ</v>
      </c>
    </row>
    <row r="2657" spans="1:7" x14ac:dyDescent="0.25">
      <c r="A2657" s="2">
        <v>2656</v>
      </c>
      <c r="B2657" s="3" t="s">
        <v>17</v>
      </c>
      <c r="C2657" s="4" t="str">
        <f t="shared" si="231"/>
        <v>Bắc Giang</v>
      </c>
      <c r="D2657" s="3" t="s">
        <v>223</v>
      </c>
      <c r="E2657" s="4" t="str">
        <f t="shared" si="232"/>
        <v>Thành phố Bắc Giang</v>
      </c>
      <c r="F2657" s="3" t="s">
        <v>3421</v>
      </c>
      <c r="G2657" s="4" t="str">
        <f>HYPERLINK("https://diaocthongthai.com/phuong-le-loi-tp-bac-giang/","Phường Lê Lợi")</f>
        <v>Phường Lê Lợi</v>
      </c>
    </row>
    <row r="2658" spans="1:7" x14ac:dyDescent="0.25">
      <c r="A2658" s="2">
        <v>2657</v>
      </c>
      <c r="B2658" s="3" t="s">
        <v>17</v>
      </c>
      <c r="C2658" s="4" t="str">
        <f t="shared" si="231"/>
        <v>Bắc Giang</v>
      </c>
      <c r="D2658" s="3" t="s">
        <v>223</v>
      </c>
      <c r="E2658" s="4" t="str">
        <f t="shared" si="232"/>
        <v>Thành phố Bắc Giang</v>
      </c>
      <c r="F2658" s="3" t="s">
        <v>3422</v>
      </c>
      <c r="G2658" s="4" t="str">
        <f>HYPERLINK("https://diaocthongthai.com/xa-song-mai-tp-bac-giang/","Xã Song Mai")</f>
        <v>Xã Song Mai</v>
      </c>
    </row>
    <row r="2659" spans="1:7" x14ac:dyDescent="0.25">
      <c r="A2659" s="2">
        <v>2658</v>
      </c>
      <c r="B2659" s="3" t="s">
        <v>17</v>
      </c>
      <c r="C2659" s="4" t="str">
        <f t="shared" si="231"/>
        <v>Bắc Giang</v>
      </c>
      <c r="D2659" s="3" t="s">
        <v>223</v>
      </c>
      <c r="E2659" s="4" t="str">
        <f t="shared" si="232"/>
        <v>Thành phố Bắc Giang</v>
      </c>
      <c r="F2659" s="3" t="s">
        <v>3423</v>
      </c>
      <c r="G2659" s="4" t="str">
        <f>HYPERLINK("https://diaocthongthai.com/phuong-xuong-giang-tp-bac-giang/","Phường Xương Giang")</f>
        <v>Phường Xương Giang</v>
      </c>
    </row>
    <row r="2660" spans="1:7" x14ac:dyDescent="0.25">
      <c r="A2660" s="2">
        <v>2659</v>
      </c>
      <c r="B2660" s="3" t="s">
        <v>17</v>
      </c>
      <c r="C2660" s="4" t="str">
        <f t="shared" si="231"/>
        <v>Bắc Giang</v>
      </c>
      <c r="D2660" s="3" t="s">
        <v>223</v>
      </c>
      <c r="E2660" s="4" t="str">
        <f t="shared" si="232"/>
        <v>Thành phố Bắc Giang</v>
      </c>
      <c r="F2660" s="3" t="s">
        <v>3424</v>
      </c>
      <c r="G2660" s="4" t="str">
        <f>HYPERLINK("https://diaocthongthai.com/phuong-da-mai-tp-bac-giang/","Phường Đa Mai")</f>
        <v>Phường Đa Mai</v>
      </c>
    </row>
    <row r="2661" spans="1:7" x14ac:dyDescent="0.25">
      <c r="A2661" s="2">
        <v>2660</v>
      </c>
      <c r="B2661" s="3" t="s">
        <v>17</v>
      </c>
      <c r="C2661" s="4" t="str">
        <f t="shared" si="231"/>
        <v>Bắc Giang</v>
      </c>
      <c r="D2661" s="3" t="s">
        <v>223</v>
      </c>
      <c r="E2661" s="4" t="str">
        <f t="shared" si="232"/>
        <v>Thành phố Bắc Giang</v>
      </c>
      <c r="F2661" s="3" t="s">
        <v>3425</v>
      </c>
      <c r="G2661" s="4" t="str">
        <f>HYPERLINK("https://diaocthongthai.com/phuong-dinh-ke-tp-bac-giang/","Phường Dĩnh Kế")</f>
        <v>Phường Dĩnh Kế</v>
      </c>
    </row>
    <row r="2662" spans="1:7" x14ac:dyDescent="0.25">
      <c r="A2662" s="2">
        <v>2661</v>
      </c>
      <c r="B2662" s="3" t="s">
        <v>17</v>
      </c>
      <c r="C2662" s="4" t="str">
        <f t="shared" si="231"/>
        <v>Bắc Giang</v>
      </c>
      <c r="D2662" s="3" t="s">
        <v>223</v>
      </c>
      <c r="E2662" s="4" t="str">
        <f t="shared" si="232"/>
        <v>Thành phố Bắc Giang</v>
      </c>
      <c r="F2662" s="3" t="s">
        <v>3426</v>
      </c>
      <c r="G2662" s="4" t="str">
        <f>HYPERLINK("https://diaocthongthai.com/xa-dinh-tri-tp-bac-giang/","Xã Dĩnh Trì")</f>
        <v>Xã Dĩnh Trì</v>
      </c>
    </row>
    <row r="2663" spans="1:7" x14ac:dyDescent="0.25">
      <c r="A2663" s="2">
        <v>2662</v>
      </c>
      <c r="B2663" s="3" t="s">
        <v>17</v>
      </c>
      <c r="C2663" s="4" t="str">
        <f t="shared" si="231"/>
        <v>Bắc Giang</v>
      </c>
      <c r="D2663" s="3" t="s">
        <v>223</v>
      </c>
      <c r="E2663" s="4" t="str">
        <f t="shared" si="232"/>
        <v>Thành phố Bắc Giang</v>
      </c>
      <c r="F2663" s="3" t="s">
        <v>3427</v>
      </c>
      <c r="G2663" s="4" t="str">
        <f>HYPERLINK("https://diaocthongthai.com/xa-tan-my-tp-bac-giang/","Xã Tân Mỹ")</f>
        <v>Xã Tân Mỹ</v>
      </c>
    </row>
    <row r="2664" spans="1:7" x14ac:dyDescent="0.25">
      <c r="A2664" s="2">
        <v>2663</v>
      </c>
      <c r="B2664" s="3" t="s">
        <v>17</v>
      </c>
      <c r="C2664" s="4" t="str">
        <f t="shared" si="231"/>
        <v>Bắc Giang</v>
      </c>
      <c r="D2664" s="3" t="s">
        <v>223</v>
      </c>
      <c r="E2664" s="4" t="str">
        <f t="shared" si="232"/>
        <v>Thành phố Bắc Giang</v>
      </c>
      <c r="F2664" s="3" t="s">
        <v>3428</v>
      </c>
      <c r="G2664" s="4" t="str">
        <f>HYPERLINK("https://diaocthongthai.com/xa-dong-son-tp-bac-giang/","Xã Đồng Sơn")</f>
        <v>Xã Đồng Sơn</v>
      </c>
    </row>
    <row r="2665" spans="1:7" x14ac:dyDescent="0.25">
      <c r="A2665" s="2">
        <v>2664</v>
      </c>
      <c r="B2665" s="3" t="s">
        <v>17</v>
      </c>
      <c r="C2665" s="4" t="str">
        <f t="shared" si="231"/>
        <v>Bắc Giang</v>
      </c>
      <c r="D2665" s="3" t="s">
        <v>223</v>
      </c>
      <c r="E2665" s="4" t="str">
        <f t="shared" si="232"/>
        <v>Thành phố Bắc Giang</v>
      </c>
      <c r="F2665" s="3" t="s">
        <v>3429</v>
      </c>
      <c r="G2665" s="4" t="str">
        <f>HYPERLINK("https://diaocthongthai.com/xa-tan-tien-tp-bac-giang/","Xã Tân Tiến")</f>
        <v>Xã Tân Tiến</v>
      </c>
    </row>
    <row r="2666" spans="1:7" x14ac:dyDescent="0.25">
      <c r="A2666" s="2">
        <v>2665</v>
      </c>
      <c r="B2666" s="3" t="s">
        <v>17</v>
      </c>
      <c r="C2666" s="4" t="str">
        <f t="shared" si="231"/>
        <v>Bắc Giang</v>
      </c>
      <c r="D2666" s="3" t="s">
        <v>223</v>
      </c>
      <c r="E2666" s="4" t="str">
        <f t="shared" si="232"/>
        <v>Thành phố Bắc Giang</v>
      </c>
      <c r="F2666" s="3" t="s">
        <v>3430</v>
      </c>
      <c r="G2666" s="4" t="str">
        <f>HYPERLINK("https://diaocthongthai.com/xa-song-khe-tp-bac-giang/","Xã Song Khê")</f>
        <v>Xã Song Khê</v>
      </c>
    </row>
    <row r="2667" spans="1:7" x14ac:dyDescent="0.25">
      <c r="A2667" s="2">
        <v>2666</v>
      </c>
      <c r="B2667" s="3" t="s">
        <v>17</v>
      </c>
      <c r="C2667" s="4" t="str">
        <f t="shared" si="231"/>
        <v>Bắc Giang</v>
      </c>
      <c r="D2667" s="3" t="s">
        <v>224</v>
      </c>
      <c r="E2667" s="4" t="str">
        <f t="shared" ref="E2667:E2685" si="233">HYPERLINK("https://diaocthongthai.com/ban-do-huyen-yen-the-bac-giang/","Huyện Yên Thế")</f>
        <v>Huyện Yên Thế</v>
      </c>
      <c r="F2667" s="3" t="s">
        <v>3431</v>
      </c>
      <c r="G2667" s="4" t="str">
        <f>HYPERLINK("https://diaocthongthai.com/xa-dong-tien-yen-the/","Xã Đồng Tiến")</f>
        <v>Xã Đồng Tiến</v>
      </c>
    </row>
    <row r="2668" spans="1:7" x14ac:dyDescent="0.25">
      <c r="A2668" s="2">
        <v>2667</v>
      </c>
      <c r="B2668" s="3" t="s">
        <v>17</v>
      </c>
      <c r="C2668" s="4" t="str">
        <f t="shared" si="231"/>
        <v>Bắc Giang</v>
      </c>
      <c r="D2668" s="3" t="s">
        <v>224</v>
      </c>
      <c r="E2668" s="4" t="str">
        <f t="shared" si="233"/>
        <v>Huyện Yên Thế</v>
      </c>
      <c r="F2668" s="3" t="s">
        <v>3432</v>
      </c>
      <c r="G2668" s="4" t="str">
        <f>HYPERLINK("https://diaocthongthai.com/xa-canh-nau-yen-the/","Xã Canh Nậu")</f>
        <v>Xã Canh Nậu</v>
      </c>
    </row>
    <row r="2669" spans="1:7" x14ac:dyDescent="0.25">
      <c r="A2669" s="2">
        <v>2668</v>
      </c>
      <c r="B2669" s="3" t="s">
        <v>17</v>
      </c>
      <c r="C2669" s="4" t="str">
        <f t="shared" si="231"/>
        <v>Bắc Giang</v>
      </c>
      <c r="D2669" s="3" t="s">
        <v>224</v>
      </c>
      <c r="E2669" s="4" t="str">
        <f t="shared" si="233"/>
        <v>Huyện Yên Thế</v>
      </c>
      <c r="F2669" s="3" t="s">
        <v>3433</v>
      </c>
      <c r="G2669" s="4" t="str">
        <f>HYPERLINK("https://diaocthongthai.com/xa-xuan-luong-yen-the/","Xã Xuân Lương")</f>
        <v>Xã Xuân Lương</v>
      </c>
    </row>
    <row r="2670" spans="1:7" x14ac:dyDescent="0.25">
      <c r="A2670" s="2">
        <v>2669</v>
      </c>
      <c r="B2670" s="3" t="s">
        <v>17</v>
      </c>
      <c r="C2670" s="4" t="str">
        <f t="shared" si="231"/>
        <v>Bắc Giang</v>
      </c>
      <c r="D2670" s="3" t="s">
        <v>224</v>
      </c>
      <c r="E2670" s="4" t="str">
        <f t="shared" si="233"/>
        <v>Huyện Yên Thế</v>
      </c>
      <c r="F2670" s="3" t="s">
        <v>3434</v>
      </c>
      <c r="G2670" s="4" t="str">
        <f>HYPERLINK("https://diaocthongthai.com/xa-tam-tien-yen-the/","Xã Tam Tiến")</f>
        <v>Xã Tam Tiến</v>
      </c>
    </row>
    <row r="2671" spans="1:7" x14ac:dyDescent="0.25">
      <c r="A2671" s="2">
        <v>2670</v>
      </c>
      <c r="B2671" s="3" t="s">
        <v>17</v>
      </c>
      <c r="C2671" s="4" t="str">
        <f t="shared" si="231"/>
        <v>Bắc Giang</v>
      </c>
      <c r="D2671" s="3" t="s">
        <v>224</v>
      </c>
      <c r="E2671" s="4" t="str">
        <f t="shared" si="233"/>
        <v>Huyện Yên Thế</v>
      </c>
      <c r="F2671" s="3" t="s">
        <v>3435</v>
      </c>
      <c r="G2671" s="4" t="str">
        <f>HYPERLINK("https://diaocthongthai.com/xa-dong-vuong-yen-the/","Xã Đồng Vương")</f>
        <v>Xã Đồng Vương</v>
      </c>
    </row>
    <row r="2672" spans="1:7" x14ac:dyDescent="0.25">
      <c r="A2672" s="2">
        <v>2671</v>
      </c>
      <c r="B2672" s="3" t="s">
        <v>17</v>
      </c>
      <c r="C2672" s="4" t="str">
        <f t="shared" si="231"/>
        <v>Bắc Giang</v>
      </c>
      <c r="D2672" s="3" t="s">
        <v>224</v>
      </c>
      <c r="E2672" s="4" t="str">
        <f t="shared" si="233"/>
        <v>Huyện Yên Thế</v>
      </c>
      <c r="F2672" s="3" t="s">
        <v>3436</v>
      </c>
      <c r="G2672" s="4" t="str">
        <f>HYPERLINK("https://diaocthongthai.com/xa-dong-huu-yen-the/","Xã Đồng Hưu")</f>
        <v>Xã Đồng Hưu</v>
      </c>
    </row>
    <row r="2673" spans="1:7" x14ac:dyDescent="0.25">
      <c r="A2673" s="2">
        <v>2672</v>
      </c>
      <c r="B2673" s="3" t="s">
        <v>17</v>
      </c>
      <c r="C2673" s="4" t="str">
        <f t="shared" si="231"/>
        <v>Bắc Giang</v>
      </c>
      <c r="D2673" s="3" t="s">
        <v>224</v>
      </c>
      <c r="E2673" s="4" t="str">
        <f t="shared" si="233"/>
        <v>Huyện Yên Thế</v>
      </c>
      <c r="F2673" s="3" t="s">
        <v>3437</v>
      </c>
      <c r="G2673" s="4" t="str">
        <f>HYPERLINK("https://diaocthongthai.com/xa-dong-tam-yen-the/","Xã Đồng Tâm")</f>
        <v>Xã Đồng Tâm</v>
      </c>
    </row>
    <row r="2674" spans="1:7" x14ac:dyDescent="0.25">
      <c r="A2674" s="2">
        <v>2673</v>
      </c>
      <c r="B2674" s="3" t="s">
        <v>17</v>
      </c>
      <c r="C2674" s="4" t="str">
        <f t="shared" si="231"/>
        <v>Bắc Giang</v>
      </c>
      <c r="D2674" s="3" t="s">
        <v>224</v>
      </c>
      <c r="E2674" s="4" t="str">
        <f t="shared" si="233"/>
        <v>Huyện Yên Thế</v>
      </c>
      <c r="F2674" s="3" t="s">
        <v>3438</v>
      </c>
      <c r="G2674" s="4" t="str">
        <f>HYPERLINK("https://diaocthongthai.com/xa-tam-hiep-yen-the/","Xã Tam Hiệp")</f>
        <v>Xã Tam Hiệp</v>
      </c>
    </row>
    <row r="2675" spans="1:7" x14ac:dyDescent="0.25">
      <c r="A2675" s="2">
        <v>2674</v>
      </c>
      <c r="B2675" s="3" t="s">
        <v>17</v>
      </c>
      <c r="C2675" s="4" t="str">
        <f t="shared" si="231"/>
        <v>Bắc Giang</v>
      </c>
      <c r="D2675" s="3" t="s">
        <v>224</v>
      </c>
      <c r="E2675" s="4" t="str">
        <f t="shared" si="233"/>
        <v>Huyện Yên Thế</v>
      </c>
      <c r="F2675" s="3" t="s">
        <v>3439</v>
      </c>
      <c r="G2675" s="4" t="str">
        <f>HYPERLINK("https://diaocthongthai.com/xa-tien-thang-yen-the/","Xã Tiến Thắng")</f>
        <v>Xã Tiến Thắng</v>
      </c>
    </row>
    <row r="2676" spans="1:7" x14ac:dyDescent="0.25">
      <c r="A2676" s="2">
        <v>2675</v>
      </c>
      <c r="B2676" s="3" t="s">
        <v>17</v>
      </c>
      <c r="C2676" s="4" t="str">
        <f t="shared" si="231"/>
        <v>Bắc Giang</v>
      </c>
      <c r="D2676" s="3" t="s">
        <v>224</v>
      </c>
      <c r="E2676" s="4" t="str">
        <f t="shared" si="233"/>
        <v>Huyện Yên Thế</v>
      </c>
      <c r="F2676" s="3" t="s">
        <v>3440</v>
      </c>
      <c r="G2676" s="4" t="str">
        <f>HYPERLINK("https://diaocthongthai.com/xa-hong-ky-yen-the/","Xã Hồng Kỳ")</f>
        <v>Xã Hồng Kỳ</v>
      </c>
    </row>
    <row r="2677" spans="1:7" x14ac:dyDescent="0.25">
      <c r="A2677" s="2">
        <v>2676</v>
      </c>
      <c r="B2677" s="3" t="s">
        <v>17</v>
      </c>
      <c r="C2677" s="4" t="str">
        <f t="shared" si="231"/>
        <v>Bắc Giang</v>
      </c>
      <c r="D2677" s="3" t="s">
        <v>224</v>
      </c>
      <c r="E2677" s="4" t="str">
        <f t="shared" si="233"/>
        <v>Huyện Yên Thế</v>
      </c>
      <c r="F2677" s="3" t="s">
        <v>3441</v>
      </c>
      <c r="G2677" s="4" t="str">
        <f>HYPERLINK("https://diaocthongthai.com/xa-dong-lac-yen-the/","Xã Đồng Lạc")</f>
        <v>Xã Đồng Lạc</v>
      </c>
    </row>
    <row r="2678" spans="1:7" x14ac:dyDescent="0.25">
      <c r="A2678" s="2">
        <v>2677</v>
      </c>
      <c r="B2678" s="3" t="s">
        <v>17</v>
      </c>
      <c r="C2678" s="4" t="str">
        <f t="shared" si="231"/>
        <v>Bắc Giang</v>
      </c>
      <c r="D2678" s="3" t="s">
        <v>224</v>
      </c>
      <c r="E2678" s="4" t="str">
        <f t="shared" si="233"/>
        <v>Huyện Yên Thế</v>
      </c>
      <c r="F2678" s="3" t="s">
        <v>3442</v>
      </c>
      <c r="G2678" s="4" t="str">
        <f>HYPERLINK("https://diaocthongthai.com/xa-dong-son-yen-the/","Xã Đông Sơn")</f>
        <v>Xã Đông Sơn</v>
      </c>
    </row>
    <row r="2679" spans="1:7" x14ac:dyDescent="0.25">
      <c r="A2679" s="2">
        <v>2678</v>
      </c>
      <c r="B2679" s="3" t="s">
        <v>17</v>
      </c>
      <c r="C2679" s="4" t="str">
        <f t="shared" si="231"/>
        <v>Bắc Giang</v>
      </c>
      <c r="D2679" s="3" t="s">
        <v>224</v>
      </c>
      <c r="E2679" s="4" t="str">
        <f t="shared" si="233"/>
        <v>Huyện Yên Thế</v>
      </c>
      <c r="F2679" s="3" t="s">
        <v>3443</v>
      </c>
      <c r="G2679" s="4" t="str">
        <f>HYPERLINK("https://diaocthongthai.com/xa-tan-hiep-yen-the/","Xã Tân Hiệp")</f>
        <v>Xã Tân Hiệp</v>
      </c>
    </row>
    <row r="2680" spans="1:7" x14ac:dyDescent="0.25">
      <c r="A2680" s="2">
        <v>2679</v>
      </c>
      <c r="B2680" s="3" t="s">
        <v>17</v>
      </c>
      <c r="C2680" s="4" t="str">
        <f t="shared" si="231"/>
        <v>Bắc Giang</v>
      </c>
      <c r="D2680" s="3" t="s">
        <v>224</v>
      </c>
      <c r="E2680" s="4" t="str">
        <f t="shared" si="233"/>
        <v>Huyện Yên Thế</v>
      </c>
      <c r="F2680" s="3" t="s">
        <v>3444</v>
      </c>
      <c r="G2680" s="4" t="str">
        <f>HYPERLINK("https://diaocthongthai.com/xa-huong-vi-yen-the/","Xã Hương Vĩ")</f>
        <v>Xã Hương Vĩ</v>
      </c>
    </row>
    <row r="2681" spans="1:7" x14ac:dyDescent="0.25">
      <c r="A2681" s="2">
        <v>2680</v>
      </c>
      <c r="B2681" s="3" t="s">
        <v>17</v>
      </c>
      <c r="C2681" s="4" t="str">
        <f t="shared" si="231"/>
        <v>Bắc Giang</v>
      </c>
      <c r="D2681" s="3" t="s">
        <v>224</v>
      </c>
      <c r="E2681" s="4" t="str">
        <f t="shared" si="233"/>
        <v>Huyện Yên Thế</v>
      </c>
      <c r="F2681" s="3" t="s">
        <v>3445</v>
      </c>
      <c r="G2681" s="4" t="str">
        <f>HYPERLINK("https://diaocthongthai.com/xa-dong-ky-yen-the/","Xã Đồng Kỳ")</f>
        <v>Xã Đồng Kỳ</v>
      </c>
    </row>
    <row r="2682" spans="1:7" x14ac:dyDescent="0.25">
      <c r="A2682" s="2">
        <v>2681</v>
      </c>
      <c r="B2682" s="3" t="s">
        <v>17</v>
      </c>
      <c r="C2682" s="4" t="str">
        <f t="shared" si="231"/>
        <v>Bắc Giang</v>
      </c>
      <c r="D2682" s="3" t="s">
        <v>224</v>
      </c>
      <c r="E2682" s="4" t="str">
        <f t="shared" si="233"/>
        <v>Huyện Yên Thế</v>
      </c>
      <c r="F2682" s="3" t="s">
        <v>3446</v>
      </c>
      <c r="G2682" s="4" t="str">
        <f>HYPERLINK("https://diaocthongthai.com/xa-an-thuong-yen-the/","Xã An Thượng")</f>
        <v>Xã An Thượng</v>
      </c>
    </row>
    <row r="2683" spans="1:7" x14ac:dyDescent="0.25">
      <c r="A2683" s="2">
        <v>2682</v>
      </c>
      <c r="B2683" s="3" t="s">
        <v>17</v>
      </c>
      <c r="C2683" s="4" t="str">
        <f t="shared" si="231"/>
        <v>Bắc Giang</v>
      </c>
      <c r="D2683" s="3" t="s">
        <v>224</v>
      </c>
      <c r="E2683" s="4" t="str">
        <f t="shared" si="233"/>
        <v>Huyện Yên Thế</v>
      </c>
      <c r="F2683" s="3" t="s">
        <v>3447</v>
      </c>
      <c r="G2683" s="4" t="str">
        <f>HYPERLINK("https://diaocthongthai.com/thi-tran-phon-xuong-yen-the/","Thị trấn Phồn Xương")</f>
        <v>Thị trấn Phồn Xương</v>
      </c>
    </row>
    <row r="2684" spans="1:7" x14ac:dyDescent="0.25">
      <c r="A2684" s="2">
        <v>2683</v>
      </c>
      <c r="B2684" s="3" t="s">
        <v>17</v>
      </c>
      <c r="C2684" s="4" t="str">
        <f t="shared" si="231"/>
        <v>Bắc Giang</v>
      </c>
      <c r="D2684" s="3" t="s">
        <v>224</v>
      </c>
      <c r="E2684" s="4" t="str">
        <f t="shared" si="233"/>
        <v>Huyện Yên Thế</v>
      </c>
      <c r="F2684" s="3" t="s">
        <v>3448</v>
      </c>
      <c r="G2684" s="4" t="str">
        <f>HYPERLINK("https://diaocthongthai.com/xa-tan-soi-yen-the/","Xã Tân Sỏi")</f>
        <v>Xã Tân Sỏi</v>
      </c>
    </row>
    <row r="2685" spans="1:7" x14ac:dyDescent="0.25">
      <c r="A2685" s="2">
        <v>2684</v>
      </c>
      <c r="B2685" s="3" t="s">
        <v>17</v>
      </c>
      <c r="C2685" s="4" t="str">
        <f t="shared" si="231"/>
        <v>Bắc Giang</v>
      </c>
      <c r="D2685" s="3" t="s">
        <v>224</v>
      </c>
      <c r="E2685" s="4" t="str">
        <f t="shared" si="233"/>
        <v>Huyện Yên Thế</v>
      </c>
      <c r="F2685" s="3" t="s">
        <v>3449</v>
      </c>
      <c r="G2685" s="4" t="str">
        <f>HYPERLINK("https://diaocthongthai.com/thi-tran-bo-ha-yen-the/","Thị trấn Bố Hạ")</f>
        <v>Thị trấn Bố Hạ</v>
      </c>
    </row>
    <row r="2686" spans="1:7" x14ac:dyDescent="0.25">
      <c r="A2686" s="2">
        <v>2685</v>
      </c>
      <c r="B2686" s="3" t="s">
        <v>17</v>
      </c>
      <c r="C2686" s="4" t="str">
        <f t="shared" si="231"/>
        <v>Bắc Giang</v>
      </c>
      <c r="D2686" s="3" t="s">
        <v>225</v>
      </c>
      <c r="E2686" s="4" t="str">
        <f t="shared" ref="E2686:E2707" si="234">HYPERLINK("https://diaocthongthai.com/ban-do-huyen-tan-yen-bac-giang/","Huyện Tân Yên")</f>
        <v>Huyện Tân Yên</v>
      </c>
      <c r="F2686" s="3" t="s">
        <v>3450</v>
      </c>
      <c r="G2686" s="4" t="str">
        <f>HYPERLINK("https://diaocthongthai.com/xa-lan-gioi-tan-yen/","Xã Lan Giới")</f>
        <v>Xã Lan Giới</v>
      </c>
    </row>
    <row r="2687" spans="1:7" x14ac:dyDescent="0.25">
      <c r="A2687" s="2">
        <v>2686</v>
      </c>
      <c r="B2687" s="3" t="s">
        <v>17</v>
      </c>
      <c r="C2687" s="4" t="str">
        <f t="shared" si="231"/>
        <v>Bắc Giang</v>
      </c>
      <c r="D2687" s="3" t="s">
        <v>225</v>
      </c>
      <c r="E2687" s="4" t="str">
        <f t="shared" si="234"/>
        <v>Huyện Tân Yên</v>
      </c>
      <c r="F2687" s="3" t="s">
        <v>3451</v>
      </c>
      <c r="G2687" s="4" t="str">
        <f>HYPERLINK("https://diaocthongthai.com/thi-tran-nha-nam-tan-yen/","Thị trấn Nhã Nam")</f>
        <v>Thị trấn Nhã Nam</v>
      </c>
    </row>
    <row r="2688" spans="1:7" x14ac:dyDescent="0.25">
      <c r="A2688" s="2">
        <v>2687</v>
      </c>
      <c r="B2688" s="3" t="s">
        <v>17</v>
      </c>
      <c r="C2688" s="4" t="str">
        <f t="shared" si="231"/>
        <v>Bắc Giang</v>
      </c>
      <c r="D2688" s="3" t="s">
        <v>225</v>
      </c>
      <c r="E2688" s="4" t="str">
        <f t="shared" si="234"/>
        <v>Huyện Tân Yên</v>
      </c>
      <c r="F2688" s="3" t="s">
        <v>3452</v>
      </c>
      <c r="G2688" s="4" t="str">
        <f>HYPERLINK("https://diaocthongthai.com/xa-tan-trung-tan-yen/","Xã Tân Trung")</f>
        <v>Xã Tân Trung</v>
      </c>
    </row>
    <row r="2689" spans="1:7" x14ac:dyDescent="0.25">
      <c r="A2689" s="2">
        <v>2688</v>
      </c>
      <c r="B2689" s="3" t="s">
        <v>17</v>
      </c>
      <c r="C2689" s="4" t="str">
        <f t="shared" si="231"/>
        <v>Bắc Giang</v>
      </c>
      <c r="D2689" s="3" t="s">
        <v>225</v>
      </c>
      <c r="E2689" s="4" t="str">
        <f t="shared" si="234"/>
        <v>Huyện Tân Yên</v>
      </c>
      <c r="F2689" s="3" t="s">
        <v>3453</v>
      </c>
      <c r="G2689" s="4" t="str">
        <f>HYPERLINK("https://diaocthongthai.com/xa-dai-hoa-tan-yen/","Xã Đại Hóa")</f>
        <v>Xã Đại Hóa</v>
      </c>
    </row>
    <row r="2690" spans="1:7" x14ac:dyDescent="0.25">
      <c r="A2690" s="2">
        <v>2689</v>
      </c>
      <c r="B2690" s="3" t="s">
        <v>17</v>
      </c>
      <c r="C2690" s="4" t="str">
        <f t="shared" si="231"/>
        <v>Bắc Giang</v>
      </c>
      <c r="D2690" s="3" t="s">
        <v>225</v>
      </c>
      <c r="E2690" s="4" t="str">
        <f t="shared" si="234"/>
        <v>Huyện Tân Yên</v>
      </c>
      <c r="F2690" s="3" t="s">
        <v>3454</v>
      </c>
      <c r="G2690" s="4" t="str">
        <f>HYPERLINK("https://diaocthongthai.com/xa-quang-tien-tan-yen/","Xã Quang Tiến")</f>
        <v>Xã Quang Tiến</v>
      </c>
    </row>
    <row r="2691" spans="1:7" x14ac:dyDescent="0.25">
      <c r="A2691" s="2">
        <v>2690</v>
      </c>
      <c r="B2691" s="3" t="s">
        <v>17</v>
      </c>
      <c r="C2691" s="4" t="str">
        <f t="shared" si="231"/>
        <v>Bắc Giang</v>
      </c>
      <c r="D2691" s="3" t="s">
        <v>225</v>
      </c>
      <c r="E2691" s="4" t="str">
        <f t="shared" si="234"/>
        <v>Huyện Tân Yên</v>
      </c>
      <c r="F2691" s="3" t="s">
        <v>3455</v>
      </c>
      <c r="G2691" s="4" t="str">
        <f>HYPERLINK("https://diaocthongthai.com/xa-phuc-son-tan-yen/","Xã Phúc Sơn")</f>
        <v>Xã Phúc Sơn</v>
      </c>
    </row>
    <row r="2692" spans="1:7" x14ac:dyDescent="0.25">
      <c r="A2692" s="2">
        <v>2691</v>
      </c>
      <c r="B2692" s="3" t="s">
        <v>17</v>
      </c>
      <c r="C2692" s="4" t="str">
        <f t="shared" si="231"/>
        <v>Bắc Giang</v>
      </c>
      <c r="D2692" s="3" t="s">
        <v>225</v>
      </c>
      <c r="E2692" s="4" t="str">
        <f t="shared" si="234"/>
        <v>Huyện Tân Yên</v>
      </c>
      <c r="F2692" s="3" t="s">
        <v>3456</v>
      </c>
      <c r="G2692" s="4" t="str">
        <f>HYPERLINK("https://diaocthongthai.com/xa-an-duong-tan-yen/","Xã An Dương")</f>
        <v>Xã An Dương</v>
      </c>
    </row>
    <row r="2693" spans="1:7" x14ac:dyDescent="0.25">
      <c r="A2693" s="2">
        <v>2692</v>
      </c>
      <c r="B2693" s="3" t="s">
        <v>17</v>
      </c>
      <c r="C2693" s="4" t="str">
        <f t="shared" si="231"/>
        <v>Bắc Giang</v>
      </c>
      <c r="D2693" s="3" t="s">
        <v>225</v>
      </c>
      <c r="E2693" s="4" t="str">
        <f t="shared" si="234"/>
        <v>Huyện Tân Yên</v>
      </c>
      <c r="F2693" s="3" t="s">
        <v>3457</v>
      </c>
      <c r="G2693" s="4" t="str">
        <f>HYPERLINK("https://diaocthongthai.com/xa-phuc-hoa-tan-yen/","Xã Phúc Hòa")</f>
        <v>Xã Phúc Hòa</v>
      </c>
    </row>
    <row r="2694" spans="1:7" x14ac:dyDescent="0.25">
      <c r="A2694" s="2">
        <v>2693</v>
      </c>
      <c r="B2694" s="3" t="s">
        <v>17</v>
      </c>
      <c r="C2694" s="4" t="str">
        <f t="shared" si="231"/>
        <v>Bắc Giang</v>
      </c>
      <c r="D2694" s="3" t="s">
        <v>225</v>
      </c>
      <c r="E2694" s="4" t="str">
        <f t="shared" si="234"/>
        <v>Huyện Tân Yên</v>
      </c>
      <c r="F2694" s="3" t="s">
        <v>3458</v>
      </c>
      <c r="G2694" s="4" t="str">
        <f>HYPERLINK("https://diaocthongthai.com/xa-lien-son-tan-yen/","Xã Liên Sơn")</f>
        <v>Xã Liên Sơn</v>
      </c>
    </row>
    <row r="2695" spans="1:7" x14ac:dyDescent="0.25">
      <c r="A2695" s="2">
        <v>2694</v>
      </c>
      <c r="B2695" s="3" t="s">
        <v>17</v>
      </c>
      <c r="C2695" s="4" t="str">
        <f t="shared" si="231"/>
        <v>Bắc Giang</v>
      </c>
      <c r="D2695" s="3" t="s">
        <v>225</v>
      </c>
      <c r="E2695" s="4" t="str">
        <f t="shared" si="234"/>
        <v>Huyện Tân Yên</v>
      </c>
      <c r="F2695" s="3" t="s">
        <v>3459</v>
      </c>
      <c r="G2695" s="4" t="str">
        <f>HYPERLINK("https://diaocthongthai.com/xa-hop-duc-tan-yen/","Xã Hợp Đức")</f>
        <v>Xã Hợp Đức</v>
      </c>
    </row>
    <row r="2696" spans="1:7" x14ac:dyDescent="0.25">
      <c r="A2696" s="2">
        <v>2695</v>
      </c>
      <c r="B2696" s="3" t="s">
        <v>17</v>
      </c>
      <c r="C2696" s="4" t="str">
        <f t="shared" si="231"/>
        <v>Bắc Giang</v>
      </c>
      <c r="D2696" s="3" t="s">
        <v>225</v>
      </c>
      <c r="E2696" s="4" t="str">
        <f t="shared" si="234"/>
        <v>Huyện Tân Yên</v>
      </c>
      <c r="F2696" s="3" t="s">
        <v>3460</v>
      </c>
      <c r="G2696" s="4" t="str">
        <f>HYPERLINK("https://diaocthongthai.com/xa-lam-cot-tan-yen/","Xã Lam Cốt")</f>
        <v>Xã Lam Cốt</v>
      </c>
    </row>
    <row r="2697" spans="1:7" x14ac:dyDescent="0.25">
      <c r="A2697" s="2">
        <v>2696</v>
      </c>
      <c r="B2697" s="3" t="s">
        <v>17</v>
      </c>
      <c r="C2697" s="4" t="str">
        <f t="shared" si="231"/>
        <v>Bắc Giang</v>
      </c>
      <c r="D2697" s="3" t="s">
        <v>225</v>
      </c>
      <c r="E2697" s="4" t="str">
        <f t="shared" si="234"/>
        <v>Huyện Tân Yên</v>
      </c>
      <c r="F2697" s="3" t="s">
        <v>3461</v>
      </c>
      <c r="G2697" s="4" t="str">
        <f>HYPERLINK("https://diaocthongthai.com/xa-cao-xa-tan-yen/","Xã Cao Xá")</f>
        <v>Xã Cao Xá</v>
      </c>
    </row>
    <row r="2698" spans="1:7" x14ac:dyDescent="0.25">
      <c r="A2698" s="2">
        <v>2697</v>
      </c>
      <c r="B2698" s="3" t="s">
        <v>17</v>
      </c>
      <c r="C2698" s="4" t="str">
        <f t="shared" si="231"/>
        <v>Bắc Giang</v>
      </c>
      <c r="D2698" s="3" t="s">
        <v>225</v>
      </c>
      <c r="E2698" s="4" t="str">
        <f t="shared" si="234"/>
        <v>Huyện Tân Yên</v>
      </c>
      <c r="F2698" s="3" t="s">
        <v>3462</v>
      </c>
      <c r="G2698" s="4" t="str">
        <f>HYPERLINK("https://diaocthongthai.com/thi-tran-cao-thuong-tan-yen/","Thị trấn Cao Thượng")</f>
        <v>Thị trấn Cao Thượng</v>
      </c>
    </row>
    <row r="2699" spans="1:7" x14ac:dyDescent="0.25">
      <c r="A2699" s="2">
        <v>2698</v>
      </c>
      <c r="B2699" s="3" t="s">
        <v>17</v>
      </c>
      <c r="C2699" s="4" t="str">
        <f t="shared" si="231"/>
        <v>Bắc Giang</v>
      </c>
      <c r="D2699" s="3" t="s">
        <v>225</v>
      </c>
      <c r="E2699" s="4" t="str">
        <f t="shared" si="234"/>
        <v>Huyện Tân Yên</v>
      </c>
      <c r="F2699" s="3" t="s">
        <v>3463</v>
      </c>
      <c r="G2699" s="4" t="str">
        <f>HYPERLINK("https://diaocthongthai.com/xa-viet-ngoc-tan-yen/","Xã Việt Ngọc")</f>
        <v>Xã Việt Ngọc</v>
      </c>
    </row>
    <row r="2700" spans="1:7" x14ac:dyDescent="0.25">
      <c r="A2700" s="2">
        <v>2699</v>
      </c>
      <c r="B2700" s="3" t="s">
        <v>17</v>
      </c>
      <c r="C2700" s="4" t="str">
        <f t="shared" si="231"/>
        <v>Bắc Giang</v>
      </c>
      <c r="D2700" s="3" t="s">
        <v>225</v>
      </c>
      <c r="E2700" s="4" t="str">
        <f t="shared" si="234"/>
        <v>Huyện Tân Yên</v>
      </c>
      <c r="F2700" s="3" t="s">
        <v>3464</v>
      </c>
      <c r="G2700" s="4" t="str">
        <f>HYPERLINK("https://diaocthongthai.com/xa-song-van-tan-yen/","Xã Song Vân")</f>
        <v>Xã Song Vân</v>
      </c>
    </row>
    <row r="2701" spans="1:7" x14ac:dyDescent="0.25">
      <c r="A2701" s="2">
        <v>2700</v>
      </c>
      <c r="B2701" s="3" t="s">
        <v>17</v>
      </c>
      <c r="C2701" s="4" t="str">
        <f t="shared" si="231"/>
        <v>Bắc Giang</v>
      </c>
      <c r="D2701" s="3" t="s">
        <v>225</v>
      </c>
      <c r="E2701" s="4" t="str">
        <f t="shared" si="234"/>
        <v>Huyện Tân Yên</v>
      </c>
      <c r="F2701" s="3" t="s">
        <v>3465</v>
      </c>
      <c r="G2701" s="4" t="str">
        <f>HYPERLINK("https://diaocthongthai.com/xa-ngoc-chau-tan-yen/","Xã Ngọc Châu")</f>
        <v>Xã Ngọc Châu</v>
      </c>
    </row>
    <row r="2702" spans="1:7" x14ac:dyDescent="0.25">
      <c r="A2702" s="2">
        <v>2701</v>
      </c>
      <c r="B2702" s="3" t="s">
        <v>17</v>
      </c>
      <c r="C2702" s="4" t="str">
        <f t="shared" si="231"/>
        <v>Bắc Giang</v>
      </c>
      <c r="D2702" s="3" t="s">
        <v>225</v>
      </c>
      <c r="E2702" s="4" t="str">
        <f t="shared" si="234"/>
        <v>Huyện Tân Yên</v>
      </c>
      <c r="F2702" s="3" t="s">
        <v>3466</v>
      </c>
      <c r="G2702" s="4" t="str">
        <f>HYPERLINK("https://diaocthongthai.com/xa-ngoc-van-tan-yen/","Xã Ngọc Vân")</f>
        <v>Xã Ngọc Vân</v>
      </c>
    </row>
    <row r="2703" spans="1:7" x14ac:dyDescent="0.25">
      <c r="A2703" s="2">
        <v>2702</v>
      </c>
      <c r="B2703" s="3" t="s">
        <v>17</v>
      </c>
      <c r="C2703" s="4" t="str">
        <f t="shared" si="231"/>
        <v>Bắc Giang</v>
      </c>
      <c r="D2703" s="3" t="s">
        <v>225</v>
      </c>
      <c r="E2703" s="4" t="str">
        <f t="shared" si="234"/>
        <v>Huyện Tân Yên</v>
      </c>
      <c r="F2703" s="3" t="s">
        <v>3467</v>
      </c>
      <c r="G2703" s="4" t="str">
        <f>HYPERLINK("https://diaocthongthai.com/xa-viet-lap-tan-yen/","Xã Việt Lập")</f>
        <v>Xã Việt Lập</v>
      </c>
    </row>
    <row r="2704" spans="1:7" x14ac:dyDescent="0.25">
      <c r="A2704" s="2">
        <v>2703</v>
      </c>
      <c r="B2704" s="3" t="s">
        <v>17</v>
      </c>
      <c r="C2704" s="4" t="str">
        <f t="shared" si="231"/>
        <v>Bắc Giang</v>
      </c>
      <c r="D2704" s="3" t="s">
        <v>225</v>
      </c>
      <c r="E2704" s="4" t="str">
        <f t="shared" si="234"/>
        <v>Huyện Tân Yên</v>
      </c>
      <c r="F2704" s="3" t="s">
        <v>3468</v>
      </c>
      <c r="G2704" s="4" t="str">
        <f>HYPERLINK("https://diaocthongthai.com/xa-lien-chung-tan-yen/","Xã Liên Chung")</f>
        <v>Xã Liên Chung</v>
      </c>
    </row>
    <row r="2705" spans="1:7" x14ac:dyDescent="0.25">
      <c r="A2705" s="2">
        <v>2704</v>
      </c>
      <c r="B2705" s="3" t="s">
        <v>17</v>
      </c>
      <c r="C2705" s="4" t="str">
        <f t="shared" si="231"/>
        <v>Bắc Giang</v>
      </c>
      <c r="D2705" s="3" t="s">
        <v>225</v>
      </c>
      <c r="E2705" s="4" t="str">
        <f t="shared" si="234"/>
        <v>Huyện Tân Yên</v>
      </c>
      <c r="F2705" s="3" t="s">
        <v>3469</v>
      </c>
      <c r="G2705" s="4" t="str">
        <f>HYPERLINK("https://diaocthongthai.com/xa-ngoc-thien-tan-yen/","Xã Ngọc Thiện")</f>
        <v>Xã Ngọc Thiện</v>
      </c>
    </row>
    <row r="2706" spans="1:7" x14ac:dyDescent="0.25">
      <c r="A2706" s="2">
        <v>2705</v>
      </c>
      <c r="B2706" s="3" t="s">
        <v>17</v>
      </c>
      <c r="C2706" s="4" t="str">
        <f t="shared" si="231"/>
        <v>Bắc Giang</v>
      </c>
      <c r="D2706" s="3" t="s">
        <v>225</v>
      </c>
      <c r="E2706" s="4" t="str">
        <f t="shared" si="234"/>
        <v>Huyện Tân Yên</v>
      </c>
      <c r="F2706" s="3" t="s">
        <v>3470</v>
      </c>
      <c r="G2706" s="4" t="str">
        <f>HYPERLINK("https://diaocthongthai.com/xa-ngoc-ly-tan-yen/","Xã Ngọc Lý")</f>
        <v>Xã Ngọc Lý</v>
      </c>
    </row>
    <row r="2707" spans="1:7" x14ac:dyDescent="0.25">
      <c r="A2707" s="2">
        <v>2706</v>
      </c>
      <c r="B2707" s="3" t="s">
        <v>17</v>
      </c>
      <c r="C2707" s="4" t="str">
        <f t="shared" si="231"/>
        <v>Bắc Giang</v>
      </c>
      <c r="D2707" s="3" t="s">
        <v>225</v>
      </c>
      <c r="E2707" s="4" t="str">
        <f t="shared" si="234"/>
        <v>Huyện Tân Yên</v>
      </c>
      <c r="F2707" s="3" t="s">
        <v>3471</v>
      </c>
      <c r="G2707" s="4" t="str">
        <f>HYPERLINK("https://diaocthongthai.com/xa-que-nham-tan-yen/","Xã Quế Nham")</f>
        <v>Xã Quế Nham</v>
      </c>
    </row>
    <row r="2708" spans="1:7" x14ac:dyDescent="0.25">
      <c r="A2708" s="2">
        <v>2707</v>
      </c>
      <c r="B2708" s="3" t="s">
        <v>17</v>
      </c>
      <c r="C2708" s="4" t="str">
        <f t="shared" si="231"/>
        <v>Bắc Giang</v>
      </c>
      <c r="D2708" s="3" t="s">
        <v>226</v>
      </c>
      <c r="E2708" s="4" t="str">
        <f t="shared" ref="E2708:E2728" si="235">HYPERLINK("https://diaocthongthai.com/ban-do-huyen-lang-giang-bac-giang/","Huyện Lạng Giang")</f>
        <v>Huyện Lạng Giang</v>
      </c>
      <c r="F2708" s="3" t="s">
        <v>3472</v>
      </c>
      <c r="G2708" s="4" t="str">
        <f>HYPERLINK("https://diaocthongthai.com/thi-tran-voi-lang-giang/","Thị trấn Vôi")</f>
        <v>Thị trấn Vôi</v>
      </c>
    </row>
    <row r="2709" spans="1:7" x14ac:dyDescent="0.25">
      <c r="A2709" s="2">
        <v>2708</v>
      </c>
      <c r="B2709" s="3" t="s">
        <v>17</v>
      </c>
      <c r="C2709" s="4" t="str">
        <f t="shared" si="231"/>
        <v>Bắc Giang</v>
      </c>
      <c r="D2709" s="3" t="s">
        <v>226</v>
      </c>
      <c r="E2709" s="4" t="str">
        <f t="shared" si="235"/>
        <v>Huyện Lạng Giang</v>
      </c>
      <c r="F2709" s="3" t="s">
        <v>3473</v>
      </c>
      <c r="G2709" s="4" t="str">
        <f>HYPERLINK("https://diaocthongthai.com/xa-nghia-hoa-lang-giang/","Xã Nghĩa Hòa")</f>
        <v>Xã Nghĩa Hòa</v>
      </c>
    </row>
    <row r="2710" spans="1:7" x14ac:dyDescent="0.25">
      <c r="A2710" s="2">
        <v>2709</v>
      </c>
      <c r="B2710" s="3" t="s">
        <v>17</v>
      </c>
      <c r="C2710" s="4" t="str">
        <f t="shared" si="231"/>
        <v>Bắc Giang</v>
      </c>
      <c r="D2710" s="3" t="s">
        <v>226</v>
      </c>
      <c r="E2710" s="4" t="str">
        <f t="shared" si="235"/>
        <v>Huyện Lạng Giang</v>
      </c>
      <c r="F2710" s="3" t="s">
        <v>3474</v>
      </c>
      <c r="G2710" s="4" t="str">
        <f>HYPERLINK("https://diaocthongthai.com/xa-nghia-hung-lang-giang/","Xã Nghĩa Hưng")</f>
        <v>Xã Nghĩa Hưng</v>
      </c>
    </row>
    <row r="2711" spans="1:7" x14ac:dyDescent="0.25">
      <c r="A2711" s="2">
        <v>2710</v>
      </c>
      <c r="B2711" s="3" t="s">
        <v>17</v>
      </c>
      <c r="C2711" s="4" t="str">
        <f t="shared" si="231"/>
        <v>Bắc Giang</v>
      </c>
      <c r="D2711" s="3" t="s">
        <v>226</v>
      </c>
      <c r="E2711" s="4" t="str">
        <f t="shared" si="235"/>
        <v>Huyện Lạng Giang</v>
      </c>
      <c r="F2711" s="3" t="s">
        <v>3475</v>
      </c>
      <c r="G2711" s="4" t="str">
        <f>HYPERLINK("https://diaocthongthai.com/xa-quang-thinh-lang-giang/","Xã Quang Thịnh")</f>
        <v>Xã Quang Thịnh</v>
      </c>
    </row>
    <row r="2712" spans="1:7" x14ac:dyDescent="0.25">
      <c r="A2712" s="2">
        <v>2711</v>
      </c>
      <c r="B2712" s="3" t="s">
        <v>17</v>
      </c>
      <c r="C2712" s="4" t="str">
        <f t="shared" si="231"/>
        <v>Bắc Giang</v>
      </c>
      <c r="D2712" s="3" t="s">
        <v>226</v>
      </c>
      <c r="E2712" s="4" t="str">
        <f t="shared" si="235"/>
        <v>Huyện Lạng Giang</v>
      </c>
      <c r="F2712" s="3" t="s">
        <v>3476</v>
      </c>
      <c r="G2712" s="4" t="str">
        <f>HYPERLINK("https://diaocthongthai.com/xa-huong-son-lang-giang/","Xã Hương Sơn")</f>
        <v>Xã Hương Sơn</v>
      </c>
    </row>
    <row r="2713" spans="1:7" x14ac:dyDescent="0.25">
      <c r="A2713" s="2">
        <v>2712</v>
      </c>
      <c r="B2713" s="3" t="s">
        <v>17</v>
      </c>
      <c r="C2713" s="4" t="str">
        <f t="shared" si="231"/>
        <v>Bắc Giang</v>
      </c>
      <c r="D2713" s="3" t="s">
        <v>226</v>
      </c>
      <c r="E2713" s="4" t="str">
        <f t="shared" si="235"/>
        <v>Huyện Lạng Giang</v>
      </c>
      <c r="F2713" s="3" t="s">
        <v>3477</v>
      </c>
      <c r="G2713" s="4" t="str">
        <f>HYPERLINK("https://diaocthongthai.com/xa-dao-my-lang-giang/","Xã Đào Mỹ")</f>
        <v>Xã Đào Mỹ</v>
      </c>
    </row>
    <row r="2714" spans="1:7" x14ac:dyDescent="0.25">
      <c r="A2714" s="2">
        <v>2713</v>
      </c>
      <c r="B2714" s="3" t="s">
        <v>17</v>
      </c>
      <c r="C2714" s="4" t="str">
        <f t="shared" si="231"/>
        <v>Bắc Giang</v>
      </c>
      <c r="D2714" s="3" t="s">
        <v>226</v>
      </c>
      <c r="E2714" s="4" t="str">
        <f t="shared" si="235"/>
        <v>Huyện Lạng Giang</v>
      </c>
      <c r="F2714" s="3" t="s">
        <v>3478</v>
      </c>
      <c r="G2714" s="4" t="str">
        <f>HYPERLINK("https://diaocthongthai.com/xa-tien-luc-lang-giang/","Xã Tiên Lục")</f>
        <v>Xã Tiên Lục</v>
      </c>
    </row>
    <row r="2715" spans="1:7" x14ac:dyDescent="0.25">
      <c r="A2715" s="2">
        <v>2714</v>
      </c>
      <c r="B2715" s="3" t="s">
        <v>17</v>
      </c>
      <c r="C2715" s="4" t="str">
        <f t="shared" ref="C2715:C2778" si="236">HYPERLINK("https://diaocthongthai.com/ban-do-bac-giang/","Bắc Giang")</f>
        <v>Bắc Giang</v>
      </c>
      <c r="D2715" s="3" t="s">
        <v>226</v>
      </c>
      <c r="E2715" s="4" t="str">
        <f t="shared" si="235"/>
        <v>Huyện Lạng Giang</v>
      </c>
      <c r="F2715" s="3" t="s">
        <v>3479</v>
      </c>
      <c r="G2715" s="4" t="str">
        <f>HYPERLINK("https://diaocthongthai.com/xa-an-ha-lang-giang/","Xã An Hà")</f>
        <v>Xã An Hà</v>
      </c>
    </row>
    <row r="2716" spans="1:7" x14ac:dyDescent="0.25">
      <c r="A2716" s="2">
        <v>2715</v>
      </c>
      <c r="B2716" s="3" t="s">
        <v>17</v>
      </c>
      <c r="C2716" s="4" t="str">
        <f t="shared" si="236"/>
        <v>Bắc Giang</v>
      </c>
      <c r="D2716" s="3" t="s">
        <v>226</v>
      </c>
      <c r="E2716" s="4" t="str">
        <f t="shared" si="235"/>
        <v>Huyện Lạng Giang</v>
      </c>
      <c r="F2716" s="3" t="s">
        <v>3480</v>
      </c>
      <c r="G2716" s="4" t="str">
        <f>HYPERLINK("https://diaocthongthai.com/thi-tran-kep-lang-giang/","Thị trấn Kép")</f>
        <v>Thị trấn Kép</v>
      </c>
    </row>
    <row r="2717" spans="1:7" x14ac:dyDescent="0.25">
      <c r="A2717" s="2">
        <v>2716</v>
      </c>
      <c r="B2717" s="3" t="s">
        <v>17</v>
      </c>
      <c r="C2717" s="4" t="str">
        <f t="shared" si="236"/>
        <v>Bắc Giang</v>
      </c>
      <c r="D2717" s="3" t="s">
        <v>226</v>
      </c>
      <c r="E2717" s="4" t="str">
        <f t="shared" si="235"/>
        <v>Huyện Lạng Giang</v>
      </c>
      <c r="F2717" s="3" t="s">
        <v>3481</v>
      </c>
      <c r="G2717" s="4" t="str">
        <f>HYPERLINK("https://diaocthongthai.com/xa-my-ha-lang-giang/","Xã Mỹ Hà")</f>
        <v>Xã Mỹ Hà</v>
      </c>
    </row>
    <row r="2718" spans="1:7" x14ac:dyDescent="0.25">
      <c r="A2718" s="2">
        <v>2717</v>
      </c>
      <c r="B2718" s="3" t="s">
        <v>17</v>
      </c>
      <c r="C2718" s="4" t="str">
        <f t="shared" si="236"/>
        <v>Bắc Giang</v>
      </c>
      <c r="D2718" s="3" t="s">
        <v>226</v>
      </c>
      <c r="E2718" s="4" t="str">
        <f t="shared" si="235"/>
        <v>Huyện Lạng Giang</v>
      </c>
      <c r="F2718" s="3" t="s">
        <v>3482</v>
      </c>
      <c r="G2718" s="4" t="str">
        <f>HYPERLINK("https://diaocthongthai.com/xa-huong-lac-lang-giang/","Xã Hương Lạc")</f>
        <v>Xã Hương Lạc</v>
      </c>
    </row>
    <row r="2719" spans="1:7" x14ac:dyDescent="0.25">
      <c r="A2719" s="2">
        <v>2718</v>
      </c>
      <c r="B2719" s="3" t="s">
        <v>17</v>
      </c>
      <c r="C2719" s="4" t="str">
        <f t="shared" si="236"/>
        <v>Bắc Giang</v>
      </c>
      <c r="D2719" s="3" t="s">
        <v>226</v>
      </c>
      <c r="E2719" s="4" t="str">
        <f t="shared" si="235"/>
        <v>Huyện Lạng Giang</v>
      </c>
      <c r="F2719" s="3" t="s">
        <v>3483</v>
      </c>
      <c r="G2719" s="4" t="str">
        <f>HYPERLINK("https://diaocthongthai.com/xa-duong-duc-lang-giang/","Xã Dương Đức")</f>
        <v>Xã Dương Đức</v>
      </c>
    </row>
    <row r="2720" spans="1:7" x14ac:dyDescent="0.25">
      <c r="A2720" s="2">
        <v>2719</v>
      </c>
      <c r="B2720" s="3" t="s">
        <v>17</v>
      </c>
      <c r="C2720" s="4" t="str">
        <f t="shared" si="236"/>
        <v>Bắc Giang</v>
      </c>
      <c r="D2720" s="3" t="s">
        <v>226</v>
      </c>
      <c r="E2720" s="4" t="str">
        <f t="shared" si="235"/>
        <v>Huyện Lạng Giang</v>
      </c>
      <c r="F2720" s="3" t="s">
        <v>3484</v>
      </c>
      <c r="G2720" s="4" t="str">
        <f>HYPERLINK("https://diaocthongthai.com/xa-tan-thanh-lang-giang/","Xã Tân Thanh")</f>
        <v>Xã Tân Thanh</v>
      </c>
    </row>
    <row r="2721" spans="1:7" x14ac:dyDescent="0.25">
      <c r="A2721" s="2">
        <v>2720</v>
      </c>
      <c r="B2721" s="3" t="s">
        <v>17</v>
      </c>
      <c r="C2721" s="4" t="str">
        <f t="shared" si="236"/>
        <v>Bắc Giang</v>
      </c>
      <c r="D2721" s="3" t="s">
        <v>226</v>
      </c>
      <c r="E2721" s="4" t="str">
        <f t="shared" si="235"/>
        <v>Huyện Lạng Giang</v>
      </c>
      <c r="F2721" s="3" t="s">
        <v>3485</v>
      </c>
      <c r="G2721" s="4" t="str">
        <f>HYPERLINK("https://diaocthongthai.com/xa-yen-my-lang-giang/","Xã Yên Mỹ")</f>
        <v>Xã Yên Mỹ</v>
      </c>
    </row>
    <row r="2722" spans="1:7" x14ac:dyDescent="0.25">
      <c r="A2722" s="2">
        <v>2721</v>
      </c>
      <c r="B2722" s="3" t="s">
        <v>17</v>
      </c>
      <c r="C2722" s="4" t="str">
        <f t="shared" si="236"/>
        <v>Bắc Giang</v>
      </c>
      <c r="D2722" s="3" t="s">
        <v>226</v>
      </c>
      <c r="E2722" s="4" t="str">
        <f t="shared" si="235"/>
        <v>Huyện Lạng Giang</v>
      </c>
      <c r="F2722" s="3" t="s">
        <v>3486</v>
      </c>
      <c r="G2722" s="4" t="str">
        <f>HYPERLINK("https://diaocthongthai.com/xa-tan-hung-lang-giang/","Xã Tân Hưng")</f>
        <v>Xã Tân Hưng</v>
      </c>
    </row>
    <row r="2723" spans="1:7" x14ac:dyDescent="0.25">
      <c r="A2723" s="2">
        <v>2722</v>
      </c>
      <c r="B2723" s="3" t="s">
        <v>17</v>
      </c>
      <c r="C2723" s="4" t="str">
        <f t="shared" si="236"/>
        <v>Bắc Giang</v>
      </c>
      <c r="D2723" s="3" t="s">
        <v>226</v>
      </c>
      <c r="E2723" s="4" t="str">
        <f t="shared" si="235"/>
        <v>Huyện Lạng Giang</v>
      </c>
      <c r="F2723" s="3" t="s">
        <v>3487</v>
      </c>
      <c r="G2723" s="4" t="str">
        <f>HYPERLINK("https://diaocthongthai.com/xa-my-thai-lang-giang/","Xã Mỹ Thái")</f>
        <v>Xã Mỹ Thái</v>
      </c>
    </row>
    <row r="2724" spans="1:7" x14ac:dyDescent="0.25">
      <c r="A2724" s="2">
        <v>2723</v>
      </c>
      <c r="B2724" s="3" t="s">
        <v>17</v>
      </c>
      <c r="C2724" s="4" t="str">
        <f t="shared" si="236"/>
        <v>Bắc Giang</v>
      </c>
      <c r="D2724" s="3" t="s">
        <v>226</v>
      </c>
      <c r="E2724" s="4" t="str">
        <f t="shared" si="235"/>
        <v>Huyện Lạng Giang</v>
      </c>
      <c r="F2724" s="3" t="s">
        <v>3488</v>
      </c>
      <c r="G2724" s="4" t="str">
        <f>HYPERLINK("https://diaocthongthai.com/xa-xuong-lam-lang-giang/","Xã Xương Lâm")</f>
        <v>Xã Xương Lâm</v>
      </c>
    </row>
    <row r="2725" spans="1:7" x14ac:dyDescent="0.25">
      <c r="A2725" s="2">
        <v>2724</v>
      </c>
      <c r="B2725" s="3" t="s">
        <v>17</v>
      </c>
      <c r="C2725" s="4" t="str">
        <f t="shared" si="236"/>
        <v>Bắc Giang</v>
      </c>
      <c r="D2725" s="3" t="s">
        <v>226</v>
      </c>
      <c r="E2725" s="4" t="str">
        <f t="shared" si="235"/>
        <v>Huyện Lạng Giang</v>
      </c>
      <c r="F2725" s="3" t="s">
        <v>3489</v>
      </c>
      <c r="G2725" s="4" t="str">
        <f>HYPERLINK("https://diaocthongthai.com/xa-xuan-huong-lang-giang/","Xã Xuân Hương")</f>
        <v>Xã Xuân Hương</v>
      </c>
    </row>
    <row r="2726" spans="1:7" x14ac:dyDescent="0.25">
      <c r="A2726" s="2">
        <v>2725</v>
      </c>
      <c r="B2726" s="3" t="s">
        <v>17</v>
      </c>
      <c r="C2726" s="4" t="str">
        <f t="shared" si="236"/>
        <v>Bắc Giang</v>
      </c>
      <c r="D2726" s="3" t="s">
        <v>226</v>
      </c>
      <c r="E2726" s="4" t="str">
        <f t="shared" si="235"/>
        <v>Huyện Lạng Giang</v>
      </c>
      <c r="F2726" s="3" t="s">
        <v>3490</v>
      </c>
      <c r="G2726" s="4" t="str">
        <f>HYPERLINK("https://diaocthongthai.com/xa-tan-dinh-lang-giang/","Xã Tân Dĩnh")</f>
        <v>Xã Tân Dĩnh</v>
      </c>
    </row>
    <row r="2727" spans="1:7" x14ac:dyDescent="0.25">
      <c r="A2727" s="2">
        <v>2726</v>
      </c>
      <c r="B2727" s="3" t="s">
        <v>17</v>
      </c>
      <c r="C2727" s="4" t="str">
        <f t="shared" si="236"/>
        <v>Bắc Giang</v>
      </c>
      <c r="D2727" s="3" t="s">
        <v>226</v>
      </c>
      <c r="E2727" s="4" t="str">
        <f t="shared" si="235"/>
        <v>Huyện Lạng Giang</v>
      </c>
      <c r="F2727" s="3" t="s">
        <v>3491</v>
      </c>
      <c r="G2727" s="4" t="str">
        <f>HYPERLINK("https://diaocthongthai.com/xa-dai-lam-lang-giang/","Xã Đại Lâm")</f>
        <v>Xã Đại Lâm</v>
      </c>
    </row>
    <row r="2728" spans="1:7" x14ac:dyDescent="0.25">
      <c r="A2728" s="2">
        <v>2727</v>
      </c>
      <c r="B2728" s="3" t="s">
        <v>17</v>
      </c>
      <c r="C2728" s="4" t="str">
        <f t="shared" si="236"/>
        <v>Bắc Giang</v>
      </c>
      <c r="D2728" s="3" t="s">
        <v>226</v>
      </c>
      <c r="E2728" s="4" t="str">
        <f t="shared" si="235"/>
        <v>Huyện Lạng Giang</v>
      </c>
      <c r="F2728" s="3" t="s">
        <v>3492</v>
      </c>
      <c r="G2728" s="4" t="str">
        <f>HYPERLINK("https://diaocthongthai.com/xa-thai-dao-lang-giang/","Xã Thái Đào")</f>
        <v>Xã Thái Đào</v>
      </c>
    </row>
    <row r="2729" spans="1:7" x14ac:dyDescent="0.25">
      <c r="A2729" s="2">
        <v>2728</v>
      </c>
      <c r="B2729" s="3" t="s">
        <v>17</v>
      </c>
      <c r="C2729" s="4" t="str">
        <f t="shared" si="236"/>
        <v>Bắc Giang</v>
      </c>
      <c r="D2729" s="3" t="s">
        <v>227</v>
      </c>
      <c r="E2729" s="4" t="str">
        <f t="shared" ref="E2729:E2753" si="237">HYPERLINK("https://diaocthongthai.com/ban-do-huyen-luc-nam-bac-giang/","Huyện Lục Nam")</f>
        <v>Huyện Lục Nam</v>
      </c>
      <c r="F2729" s="3" t="s">
        <v>3493</v>
      </c>
      <c r="G2729" s="4" t="str">
        <f>HYPERLINK("https://diaocthongthai.com/thi-tran-doi-ngo-luc-nam/","Thị trấn Đồi Ngô")</f>
        <v>Thị trấn Đồi Ngô</v>
      </c>
    </row>
    <row r="2730" spans="1:7" x14ac:dyDescent="0.25">
      <c r="A2730" s="2">
        <v>2729</v>
      </c>
      <c r="B2730" s="3" t="s">
        <v>17</v>
      </c>
      <c r="C2730" s="4" t="str">
        <f t="shared" si="236"/>
        <v>Bắc Giang</v>
      </c>
      <c r="D2730" s="3" t="s">
        <v>227</v>
      </c>
      <c r="E2730" s="4" t="str">
        <f t="shared" si="237"/>
        <v>Huyện Lục Nam</v>
      </c>
      <c r="F2730" s="3" t="s">
        <v>3494</v>
      </c>
      <c r="G2730" s="4" t="str">
        <f>HYPERLINK("https://diaocthongthai.com/xa-dong-hung-luc-nam/","Xã Đông Hưng")</f>
        <v>Xã Đông Hưng</v>
      </c>
    </row>
    <row r="2731" spans="1:7" x14ac:dyDescent="0.25">
      <c r="A2731" s="2">
        <v>2730</v>
      </c>
      <c r="B2731" s="3" t="s">
        <v>17</v>
      </c>
      <c r="C2731" s="4" t="str">
        <f t="shared" si="236"/>
        <v>Bắc Giang</v>
      </c>
      <c r="D2731" s="3" t="s">
        <v>227</v>
      </c>
      <c r="E2731" s="4" t="str">
        <f t="shared" si="237"/>
        <v>Huyện Lục Nam</v>
      </c>
      <c r="F2731" s="3" t="s">
        <v>3495</v>
      </c>
      <c r="G2731" s="4" t="str">
        <f>HYPERLINK("https://diaocthongthai.com/xa-dong-phu-luc-nam/","Xã Đông Phú")</f>
        <v>Xã Đông Phú</v>
      </c>
    </row>
    <row r="2732" spans="1:7" x14ac:dyDescent="0.25">
      <c r="A2732" s="2">
        <v>2731</v>
      </c>
      <c r="B2732" s="3" t="s">
        <v>17</v>
      </c>
      <c r="C2732" s="4" t="str">
        <f t="shared" si="236"/>
        <v>Bắc Giang</v>
      </c>
      <c r="D2732" s="3" t="s">
        <v>227</v>
      </c>
      <c r="E2732" s="4" t="str">
        <f t="shared" si="237"/>
        <v>Huyện Lục Nam</v>
      </c>
      <c r="F2732" s="3" t="s">
        <v>3496</v>
      </c>
      <c r="G2732" s="4" t="str">
        <f>HYPERLINK("https://diaocthongthai.com/xa-tam-di-luc-nam/","Xã Tam Dị")</f>
        <v>Xã Tam Dị</v>
      </c>
    </row>
    <row r="2733" spans="1:7" x14ac:dyDescent="0.25">
      <c r="A2733" s="2">
        <v>2732</v>
      </c>
      <c r="B2733" s="3" t="s">
        <v>17</v>
      </c>
      <c r="C2733" s="4" t="str">
        <f t="shared" si="236"/>
        <v>Bắc Giang</v>
      </c>
      <c r="D2733" s="3" t="s">
        <v>227</v>
      </c>
      <c r="E2733" s="4" t="str">
        <f t="shared" si="237"/>
        <v>Huyện Lục Nam</v>
      </c>
      <c r="F2733" s="3" t="s">
        <v>3497</v>
      </c>
      <c r="G2733" s="4" t="str">
        <f>HYPERLINK("https://diaocthongthai.com/xa-bao-son-luc-nam/","Xã Bảo Sơn")</f>
        <v>Xã Bảo Sơn</v>
      </c>
    </row>
    <row r="2734" spans="1:7" x14ac:dyDescent="0.25">
      <c r="A2734" s="2">
        <v>2733</v>
      </c>
      <c r="B2734" s="3" t="s">
        <v>17</v>
      </c>
      <c r="C2734" s="4" t="str">
        <f t="shared" si="236"/>
        <v>Bắc Giang</v>
      </c>
      <c r="D2734" s="3" t="s">
        <v>227</v>
      </c>
      <c r="E2734" s="4" t="str">
        <f t="shared" si="237"/>
        <v>Huyện Lục Nam</v>
      </c>
      <c r="F2734" s="3" t="s">
        <v>3498</v>
      </c>
      <c r="G2734" s="4" t="str">
        <f>HYPERLINK("https://diaocthongthai.com/xa-bao-dai-luc-nam/","Xã Bảo Đài")</f>
        <v>Xã Bảo Đài</v>
      </c>
    </row>
    <row r="2735" spans="1:7" x14ac:dyDescent="0.25">
      <c r="A2735" s="2">
        <v>2734</v>
      </c>
      <c r="B2735" s="3" t="s">
        <v>17</v>
      </c>
      <c r="C2735" s="4" t="str">
        <f t="shared" si="236"/>
        <v>Bắc Giang</v>
      </c>
      <c r="D2735" s="3" t="s">
        <v>227</v>
      </c>
      <c r="E2735" s="4" t="str">
        <f t="shared" si="237"/>
        <v>Huyện Lục Nam</v>
      </c>
      <c r="F2735" s="3" t="s">
        <v>3499</v>
      </c>
      <c r="G2735" s="4" t="str">
        <f>HYPERLINK("https://diaocthongthai.com/xa-thanh-lam-luc-nam/","Xã Thanh Lâm")</f>
        <v>Xã Thanh Lâm</v>
      </c>
    </row>
    <row r="2736" spans="1:7" x14ac:dyDescent="0.25">
      <c r="A2736" s="2">
        <v>2735</v>
      </c>
      <c r="B2736" s="3" t="s">
        <v>17</v>
      </c>
      <c r="C2736" s="4" t="str">
        <f t="shared" si="236"/>
        <v>Bắc Giang</v>
      </c>
      <c r="D2736" s="3" t="s">
        <v>227</v>
      </c>
      <c r="E2736" s="4" t="str">
        <f t="shared" si="237"/>
        <v>Huyện Lục Nam</v>
      </c>
      <c r="F2736" s="3" t="s">
        <v>3500</v>
      </c>
      <c r="G2736" s="4" t="str">
        <f>HYPERLINK("https://diaocthongthai.com/xa-tien-nha-luc-nam/","Xã Tiên Nha")</f>
        <v>Xã Tiên Nha</v>
      </c>
    </row>
    <row r="2737" spans="1:7" x14ac:dyDescent="0.25">
      <c r="A2737" s="2">
        <v>2736</v>
      </c>
      <c r="B2737" s="3" t="s">
        <v>17</v>
      </c>
      <c r="C2737" s="4" t="str">
        <f t="shared" si="236"/>
        <v>Bắc Giang</v>
      </c>
      <c r="D2737" s="3" t="s">
        <v>227</v>
      </c>
      <c r="E2737" s="4" t="str">
        <f t="shared" si="237"/>
        <v>Huyện Lục Nam</v>
      </c>
      <c r="F2737" s="3" t="s">
        <v>3501</v>
      </c>
      <c r="G2737" s="4" t="str">
        <f>HYPERLINK("https://diaocthongthai.com/xa-truong-giang-luc-nam/","Xã Trường Giang")</f>
        <v>Xã Trường Giang</v>
      </c>
    </row>
    <row r="2738" spans="1:7" x14ac:dyDescent="0.25">
      <c r="A2738" s="2">
        <v>2737</v>
      </c>
      <c r="B2738" s="3" t="s">
        <v>17</v>
      </c>
      <c r="C2738" s="4" t="str">
        <f t="shared" si="236"/>
        <v>Bắc Giang</v>
      </c>
      <c r="D2738" s="3" t="s">
        <v>227</v>
      </c>
      <c r="E2738" s="4" t="str">
        <f t="shared" si="237"/>
        <v>Huyện Lục Nam</v>
      </c>
      <c r="F2738" s="3" t="s">
        <v>3502</v>
      </c>
      <c r="G2738" s="4" t="str">
        <f>HYPERLINK("https://diaocthongthai.com/xa-phuong-son-luc-nam/","Xã Phương Sơn")</f>
        <v>Xã Phương Sơn</v>
      </c>
    </row>
    <row r="2739" spans="1:7" x14ac:dyDescent="0.25">
      <c r="A2739" s="2">
        <v>2738</v>
      </c>
      <c r="B2739" s="3" t="s">
        <v>17</v>
      </c>
      <c r="C2739" s="4" t="str">
        <f t="shared" si="236"/>
        <v>Bắc Giang</v>
      </c>
      <c r="D2739" s="3" t="s">
        <v>227</v>
      </c>
      <c r="E2739" s="4" t="str">
        <f t="shared" si="237"/>
        <v>Huyện Lục Nam</v>
      </c>
      <c r="F2739" s="3" t="s">
        <v>3503</v>
      </c>
      <c r="G2739" s="4" t="str">
        <f>HYPERLINK("https://diaocthongthai.com/xa-chu-dien-luc-nam/","Xã Chu Điện")</f>
        <v>Xã Chu Điện</v>
      </c>
    </row>
    <row r="2740" spans="1:7" x14ac:dyDescent="0.25">
      <c r="A2740" s="2">
        <v>2739</v>
      </c>
      <c r="B2740" s="3" t="s">
        <v>17</v>
      </c>
      <c r="C2740" s="4" t="str">
        <f t="shared" si="236"/>
        <v>Bắc Giang</v>
      </c>
      <c r="D2740" s="3" t="s">
        <v>227</v>
      </c>
      <c r="E2740" s="4" t="str">
        <f t="shared" si="237"/>
        <v>Huyện Lục Nam</v>
      </c>
      <c r="F2740" s="3" t="s">
        <v>3504</v>
      </c>
      <c r="G2740" s="4" t="str">
        <f>HYPERLINK("https://diaocthongthai.com/xa-cuong-son-luc-nam/","Xã Cương Sơn")</f>
        <v>Xã Cương Sơn</v>
      </c>
    </row>
    <row r="2741" spans="1:7" x14ac:dyDescent="0.25">
      <c r="A2741" s="2">
        <v>2740</v>
      </c>
      <c r="B2741" s="3" t="s">
        <v>17</v>
      </c>
      <c r="C2741" s="4" t="str">
        <f t="shared" si="236"/>
        <v>Bắc Giang</v>
      </c>
      <c r="D2741" s="3" t="s">
        <v>227</v>
      </c>
      <c r="E2741" s="4" t="str">
        <f t="shared" si="237"/>
        <v>Huyện Lục Nam</v>
      </c>
      <c r="F2741" s="3" t="s">
        <v>3505</v>
      </c>
      <c r="G2741" s="4" t="str">
        <f>HYPERLINK("https://diaocthongthai.com/xa-nghia-phuong-luc-nam/","Xã Nghĩa Phương")</f>
        <v>Xã Nghĩa Phương</v>
      </c>
    </row>
    <row r="2742" spans="1:7" x14ac:dyDescent="0.25">
      <c r="A2742" s="2">
        <v>2741</v>
      </c>
      <c r="B2742" s="3" t="s">
        <v>17</v>
      </c>
      <c r="C2742" s="4" t="str">
        <f t="shared" si="236"/>
        <v>Bắc Giang</v>
      </c>
      <c r="D2742" s="3" t="s">
        <v>227</v>
      </c>
      <c r="E2742" s="4" t="str">
        <f t="shared" si="237"/>
        <v>Huyện Lục Nam</v>
      </c>
      <c r="F2742" s="3" t="s">
        <v>3506</v>
      </c>
      <c r="G2742" s="4" t="str">
        <f>HYPERLINK("https://diaocthongthai.com/xa-vo-tranh-luc-nam/","Xã Vô Tranh")</f>
        <v>Xã Vô Tranh</v>
      </c>
    </row>
    <row r="2743" spans="1:7" x14ac:dyDescent="0.25">
      <c r="A2743" s="2">
        <v>2742</v>
      </c>
      <c r="B2743" s="3" t="s">
        <v>17</v>
      </c>
      <c r="C2743" s="4" t="str">
        <f t="shared" si="236"/>
        <v>Bắc Giang</v>
      </c>
      <c r="D2743" s="3" t="s">
        <v>227</v>
      </c>
      <c r="E2743" s="4" t="str">
        <f t="shared" si="237"/>
        <v>Huyện Lục Nam</v>
      </c>
      <c r="F2743" s="3" t="s">
        <v>3507</v>
      </c>
      <c r="G2743" s="4" t="str">
        <f>HYPERLINK("https://diaocthongthai.com/xa-binh-son-luc-nam/","Xã Bình Sơn")</f>
        <v>Xã Bình Sơn</v>
      </c>
    </row>
    <row r="2744" spans="1:7" x14ac:dyDescent="0.25">
      <c r="A2744" s="2">
        <v>2743</v>
      </c>
      <c r="B2744" s="3" t="s">
        <v>17</v>
      </c>
      <c r="C2744" s="4" t="str">
        <f t="shared" si="236"/>
        <v>Bắc Giang</v>
      </c>
      <c r="D2744" s="3" t="s">
        <v>227</v>
      </c>
      <c r="E2744" s="4" t="str">
        <f t="shared" si="237"/>
        <v>Huyện Lục Nam</v>
      </c>
      <c r="F2744" s="3" t="s">
        <v>3508</v>
      </c>
      <c r="G2744" s="4" t="str">
        <f>HYPERLINK("https://diaocthongthai.com/xa-lan-mau-luc-nam/","Xã Lan Mẫu")</f>
        <v>Xã Lan Mẫu</v>
      </c>
    </row>
    <row r="2745" spans="1:7" x14ac:dyDescent="0.25">
      <c r="A2745" s="2">
        <v>2744</v>
      </c>
      <c r="B2745" s="3" t="s">
        <v>17</v>
      </c>
      <c r="C2745" s="4" t="str">
        <f t="shared" si="236"/>
        <v>Bắc Giang</v>
      </c>
      <c r="D2745" s="3" t="s">
        <v>227</v>
      </c>
      <c r="E2745" s="4" t="str">
        <f t="shared" si="237"/>
        <v>Huyện Lục Nam</v>
      </c>
      <c r="F2745" s="3" t="s">
        <v>3509</v>
      </c>
      <c r="G2745" s="4" t="str">
        <f>HYPERLINK("https://diaocthongthai.com/xa-yen-son-luc-nam/","Xã Yên Sơn")</f>
        <v>Xã Yên Sơn</v>
      </c>
    </row>
    <row r="2746" spans="1:7" x14ac:dyDescent="0.25">
      <c r="A2746" s="2">
        <v>2745</v>
      </c>
      <c r="B2746" s="3" t="s">
        <v>17</v>
      </c>
      <c r="C2746" s="4" t="str">
        <f t="shared" si="236"/>
        <v>Bắc Giang</v>
      </c>
      <c r="D2746" s="3" t="s">
        <v>227</v>
      </c>
      <c r="E2746" s="4" t="str">
        <f t="shared" si="237"/>
        <v>Huyện Lục Nam</v>
      </c>
      <c r="F2746" s="3" t="s">
        <v>3510</v>
      </c>
      <c r="G2746" s="4" t="str">
        <f>HYPERLINK("https://diaocthongthai.com/xa-kham-lang-luc-nam/","Xã Khám Lạng")</f>
        <v>Xã Khám Lạng</v>
      </c>
    </row>
    <row r="2747" spans="1:7" x14ac:dyDescent="0.25">
      <c r="A2747" s="2">
        <v>2746</v>
      </c>
      <c r="B2747" s="3" t="s">
        <v>17</v>
      </c>
      <c r="C2747" s="4" t="str">
        <f t="shared" si="236"/>
        <v>Bắc Giang</v>
      </c>
      <c r="D2747" s="3" t="s">
        <v>227</v>
      </c>
      <c r="E2747" s="4" t="str">
        <f t="shared" si="237"/>
        <v>Huyện Lục Nam</v>
      </c>
      <c r="F2747" s="3" t="s">
        <v>3511</v>
      </c>
      <c r="G2747" s="4" t="str">
        <f>HYPERLINK("https://diaocthongthai.com/xa-huyen-son-luc-nam/","Xã Huyền Sơn")</f>
        <v>Xã Huyền Sơn</v>
      </c>
    </row>
    <row r="2748" spans="1:7" x14ac:dyDescent="0.25">
      <c r="A2748" s="2">
        <v>2747</v>
      </c>
      <c r="B2748" s="3" t="s">
        <v>17</v>
      </c>
      <c r="C2748" s="4" t="str">
        <f t="shared" si="236"/>
        <v>Bắc Giang</v>
      </c>
      <c r="D2748" s="3" t="s">
        <v>227</v>
      </c>
      <c r="E2748" s="4" t="str">
        <f t="shared" si="237"/>
        <v>Huyện Lục Nam</v>
      </c>
      <c r="F2748" s="3" t="s">
        <v>3512</v>
      </c>
      <c r="G2748" s="4" t="str">
        <f>HYPERLINK("https://diaocthongthai.com/xa-truong-son-luc-nam/","Xã Trường Sơn")</f>
        <v>Xã Trường Sơn</v>
      </c>
    </row>
    <row r="2749" spans="1:7" x14ac:dyDescent="0.25">
      <c r="A2749" s="2">
        <v>2748</v>
      </c>
      <c r="B2749" s="3" t="s">
        <v>17</v>
      </c>
      <c r="C2749" s="4" t="str">
        <f t="shared" si="236"/>
        <v>Bắc Giang</v>
      </c>
      <c r="D2749" s="3" t="s">
        <v>227</v>
      </c>
      <c r="E2749" s="4" t="str">
        <f t="shared" si="237"/>
        <v>Huyện Lục Nam</v>
      </c>
      <c r="F2749" s="3" t="s">
        <v>3513</v>
      </c>
      <c r="G2749" s="4" t="str">
        <f>HYPERLINK("https://diaocthongthai.com/xa-luc-son-luc-nam/","Xã Lục Sơn")</f>
        <v>Xã Lục Sơn</v>
      </c>
    </row>
    <row r="2750" spans="1:7" x14ac:dyDescent="0.25">
      <c r="A2750" s="2">
        <v>2749</v>
      </c>
      <c r="B2750" s="3" t="s">
        <v>17</v>
      </c>
      <c r="C2750" s="4" t="str">
        <f t="shared" si="236"/>
        <v>Bắc Giang</v>
      </c>
      <c r="D2750" s="3" t="s">
        <v>227</v>
      </c>
      <c r="E2750" s="4" t="str">
        <f t="shared" si="237"/>
        <v>Huyện Lục Nam</v>
      </c>
      <c r="F2750" s="3" t="s">
        <v>3514</v>
      </c>
      <c r="G2750" s="4" t="str">
        <f>HYPERLINK("https://diaocthongthai.com/xa-bac-lung-luc-nam/","Xã Bắc Lũng")</f>
        <v>Xã Bắc Lũng</v>
      </c>
    </row>
    <row r="2751" spans="1:7" x14ac:dyDescent="0.25">
      <c r="A2751" s="2">
        <v>2750</v>
      </c>
      <c r="B2751" s="3" t="s">
        <v>17</v>
      </c>
      <c r="C2751" s="4" t="str">
        <f t="shared" si="236"/>
        <v>Bắc Giang</v>
      </c>
      <c r="D2751" s="3" t="s">
        <v>227</v>
      </c>
      <c r="E2751" s="4" t="str">
        <f t="shared" si="237"/>
        <v>Huyện Lục Nam</v>
      </c>
      <c r="F2751" s="3" t="s">
        <v>3515</v>
      </c>
      <c r="G2751" s="4" t="str">
        <f>HYPERLINK("https://diaocthongthai.com/xa-vu-xa-luc-nam/","Xã Vũ Xá")</f>
        <v>Xã Vũ Xá</v>
      </c>
    </row>
    <row r="2752" spans="1:7" x14ac:dyDescent="0.25">
      <c r="A2752" s="2">
        <v>2751</v>
      </c>
      <c r="B2752" s="3" t="s">
        <v>17</v>
      </c>
      <c r="C2752" s="4" t="str">
        <f t="shared" si="236"/>
        <v>Bắc Giang</v>
      </c>
      <c r="D2752" s="3" t="s">
        <v>227</v>
      </c>
      <c r="E2752" s="4" t="str">
        <f t="shared" si="237"/>
        <v>Huyện Lục Nam</v>
      </c>
      <c r="F2752" s="3" t="s">
        <v>3516</v>
      </c>
      <c r="G2752" s="4" t="str">
        <f>HYPERLINK("https://diaocthongthai.com/xa-cam-ly-luc-nam/","Xã Cẩm Lý")</f>
        <v>Xã Cẩm Lý</v>
      </c>
    </row>
    <row r="2753" spans="1:7" x14ac:dyDescent="0.25">
      <c r="A2753" s="2">
        <v>2752</v>
      </c>
      <c r="B2753" s="3" t="s">
        <v>17</v>
      </c>
      <c r="C2753" s="4" t="str">
        <f t="shared" si="236"/>
        <v>Bắc Giang</v>
      </c>
      <c r="D2753" s="3" t="s">
        <v>227</v>
      </c>
      <c r="E2753" s="4" t="str">
        <f t="shared" si="237"/>
        <v>Huyện Lục Nam</v>
      </c>
      <c r="F2753" s="3" t="s">
        <v>3517</v>
      </c>
      <c r="G2753" s="4" t="str">
        <f>HYPERLINK("https://diaocthongthai.com/xa-dan-hoi-luc-nam/","Xã Đan Hội")</f>
        <v>Xã Đan Hội</v>
      </c>
    </row>
    <row r="2754" spans="1:7" x14ac:dyDescent="0.25">
      <c r="A2754" s="2">
        <v>2753</v>
      </c>
      <c r="B2754" s="3" t="s">
        <v>17</v>
      </c>
      <c r="C2754" s="4" t="str">
        <f t="shared" si="236"/>
        <v>Bắc Giang</v>
      </c>
      <c r="D2754" s="3" t="s">
        <v>228</v>
      </c>
      <c r="E2754" s="4" t="str">
        <f t="shared" ref="E2754:E2782" si="238">HYPERLINK("https://diaocthongthai.com/ban-do-huyen-luc-ngan-bac-giang/","Huyện Lục Ngạn")</f>
        <v>Huyện Lục Ngạn</v>
      </c>
      <c r="F2754" s="3" t="s">
        <v>3518</v>
      </c>
      <c r="G2754" s="4" t="str">
        <f>HYPERLINK("https://diaocthongthai.com/thi-tran-chu-luc-ngan/","Thị trấn Chũ")</f>
        <v>Thị trấn Chũ</v>
      </c>
    </row>
    <row r="2755" spans="1:7" x14ac:dyDescent="0.25">
      <c r="A2755" s="2">
        <v>2754</v>
      </c>
      <c r="B2755" s="3" t="s">
        <v>17</v>
      </c>
      <c r="C2755" s="4" t="str">
        <f t="shared" si="236"/>
        <v>Bắc Giang</v>
      </c>
      <c r="D2755" s="3" t="s">
        <v>228</v>
      </c>
      <c r="E2755" s="4" t="str">
        <f t="shared" si="238"/>
        <v>Huyện Lục Ngạn</v>
      </c>
      <c r="F2755" s="3" t="s">
        <v>3519</v>
      </c>
      <c r="G2755" s="4" t="str">
        <f>HYPERLINK("https://diaocthongthai.com/xa-cam-son-luc-ngan/","Xã Cấm Sơn")</f>
        <v>Xã Cấm Sơn</v>
      </c>
    </row>
    <row r="2756" spans="1:7" x14ac:dyDescent="0.25">
      <c r="A2756" s="2">
        <v>2755</v>
      </c>
      <c r="B2756" s="3" t="s">
        <v>17</v>
      </c>
      <c r="C2756" s="4" t="str">
        <f t="shared" si="236"/>
        <v>Bắc Giang</v>
      </c>
      <c r="D2756" s="3" t="s">
        <v>228</v>
      </c>
      <c r="E2756" s="4" t="str">
        <f t="shared" si="238"/>
        <v>Huyện Lục Ngạn</v>
      </c>
      <c r="F2756" s="3" t="s">
        <v>3520</v>
      </c>
      <c r="G2756" s="4" t="str">
        <f>HYPERLINK("https://diaocthongthai.com/xa-tan-son-luc-ngan/","Xã Tân Sơn")</f>
        <v>Xã Tân Sơn</v>
      </c>
    </row>
    <row r="2757" spans="1:7" x14ac:dyDescent="0.25">
      <c r="A2757" s="2">
        <v>2756</v>
      </c>
      <c r="B2757" s="3" t="s">
        <v>17</v>
      </c>
      <c r="C2757" s="4" t="str">
        <f t="shared" si="236"/>
        <v>Bắc Giang</v>
      </c>
      <c r="D2757" s="3" t="s">
        <v>228</v>
      </c>
      <c r="E2757" s="4" t="str">
        <f t="shared" si="238"/>
        <v>Huyện Lục Ngạn</v>
      </c>
      <c r="F2757" s="3" t="s">
        <v>3521</v>
      </c>
      <c r="G2757" s="4" t="str">
        <f>HYPERLINK("https://diaocthongthai.com/xa-phong-minh-luc-ngan/","Xã Phong Minh")</f>
        <v>Xã Phong Minh</v>
      </c>
    </row>
    <row r="2758" spans="1:7" x14ac:dyDescent="0.25">
      <c r="A2758" s="2">
        <v>2757</v>
      </c>
      <c r="B2758" s="3" t="s">
        <v>17</v>
      </c>
      <c r="C2758" s="4" t="str">
        <f t="shared" si="236"/>
        <v>Bắc Giang</v>
      </c>
      <c r="D2758" s="3" t="s">
        <v>228</v>
      </c>
      <c r="E2758" s="4" t="str">
        <f t="shared" si="238"/>
        <v>Huyện Lục Ngạn</v>
      </c>
      <c r="F2758" s="3" t="s">
        <v>3522</v>
      </c>
      <c r="G2758" s="4" t="str">
        <f>HYPERLINK("https://diaocthongthai.com/xa-phong-van-luc-ngan/","Xã Phong Vân")</f>
        <v>Xã Phong Vân</v>
      </c>
    </row>
    <row r="2759" spans="1:7" x14ac:dyDescent="0.25">
      <c r="A2759" s="2">
        <v>2758</v>
      </c>
      <c r="B2759" s="3" t="s">
        <v>17</v>
      </c>
      <c r="C2759" s="4" t="str">
        <f t="shared" si="236"/>
        <v>Bắc Giang</v>
      </c>
      <c r="D2759" s="3" t="s">
        <v>228</v>
      </c>
      <c r="E2759" s="4" t="str">
        <f t="shared" si="238"/>
        <v>Huyện Lục Ngạn</v>
      </c>
      <c r="F2759" s="3" t="s">
        <v>3523</v>
      </c>
      <c r="G2759" s="4" t="str">
        <f>HYPERLINK("https://diaocthongthai.com/xa-sa-ly-luc-ngan/","Xã Xa Lý")</f>
        <v>Xã Xa Lý</v>
      </c>
    </row>
    <row r="2760" spans="1:7" x14ac:dyDescent="0.25">
      <c r="A2760" s="2">
        <v>2759</v>
      </c>
      <c r="B2760" s="3" t="s">
        <v>17</v>
      </c>
      <c r="C2760" s="4" t="str">
        <f t="shared" si="236"/>
        <v>Bắc Giang</v>
      </c>
      <c r="D2760" s="3" t="s">
        <v>228</v>
      </c>
      <c r="E2760" s="4" t="str">
        <f t="shared" si="238"/>
        <v>Huyện Lục Ngạn</v>
      </c>
      <c r="F2760" s="3" t="s">
        <v>3524</v>
      </c>
      <c r="G2760" s="4" t="str">
        <f>HYPERLINK("https://diaocthongthai.com/xa-ho-dap-luc-ngan/","Xã Hộ Đáp")</f>
        <v>Xã Hộ Đáp</v>
      </c>
    </row>
    <row r="2761" spans="1:7" x14ac:dyDescent="0.25">
      <c r="A2761" s="2">
        <v>2760</v>
      </c>
      <c r="B2761" s="3" t="s">
        <v>17</v>
      </c>
      <c r="C2761" s="4" t="str">
        <f t="shared" si="236"/>
        <v>Bắc Giang</v>
      </c>
      <c r="D2761" s="3" t="s">
        <v>228</v>
      </c>
      <c r="E2761" s="4" t="str">
        <f t="shared" si="238"/>
        <v>Huyện Lục Ngạn</v>
      </c>
      <c r="F2761" s="3" t="s">
        <v>3525</v>
      </c>
      <c r="G2761" s="4" t="str">
        <f>HYPERLINK("https://diaocthongthai.com/xa-son-hai-luc-ngan/","Xã Sơn Hải")</f>
        <v>Xã Sơn Hải</v>
      </c>
    </row>
    <row r="2762" spans="1:7" x14ac:dyDescent="0.25">
      <c r="A2762" s="2">
        <v>2761</v>
      </c>
      <c r="B2762" s="3" t="s">
        <v>17</v>
      </c>
      <c r="C2762" s="4" t="str">
        <f t="shared" si="236"/>
        <v>Bắc Giang</v>
      </c>
      <c r="D2762" s="3" t="s">
        <v>228</v>
      </c>
      <c r="E2762" s="4" t="str">
        <f t="shared" si="238"/>
        <v>Huyện Lục Ngạn</v>
      </c>
      <c r="F2762" s="3" t="s">
        <v>3526</v>
      </c>
      <c r="G2762" s="4" t="str">
        <f>HYPERLINK("https://diaocthongthai.com/xa-thanh-hai-luc-ngan/","Xã Thanh Hải")</f>
        <v>Xã Thanh Hải</v>
      </c>
    </row>
    <row r="2763" spans="1:7" x14ac:dyDescent="0.25">
      <c r="A2763" s="2">
        <v>2762</v>
      </c>
      <c r="B2763" s="3" t="s">
        <v>17</v>
      </c>
      <c r="C2763" s="4" t="str">
        <f t="shared" si="236"/>
        <v>Bắc Giang</v>
      </c>
      <c r="D2763" s="3" t="s">
        <v>228</v>
      </c>
      <c r="E2763" s="4" t="str">
        <f t="shared" si="238"/>
        <v>Huyện Lục Ngạn</v>
      </c>
      <c r="F2763" s="3" t="s">
        <v>3527</v>
      </c>
      <c r="G2763" s="4" t="str">
        <f>HYPERLINK("https://diaocthongthai.com/xa-kien-lao-luc-ngan/","Xã Kiên Lao")</f>
        <v>Xã Kiên Lao</v>
      </c>
    </row>
    <row r="2764" spans="1:7" x14ac:dyDescent="0.25">
      <c r="A2764" s="2">
        <v>2763</v>
      </c>
      <c r="B2764" s="3" t="s">
        <v>17</v>
      </c>
      <c r="C2764" s="4" t="str">
        <f t="shared" si="236"/>
        <v>Bắc Giang</v>
      </c>
      <c r="D2764" s="3" t="s">
        <v>228</v>
      </c>
      <c r="E2764" s="4" t="str">
        <f t="shared" si="238"/>
        <v>Huyện Lục Ngạn</v>
      </c>
      <c r="F2764" s="3" t="s">
        <v>3528</v>
      </c>
      <c r="G2764" s="4" t="str">
        <f>HYPERLINK("https://diaocthongthai.com/xa-bien-son-luc-ngan/","Xã Biên Sơn")</f>
        <v>Xã Biên Sơn</v>
      </c>
    </row>
    <row r="2765" spans="1:7" x14ac:dyDescent="0.25">
      <c r="A2765" s="2">
        <v>2764</v>
      </c>
      <c r="B2765" s="3" t="s">
        <v>17</v>
      </c>
      <c r="C2765" s="4" t="str">
        <f t="shared" si="236"/>
        <v>Bắc Giang</v>
      </c>
      <c r="D2765" s="3" t="s">
        <v>228</v>
      </c>
      <c r="E2765" s="4" t="str">
        <f t="shared" si="238"/>
        <v>Huyện Lục Ngạn</v>
      </c>
      <c r="F2765" s="3" t="s">
        <v>3529</v>
      </c>
      <c r="G2765" s="4" t="str">
        <f>HYPERLINK("https://diaocthongthai.com/xa-kien-thanh-luc-ngan/","Xã Kiên Thành")</f>
        <v>Xã Kiên Thành</v>
      </c>
    </row>
    <row r="2766" spans="1:7" x14ac:dyDescent="0.25">
      <c r="A2766" s="2">
        <v>2765</v>
      </c>
      <c r="B2766" s="3" t="s">
        <v>17</v>
      </c>
      <c r="C2766" s="4" t="str">
        <f t="shared" si="236"/>
        <v>Bắc Giang</v>
      </c>
      <c r="D2766" s="3" t="s">
        <v>228</v>
      </c>
      <c r="E2766" s="4" t="str">
        <f t="shared" si="238"/>
        <v>Huyện Lục Ngạn</v>
      </c>
      <c r="F2766" s="3" t="s">
        <v>3530</v>
      </c>
      <c r="G2766" s="4" t="str">
        <f>HYPERLINK("https://diaocthongthai.com/xa-hong-giang-luc-ngan/","Xã Hồng Giang")</f>
        <v>Xã Hồng Giang</v>
      </c>
    </row>
    <row r="2767" spans="1:7" x14ac:dyDescent="0.25">
      <c r="A2767" s="2">
        <v>2766</v>
      </c>
      <c r="B2767" s="3" t="s">
        <v>17</v>
      </c>
      <c r="C2767" s="4" t="str">
        <f t="shared" si="236"/>
        <v>Bắc Giang</v>
      </c>
      <c r="D2767" s="3" t="s">
        <v>228</v>
      </c>
      <c r="E2767" s="4" t="str">
        <f t="shared" si="238"/>
        <v>Huyện Lục Ngạn</v>
      </c>
      <c r="F2767" s="3" t="s">
        <v>3531</v>
      </c>
      <c r="G2767" s="4" t="str">
        <f>HYPERLINK("https://diaocthongthai.com/xa-kim-son-luc-ngan/","Xã Kim Sơn")</f>
        <v>Xã Kim Sơn</v>
      </c>
    </row>
    <row r="2768" spans="1:7" x14ac:dyDescent="0.25">
      <c r="A2768" s="2">
        <v>2767</v>
      </c>
      <c r="B2768" s="3" t="s">
        <v>17</v>
      </c>
      <c r="C2768" s="4" t="str">
        <f t="shared" si="236"/>
        <v>Bắc Giang</v>
      </c>
      <c r="D2768" s="3" t="s">
        <v>228</v>
      </c>
      <c r="E2768" s="4" t="str">
        <f t="shared" si="238"/>
        <v>Huyện Lục Ngạn</v>
      </c>
      <c r="F2768" s="3" t="s">
        <v>3532</v>
      </c>
      <c r="G2768" s="4" t="str">
        <f>HYPERLINK("https://diaocthongthai.com/xa-tan-hoa-luc-ngan/","Xã Tân Hoa")</f>
        <v>Xã Tân Hoa</v>
      </c>
    </row>
    <row r="2769" spans="1:7" x14ac:dyDescent="0.25">
      <c r="A2769" s="2">
        <v>2768</v>
      </c>
      <c r="B2769" s="3" t="s">
        <v>17</v>
      </c>
      <c r="C2769" s="4" t="str">
        <f t="shared" si="236"/>
        <v>Bắc Giang</v>
      </c>
      <c r="D2769" s="3" t="s">
        <v>228</v>
      </c>
      <c r="E2769" s="4" t="str">
        <f t="shared" si="238"/>
        <v>Huyện Lục Ngạn</v>
      </c>
      <c r="F2769" s="3" t="s">
        <v>3533</v>
      </c>
      <c r="G2769" s="4" t="str">
        <f>HYPERLINK("https://diaocthongthai.com/xa-giap-son-luc-ngan/","Xã Giáp Sơn")</f>
        <v>Xã Giáp Sơn</v>
      </c>
    </row>
    <row r="2770" spans="1:7" x14ac:dyDescent="0.25">
      <c r="A2770" s="2">
        <v>2769</v>
      </c>
      <c r="B2770" s="3" t="s">
        <v>17</v>
      </c>
      <c r="C2770" s="4" t="str">
        <f t="shared" si="236"/>
        <v>Bắc Giang</v>
      </c>
      <c r="D2770" s="3" t="s">
        <v>228</v>
      </c>
      <c r="E2770" s="4" t="str">
        <f t="shared" si="238"/>
        <v>Huyện Lục Ngạn</v>
      </c>
      <c r="F2770" s="3" t="s">
        <v>3534</v>
      </c>
      <c r="G2770" s="4" t="str">
        <f>HYPERLINK("https://diaocthongthai.com/xa-bien-dong-luc-ngan/","Xã Biển Động")</f>
        <v>Xã Biển Động</v>
      </c>
    </row>
    <row r="2771" spans="1:7" x14ac:dyDescent="0.25">
      <c r="A2771" s="2">
        <v>2770</v>
      </c>
      <c r="B2771" s="3" t="s">
        <v>17</v>
      </c>
      <c r="C2771" s="4" t="str">
        <f t="shared" si="236"/>
        <v>Bắc Giang</v>
      </c>
      <c r="D2771" s="3" t="s">
        <v>228</v>
      </c>
      <c r="E2771" s="4" t="str">
        <f t="shared" si="238"/>
        <v>Huyện Lục Ngạn</v>
      </c>
      <c r="F2771" s="3" t="s">
        <v>3535</v>
      </c>
      <c r="G2771" s="4" t="str">
        <f>HYPERLINK("https://diaocthongthai.com/xa-quy-son-luc-ngan/","Xã Quý Sơn")</f>
        <v>Xã Quý Sơn</v>
      </c>
    </row>
    <row r="2772" spans="1:7" x14ac:dyDescent="0.25">
      <c r="A2772" s="2">
        <v>2771</v>
      </c>
      <c r="B2772" s="3" t="s">
        <v>17</v>
      </c>
      <c r="C2772" s="4" t="str">
        <f t="shared" si="236"/>
        <v>Bắc Giang</v>
      </c>
      <c r="D2772" s="3" t="s">
        <v>228</v>
      </c>
      <c r="E2772" s="4" t="str">
        <f t="shared" si="238"/>
        <v>Huyện Lục Ngạn</v>
      </c>
      <c r="F2772" s="3" t="s">
        <v>3536</v>
      </c>
      <c r="G2772" s="4" t="str">
        <f>HYPERLINK("https://diaocthongthai.com/xa-tru-huu-luc-ngan/","Xã Trù Hựu")</f>
        <v>Xã Trù Hựu</v>
      </c>
    </row>
    <row r="2773" spans="1:7" x14ac:dyDescent="0.25">
      <c r="A2773" s="2">
        <v>2772</v>
      </c>
      <c r="B2773" s="3" t="s">
        <v>17</v>
      </c>
      <c r="C2773" s="4" t="str">
        <f t="shared" si="236"/>
        <v>Bắc Giang</v>
      </c>
      <c r="D2773" s="3" t="s">
        <v>228</v>
      </c>
      <c r="E2773" s="4" t="str">
        <f t="shared" si="238"/>
        <v>Huyện Lục Ngạn</v>
      </c>
      <c r="F2773" s="3" t="s">
        <v>3537</v>
      </c>
      <c r="G2773" s="4" t="str">
        <f>HYPERLINK("https://diaocthongthai.com/xa-phi-dien-luc-ngan/","Xã Phì Điền")</f>
        <v>Xã Phì Điền</v>
      </c>
    </row>
    <row r="2774" spans="1:7" x14ac:dyDescent="0.25">
      <c r="A2774" s="2">
        <v>2773</v>
      </c>
      <c r="B2774" s="3" t="s">
        <v>17</v>
      </c>
      <c r="C2774" s="4" t="str">
        <f t="shared" si="236"/>
        <v>Bắc Giang</v>
      </c>
      <c r="D2774" s="3" t="s">
        <v>228</v>
      </c>
      <c r="E2774" s="4" t="str">
        <f t="shared" si="238"/>
        <v>Huyện Lục Ngạn</v>
      </c>
      <c r="F2774" s="3" t="s">
        <v>3538</v>
      </c>
      <c r="G2774" s="4" t="str">
        <f>HYPERLINK("https://diaocthongthai.com/xa-tan-quang-luc-ngan/","Xã Tân Quang")</f>
        <v>Xã Tân Quang</v>
      </c>
    </row>
    <row r="2775" spans="1:7" x14ac:dyDescent="0.25">
      <c r="A2775" s="2">
        <v>2774</v>
      </c>
      <c r="B2775" s="3" t="s">
        <v>17</v>
      </c>
      <c r="C2775" s="4" t="str">
        <f t="shared" si="236"/>
        <v>Bắc Giang</v>
      </c>
      <c r="D2775" s="3" t="s">
        <v>228</v>
      </c>
      <c r="E2775" s="4" t="str">
        <f t="shared" si="238"/>
        <v>Huyện Lục Ngạn</v>
      </c>
      <c r="F2775" s="3" t="s">
        <v>3539</v>
      </c>
      <c r="G2775" s="4" t="str">
        <f>HYPERLINK("https://diaocthongthai.com/xa-dong-coc-luc-ngan/","Xã Đồng Cốc")</f>
        <v>Xã Đồng Cốc</v>
      </c>
    </row>
    <row r="2776" spans="1:7" x14ac:dyDescent="0.25">
      <c r="A2776" s="2">
        <v>2775</v>
      </c>
      <c r="B2776" s="3" t="s">
        <v>17</v>
      </c>
      <c r="C2776" s="4" t="str">
        <f t="shared" si="236"/>
        <v>Bắc Giang</v>
      </c>
      <c r="D2776" s="3" t="s">
        <v>228</v>
      </c>
      <c r="E2776" s="4" t="str">
        <f t="shared" si="238"/>
        <v>Huyện Lục Ngạn</v>
      </c>
      <c r="F2776" s="3" t="s">
        <v>3540</v>
      </c>
      <c r="G2776" s="4" t="str">
        <f>HYPERLINK("https://diaocthongthai.com/xa-tan-lap-luc-ngan/","Xã Tân Lập")</f>
        <v>Xã Tân Lập</v>
      </c>
    </row>
    <row r="2777" spans="1:7" x14ac:dyDescent="0.25">
      <c r="A2777" s="2">
        <v>2776</v>
      </c>
      <c r="B2777" s="3" t="s">
        <v>17</v>
      </c>
      <c r="C2777" s="4" t="str">
        <f t="shared" si="236"/>
        <v>Bắc Giang</v>
      </c>
      <c r="D2777" s="3" t="s">
        <v>228</v>
      </c>
      <c r="E2777" s="4" t="str">
        <f t="shared" si="238"/>
        <v>Huyện Lục Ngạn</v>
      </c>
      <c r="F2777" s="3" t="s">
        <v>3541</v>
      </c>
      <c r="G2777" s="4" t="str">
        <f>HYPERLINK("https://diaocthongthai.com/xa-phu-nhuan-luc-ngan/","Xã Phú Nhuận")</f>
        <v>Xã Phú Nhuận</v>
      </c>
    </row>
    <row r="2778" spans="1:7" x14ac:dyDescent="0.25">
      <c r="A2778" s="2">
        <v>2777</v>
      </c>
      <c r="B2778" s="3" t="s">
        <v>17</v>
      </c>
      <c r="C2778" s="4" t="str">
        <f t="shared" si="236"/>
        <v>Bắc Giang</v>
      </c>
      <c r="D2778" s="3" t="s">
        <v>228</v>
      </c>
      <c r="E2778" s="4" t="str">
        <f t="shared" si="238"/>
        <v>Huyện Lục Ngạn</v>
      </c>
      <c r="F2778" s="3" t="s">
        <v>3542</v>
      </c>
      <c r="G2778" s="4" t="str">
        <f>HYPERLINK("https://diaocthongthai.com/xa-my-an-luc-ngan/","Xã Mỹ An")</f>
        <v>Xã Mỹ An</v>
      </c>
    </row>
    <row r="2779" spans="1:7" x14ac:dyDescent="0.25">
      <c r="A2779" s="2">
        <v>2778</v>
      </c>
      <c r="B2779" s="3" t="s">
        <v>17</v>
      </c>
      <c r="C2779" s="4" t="str">
        <f t="shared" ref="C2779:C2842" si="239">HYPERLINK("https://diaocthongthai.com/ban-do-bac-giang/","Bắc Giang")</f>
        <v>Bắc Giang</v>
      </c>
      <c r="D2779" s="3" t="s">
        <v>228</v>
      </c>
      <c r="E2779" s="4" t="str">
        <f t="shared" si="238"/>
        <v>Huyện Lục Ngạn</v>
      </c>
      <c r="F2779" s="3" t="s">
        <v>3543</v>
      </c>
      <c r="G2779" s="4" t="str">
        <f>HYPERLINK("https://diaocthongthai.com/xa-nam-duong-luc-ngan/","Xã Nam Dương")</f>
        <v>Xã Nam Dương</v>
      </c>
    </row>
    <row r="2780" spans="1:7" x14ac:dyDescent="0.25">
      <c r="A2780" s="2">
        <v>2779</v>
      </c>
      <c r="B2780" s="3" t="s">
        <v>17</v>
      </c>
      <c r="C2780" s="4" t="str">
        <f t="shared" si="239"/>
        <v>Bắc Giang</v>
      </c>
      <c r="D2780" s="3" t="s">
        <v>228</v>
      </c>
      <c r="E2780" s="4" t="str">
        <f t="shared" si="238"/>
        <v>Huyện Lục Ngạn</v>
      </c>
      <c r="F2780" s="3" t="s">
        <v>3544</v>
      </c>
      <c r="G2780" s="4" t="str">
        <f>HYPERLINK("https://diaocthongthai.com/xa-tan-moc-luc-ngan/","Xã Tân Mộc")</f>
        <v>Xã Tân Mộc</v>
      </c>
    </row>
    <row r="2781" spans="1:7" x14ac:dyDescent="0.25">
      <c r="A2781" s="2">
        <v>2780</v>
      </c>
      <c r="B2781" s="3" t="s">
        <v>17</v>
      </c>
      <c r="C2781" s="4" t="str">
        <f t="shared" si="239"/>
        <v>Bắc Giang</v>
      </c>
      <c r="D2781" s="3" t="s">
        <v>228</v>
      </c>
      <c r="E2781" s="4" t="str">
        <f t="shared" si="238"/>
        <v>Huyện Lục Ngạn</v>
      </c>
      <c r="F2781" s="3" t="s">
        <v>3545</v>
      </c>
      <c r="G2781" s="4" t="str">
        <f>HYPERLINK("https://diaocthongthai.com/xa-deo-gia-luc-ngan/","Xã Đèo Gia")</f>
        <v>Xã Đèo Gia</v>
      </c>
    </row>
    <row r="2782" spans="1:7" x14ac:dyDescent="0.25">
      <c r="A2782" s="2">
        <v>2781</v>
      </c>
      <c r="B2782" s="3" t="s">
        <v>17</v>
      </c>
      <c r="C2782" s="4" t="str">
        <f t="shared" si="239"/>
        <v>Bắc Giang</v>
      </c>
      <c r="D2782" s="3" t="s">
        <v>228</v>
      </c>
      <c r="E2782" s="4" t="str">
        <f t="shared" si="238"/>
        <v>Huyện Lục Ngạn</v>
      </c>
      <c r="F2782" s="3" t="s">
        <v>3546</v>
      </c>
      <c r="G2782" s="4" t="str">
        <f>HYPERLINK("https://diaocthongthai.com/xa-phuong-son-luc-ngan/","Xã Phượng Sơn")</f>
        <v>Xã Phượng Sơn</v>
      </c>
    </row>
    <row r="2783" spans="1:7" x14ac:dyDescent="0.25">
      <c r="A2783" s="2">
        <v>2782</v>
      </c>
      <c r="B2783" s="3" t="s">
        <v>17</v>
      </c>
      <c r="C2783" s="4" t="str">
        <f t="shared" si="239"/>
        <v>Bắc Giang</v>
      </c>
      <c r="D2783" s="3" t="s">
        <v>229</v>
      </c>
      <c r="E2783" s="4" t="str">
        <f t="shared" ref="E2783:E2799" si="240">HYPERLINK("https://diaocthongthai.com/ban-do-huyen-son-dong-bac-giang/","Huyện Sơn Động")</f>
        <v>Huyện Sơn Động</v>
      </c>
      <c r="F2783" s="3" t="s">
        <v>3547</v>
      </c>
      <c r="G2783" s="4" t="str">
        <f>HYPERLINK("https://diaocthongthai.com/thi-tran-an-chau-son-dong/","Thị trấn An Châu")</f>
        <v>Thị trấn An Châu</v>
      </c>
    </row>
    <row r="2784" spans="1:7" x14ac:dyDescent="0.25">
      <c r="A2784" s="2">
        <v>2783</v>
      </c>
      <c r="B2784" s="3" t="s">
        <v>17</v>
      </c>
      <c r="C2784" s="4" t="str">
        <f t="shared" si="239"/>
        <v>Bắc Giang</v>
      </c>
      <c r="D2784" s="3" t="s">
        <v>229</v>
      </c>
      <c r="E2784" s="4" t="str">
        <f t="shared" si="240"/>
        <v>Huyện Sơn Động</v>
      </c>
      <c r="F2784" s="3" t="s">
        <v>3548</v>
      </c>
      <c r="G2784" s="4" t="str">
        <f>HYPERLINK("https://diaocthongthai.com/thi-tran-tay-yen-tu-son-dong/","Thị trấn Tây Yên Tử")</f>
        <v>Thị trấn Tây Yên Tử</v>
      </c>
    </row>
    <row r="2785" spans="1:7" x14ac:dyDescent="0.25">
      <c r="A2785" s="2">
        <v>2784</v>
      </c>
      <c r="B2785" s="3" t="s">
        <v>17</v>
      </c>
      <c r="C2785" s="4" t="str">
        <f t="shared" si="239"/>
        <v>Bắc Giang</v>
      </c>
      <c r="D2785" s="3" t="s">
        <v>229</v>
      </c>
      <c r="E2785" s="4" t="str">
        <f t="shared" si="240"/>
        <v>Huyện Sơn Động</v>
      </c>
      <c r="F2785" s="3" t="s">
        <v>3549</v>
      </c>
      <c r="G2785" s="4" t="str">
        <f>HYPERLINK("https://diaocthongthai.com/xa-van-son-son-dong/","Xã Vân Sơn")</f>
        <v>Xã Vân Sơn</v>
      </c>
    </row>
    <row r="2786" spans="1:7" x14ac:dyDescent="0.25">
      <c r="A2786" s="2">
        <v>2785</v>
      </c>
      <c r="B2786" s="3" t="s">
        <v>17</v>
      </c>
      <c r="C2786" s="4" t="str">
        <f t="shared" si="239"/>
        <v>Bắc Giang</v>
      </c>
      <c r="D2786" s="3" t="s">
        <v>229</v>
      </c>
      <c r="E2786" s="4" t="str">
        <f t="shared" si="240"/>
        <v>Huyện Sơn Động</v>
      </c>
      <c r="F2786" s="3" t="s">
        <v>3550</v>
      </c>
      <c r="G2786" s="4" t="str">
        <f>HYPERLINK("https://diaocthongthai.com/xa-huu-san-son-dong/","Xã Hữu Sản")</f>
        <v>Xã Hữu Sản</v>
      </c>
    </row>
    <row r="2787" spans="1:7" x14ac:dyDescent="0.25">
      <c r="A2787" s="2">
        <v>2786</v>
      </c>
      <c r="B2787" s="3" t="s">
        <v>17</v>
      </c>
      <c r="C2787" s="4" t="str">
        <f t="shared" si="239"/>
        <v>Bắc Giang</v>
      </c>
      <c r="D2787" s="3" t="s">
        <v>229</v>
      </c>
      <c r="E2787" s="4" t="str">
        <f t="shared" si="240"/>
        <v>Huyện Sơn Động</v>
      </c>
      <c r="F2787" s="3" t="s">
        <v>3551</v>
      </c>
      <c r="G2787" s="4" t="str">
        <f>HYPERLINK("https://diaocthongthai.com/xa-dai-son-son-dong/","Xã Đại Sơn")</f>
        <v>Xã Đại Sơn</v>
      </c>
    </row>
    <row r="2788" spans="1:7" x14ac:dyDescent="0.25">
      <c r="A2788" s="2">
        <v>2787</v>
      </c>
      <c r="B2788" s="3" t="s">
        <v>17</v>
      </c>
      <c r="C2788" s="4" t="str">
        <f t="shared" si="239"/>
        <v>Bắc Giang</v>
      </c>
      <c r="D2788" s="3" t="s">
        <v>229</v>
      </c>
      <c r="E2788" s="4" t="str">
        <f t="shared" si="240"/>
        <v>Huyện Sơn Động</v>
      </c>
      <c r="F2788" s="3" t="s">
        <v>3552</v>
      </c>
      <c r="G2788" s="4" t="str">
        <f>HYPERLINK("https://diaocthongthai.com/xa-phuc-son-son-dong/","Xã Phúc Sơn")</f>
        <v>Xã Phúc Sơn</v>
      </c>
    </row>
    <row r="2789" spans="1:7" x14ac:dyDescent="0.25">
      <c r="A2789" s="2">
        <v>2788</v>
      </c>
      <c r="B2789" s="3" t="s">
        <v>17</v>
      </c>
      <c r="C2789" s="4" t="str">
        <f t="shared" si="239"/>
        <v>Bắc Giang</v>
      </c>
      <c r="D2789" s="3" t="s">
        <v>229</v>
      </c>
      <c r="E2789" s="4" t="str">
        <f t="shared" si="240"/>
        <v>Huyện Sơn Động</v>
      </c>
      <c r="F2789" s="3" t="s">
        <v>3553</v>
      </c>
      <c r="G2789" s="4" t="str">
        <f>HYPERLINK("https://diaocthongthai.com/xa-giao-liem-son-dong/","Xã Giáo Liêm")</f>
        <v>Xã Giáo Liêm</v>
      </c>
    </row>
    <row r="2790" spans="1:7" x14ac:dyDescent="0.25">
      <c r="A2790" s="2">
        <v>2789</v>
      </c>
      <c r="B2790" s="3" t="s">
        <v>17</v>
      </c>
      <c r="C2790" s="4" t="str">
        <f t="shared" si="239"/>
        <v>Bắc Giang</v>
      </c>
      <c r="D2790" s="3" t="s">
        <v>229</v>
      </c>
      <c r="E2790" s="4" t="str">
        <f t="shared" si="240"/>
        <v>Huyện Sơn Động</v>
      </c>
      <c r="F2790" s="3" t="s">
        <v>3554</v>
      </c>
      <c r="G2790" s="4" t="str">
        <f>HYPERLINK("https://diaocthongthai.com/xa-cam-dan-son-dong/","Xã Cẩm Đàn")</f>
        <v>Xã Cẩm Đàn</v>
      </c>
    </row>
    <row r="2791" spans="1:7" x14ac:dyDescent="0.25">
      <c r="A2791" s="2">
        <v>2790</v>
      </c>
      <c r="B2791" s="3" t="s">
        <v>17</v>
      </c>
      <c r="C2791" s="4" t="str">
        <f t="shared" si="239"/>
        <v>Bắc Giang</v>
      </c>
      <c r="D2791" s="3" t="s">
        <v>229</v>
      </c>
      <c r="E2791" s="4" t="str">
        <f t="shared" si="240"/>
        <v>Huyện Sơn Động</v>
      </c>
      <c r="F2791" s="3" t="s">
        <v>3555</v>
      </c>
      <c r="G2791" s="4" t="str">
        <f>HYPERLINK("https://diaocthongthai.com/xa-an-lac-son-dong/","Xã An Lạc")</f>
        <v>Xã An Lạc</v>
      </c>
    </row>
    <row r="2792" spans="1:7" x14ac:dyDescent="0.25">
      <c r="A2792" s="2">
        <v>2791</v>
      </c>
      <c r="B2792" s="3" t="s">
        <v>17</v>
      </c>
      <c r="C2792" s="4" t="str">
        <f t="shared" si="239"/>
        <v>Bắc Giang</v>
      </c>
      <c r="D2792" s="3" t="s">
        <v>229</v>
      </c>
      <c r="E2792" s="4" t="str">
        <f t="shared" si="240"/>
        <v>Huyện Sơn Động</v>
      </c>
      <c r="F2792" s="3" t="s">
        <v>3556</v>
      </c>
      <c r="G2792" s="4" t="str">
        <f>HYPERLINK("https://diaocthongthai.com/xa-vinh-an-son-dong/","Xã Vĩnh An")</f>
        <v>Xã Vĩnh An</v>
      </c>
    </row>
    <row r="2793" spans="1:7" x14ac:dyDescent="0.25">
      <c r="A2793" s="2">
        <v>2792</v>
      </c>
      <c r="B2793" s="3" t="s">
        <v>17</v>
      </c>
      <c r="C2793" s="4" t="str">
        <f t="shared" si="239"/>
        <v>Bắc Giang</v>
      </c>
      <c r="D2793" s="3" t="s">
        <v>229</v>
      </c>
      <c r="E2793" s="4" t="str">
        <f t="shared" si="240"/>
        <v>Huyện Sơn Động</v>
      </c>
      <c r="F2793" s="3" t="s">
        <v>3557</v>
      </c>
      <c r="G2793" s="4" t="str">
        <f>HYPERLINK("https://diaocthongthai.com/xa-yen-dinh-son-dong/","Xã Yên Định")</f>
        <v>Xã Yên Định</v>
      </c>
    </row>
    <row r="2794" spans="1:7" x14ac:dyDescent="0.25">
      <c r="A2794" s="2">
        <v>2793</v>
      </c>
      <c r="B2794" s="3" t="s">
        <v>17</v>
      </c>
      <c r="C2794" s="4" t="str">
        <f t="shared" si="239"/>
        <v>Bắc Giang</v>
      </c>
      <c r="D2794" s="3" t="s">
        <v>229</v>
      </c>
      <c r="E2794" s="4" t="str">
        <f t="shared" si="240"/>
        <v>Huyện Sơn Động</v>
      </c>
      <c r="F2794" s="3" t="s">
        <v>3558</v>
      </c>
      <c r="G2794" s="4" t="str">
        <f>HYPERLINK("https://diaocthongthai.com/xa-le-vien-son-dong/","Xã Lệ Viễn")</f>
        <v>Xã Lệ Viễn</v>
      </c>
    </row>
    <row r="2795" spans="1:7" x14ac:dyDescent="0.25">
      <c r="A2795" s="2">
        <v>2794</v>
      </c>
      <c r="B2795" s="3" t="s">
        <v>17</v>
      </c>
      <c r="C2795" s="4" t="str">
        <f t="shared" si="239"/>
        <v>Bắc Giang</v>
      </c>
      <c r="D2795" s="3" t="s">
        <v>229</v>
      </c>
      <c r="E2795" s="4" t="str">
        <f t="shared" si="240"/>
        <v>Huyện Sơn Động</v>
      </c>
      <c r="F2795" s="3" t="s">
        <v>3559</v>
      </c>
      <c r="G2795" s="4" t="str">
        <f>HYPERLINK("https://diaocthongthai.com/xa-an-ba-son-dong/","Xã An Bá")</f>
        <v>Xã An Bá</v>
      </c>
    </row>
    <row r="2796" spans="1:7" x14ac:dyDescent="0.25">
      <c r="A2796" s="2">
        <v>2795</v>
      </c>
      <c r="B2796" s="3" t="s">
        <v>17</v>
      </c>
      <c r="C2796" s="4" t="str">
        <f t="shared" si="239"/>
        <v>Bắc Giang</v>
      </c>
      <c r="D2796" s="3" t="s">
        <v>229</v>
      </c>
      <c r="E2796" s="4" t="str">
        <f t="shared" si="240"/>
        <v>Huyện Sơn Động</v>
      </c>
      <c r="F2796" s="3" t="s">
        <v>3560</v>
      </c>
      <c r="G2796" s="4" t="str">
        <f>HYPERLINK("https://diaocthongthai.com/xa-tuan-dao-son-dong/","Xã Tuấn Đạo")</f>
        <v>Xã Tuấn Đạo</v>
      </c>
    </row>
    <row r="2797" spans="1:7" x14ac:dyDescent="0.25">
      <c r="A2797" s="2">
        <v>2796</v>
      </c>
      <c r="B2797" s="3" t="s">
        <v>17</v>
      </c>
      <c r="C2797" s="4" t="str">
        <f t="shared" si="239"/>
        <v>Bắc Giang</v>
      </c>
      <c r="D2797" s="3" t="s">
        <v>229</v>
      </c>
      <c r="E2797" s="4" t="str">
        <f t="shared" si="240"/>
        <v>Huyện Sơn Động</v>
      </c>
      <c r="F2797" s="3" t="s">
        <v>3561</v>
      </c>
      <c r="G2797" s="4" t="str">
        <f>HYPERLINK("https://diaocthongthai.com/xa-duong-huu-son-dong/","Xã Dương Hưu")</f>
        <v>Xã Dương Hưu</v>
      </c>
    </row>
    <row r="2798" spans="1:7" x14ac:dyDescent="0.25">
      <c r="A2798" s="2">
        <v>2797</v>
      </c>
      <c r="B2798" s="3" t="s">
        <v>17</v>
      </c>
      <c r="C2798" s="4" t="str">
        <f t="shared" si="239"/>
        <v>Bắc Giang</v>
      </c>
      <c r="D2798" s="3" t="s">
        <v>229</v>
      </c>
      <c r="E2798" s="4" t="str">
        <f t="shared" si="240"/>
        <v>Huyện Sơn Động</v>
      </c>
      <c r="F2798" s="3" t="s">
        <v>3562</v>
      </c>
      <c r="G2798" s="4" t="str">
        <f>HYPERLINK("https://diaocthongthai.com/xa-long-son-son-dong/","Xã Long Sơn")</f>
        <v>Xã Long Sơn</v>
      </c>
    </row>
    <row r="2799" spans="1:7" x14ac:dyDescent="0.25">
      <c r="A2799" s="2">
        <v>2798</v>
      </c>
      <c r="B2799" s="3" t="s">
        <v>17</v>
      </c>
      <c r="C2799" s="4" t="str">
        <f t="shared" si="239"/>
        <v>Bắc Giang</v>
      </c>
      <c r="D2799" s="3" t="s">
        <v>229</v>
      </c>
      <c r="E2799" s="4" t="str">
        <f t="shared" si="240"/>
        <v>Huyện Sơn Động</v>
      </c>
      <c r="F2799" s="3" t="s">
        <v>3563</v>
      </c>
      <c r="G2799" s="4" t="str">
        <f>HYPERLINK("https://diaocthongthai.com/xa-thanh-luan-son-dong/","Xã Thanh Luận")</f>
        <v>Xã Thanh Luận</v>
      </c>
    </row>
    <row r="2800" spans="1:7" x14ac:dyDescent="0.25">
      <c r="A2800" s="2">
        <v>2799</v>
      </c>
      <c r="B2800" s="3" t="s">
        <v>17</v>
      </c>
      <c r="C2800" s="4" t="str">
        <f t="shared" si="239"/>
        <v>Bắc Giang</v>
      </c>
      <c r="D2800" s="3" t="s">
        <v>230</v>
      </c>
      <c r="E2800" s="4" t="str">
        <f t="shared" ref="E2800:E2817" si="241">HYPERLINK("https://diaocthongthai.com/ban-do-huyen-yen-dung-bac-giang/","Huyện Yên Dũng")</f>
        <v>Huyện Yên Dũng</v>
      </c>
      <c r="F2800" s="3" t="s">
        <v>3564</v>
      </c>
      <c r="G2800" s="4" t="str">
        <f>HYPERLINK("https://diaocthongthai.com/thi-tran-nham-bien-yen-dung/","Thị trấn Nham Biền")</f>
        <v>Thị trấn Nham Biền</v>
      </c>
    </row>
    <row r="2801" spans="1:7" x14ac:dyDescent="0.25">
      <c r="A2801" s="2">
        <v>2800</v>
      </c>
      <c r="B2801" s="3" t="s">
        <v>17</v>
      </c>
      <c r="C2801" s="4" t="str">
        <f t="shared" si="239"/>
        <v>Bắc Giang</v>
      </c>
      <c r="D2801" s="3" t="s">
        <v>230</v>
      </c>
      <c r="E2801" s="4" t="str">
        <f t="shared" si="241"/>
        <v>Huyện Yên Dũng</v>
      </c>
      <c r="F2801" s="3" t="s">
        <v>3565</v>
      </c>
      <c r="G2801" s="4" t="str">
        <f>HYPERLINK("https://diaocthongthai.com/thi-tran-tan-an-yen-dung/","Thị trấn Tân An")</f>
        <v>Thị trấn Tân An</v>
      </c>
    </row>
    <row r="2802" spans="1:7" x14ac:dyDescent="0.25">
      <c r="A2802" s="2">
        <v>2801</v>
      </c>
      <c r="B2802" s="3" t="s">
        <v>17</v>
      </c>
      <c r="C2802" s="4" t="str">
        <f t="shared" si="239"/>
        <v>Bắc Giang</v>
      </c>
      <c r="D2802" s="3" t="s">
        <v>230</v>
      </c>
      <c r="E2802" s="4" t="str">
        <f t="shared" si="241"/>
        <v>Huyện Yên Dũng</v>
      </c>
      <c r="F2802" s="3" t="s">
        <v>3566</v>
      </c>
      <c r="G2802" s="4" t="str">
        <f>HYPERLINK("https://diaocthongthai.com/xa-lao-ho-yen-dung/","Xã Lão Hộ")</f>
        <v>Xã Lão Hộ</v>
      </c>
    </row>
    <row r="2803" spans="1:7" x14ac:dyDescent="0.25">
      <c r="A2803" s="2">
        <v>2802</v>
      </c>
      <c r="B2803" s="3" t="s">
        <v>17</v>
      </c>
      <c r="C2803" s="4" t="str">
        <f t="shared" si="239"/>
        <v>Bắc Giang</v>
      </c>
      <c r="D2803" s="3" t="s">
        <v>230</v>
      </c>
      <c r="E2803" s="4" t="str">
        <f t="shared" si="241"/>
        <v>Huyện Yên Dũng</v>
      </c>
      <c r="F2803" s="3" t="s">
        <v>3567</v>
      </c>
      <c r="G2803" s="4" t="str">
        <f>HYPERLINK("https://diaocthongthai.com/xa-huong-gian-yen-dung/","Xã Hương Gián")</f>
        <v>Xã Hương Gián</v>
      </c>
    </row>
    <row r="2804" spans="1:7" x14ac:dyDescent="0.25">
      <c r="A2804" s="2">
        <v>2803</v>
      </c>
      <c r="B2804" s="3" t="s">
        <v>17</v>
      </c>
      <c r="C2804" s="4" t="str">
        <f t="shared" si="239"/>
        <v>Bắc Giang</v>
      </c>
      <c r="D2804" s="3" t="s">
        <v>230</v>
      </c>
      <c r="E2804" s="4" t="str">
        <f t="shared" si="241"/>
        <v>Huyện Yên Dũng</v>
      </c>
      <c r="F2804" s="3" t="s">
        <v>3568</v>
      </c>
      <c r="G2804" s="4" t="str">
        <f>HYPERLINK("https://diaocthongthai.com/xa-quynh-son-yen-dung/","Xã Quỳnh Sơn")</f>
        <v>Xã Quỳnh Sơn</v>
      </c>
    </row>
    <row r="2805" spans="1:7" x14ac:dyDescent="0.25">
      <c r="A2805" s="2">
        <v>2804</v>
      </c>
      <c r="B2805" s="3" t="s">
        <v>17</v>
      </c>
      <c r="C2805" s="4" t="str">
        <f t="shared" si="239"/>
        <v>Bắc Giang</v>
      </c>
      <c r="D2805" s="3" t="s">
        <v>230</v>
      </c>
      <c r="E2805" s="4" t="str">
        <f t="shared" si="241"/>
        <v>Huyện Yên Dũng</v>
      </c>
      <c r="F2805" s="3" t="s">
        <v>3569</v>
      </c>
      <c r="G2805" s="4" t="str">
        <f>HYPERLINK("https://diaocthongthai.com/xa-noi-hoang-yen-dung/","Xã Nội Hoàng")</f>
        <v>Xã Nội Hoàng</v>
      </c>
    </row>
    <row r="2806" spans="1:7" x14ac:dyDescent="0.25">
      <c r="A2806" s="2">
        <v>2805</v>
      </c>
      <c r="B2806" s="3" t="s">
        <v>17</v>
      </c>
      <c r="C2806" s="4" t="str">
        <f t="shared" si="239"/>
        <v>Bắc Giang</v>
      </c>
      <c r="D2806" s="3" t="s">
        <v>230</v>
      </c>
      <c r="E2806" s="4" t="str">
        <f t="shared" si="241"/>
        <v>Huyện Yên Dũng</v>
      </c>
      <c r="F2806" s="3" t="s">
        <v>3570</v>
      </c>
      <c r="G2806" s="4" t="str">
        <f>HYPERLINK("https://diaocthongthai.com/xa-tien-phong-yen-dung/","Xã Tiền Phong")</f>
        <v>Xã Tiền Phong</v>
      </c>
    </row>
    <row r="2807" spans="1:7" x14ac:dyDescent="0.25">
      <c r="A2807" s="2">
        <v>2806</v>
      </c>
      <c r="B2807" s="3" t="s">
        <v>17</v>
      </c>
      <c r="C2807" s="4" t="str">
        <f t="shared" si="239"/>
        <v>Bắc Giang</v>
      </c>
      <c r="D2807" s="3" t="s">
        <v>230</v>
      </c>
      <c r="E2807" s="4" t="str">
        <f t="shared" si="241"/>
        <v>Huyện Yên Dũng</v>
      </c>
      <c r="F2807" s="3" t="s">
        <v>3571</v>
      </c>
      <c r="G2807" s="4" t="str">
        <f>HYPERLINK("https://diaocthongthai.com/xa-xuan-phu-yen-dung/","Xã Xuân Phú")</f>
        <v>Xã Xuân Phú</v>
      </c>
    </row>
    <row r="2808" spans="1:7" x14ac:dyDescent="0.25">
      <c r="A2808" s="2">
        <v>2807</v>
      </c>
      <c r="B2808" s="3" t="s">
        <v>17</v>
      </c>
      <c r="C2808" s="4" t="str">
        <f t="shared" si="239"/>
        <v>Bắc Giang</v>
      </c>
      <c r="D2808" s="3" t="s">
        <v>230</v>
      </c>
      <c r="E2808" s="4" t="str">
        <f t="shared" si="241"/>
        <v>Huyện Yên Dũng</v>
      </c>
      <c r="F2808" s="3" t="s">
        <v>3572</v>
      </c>
      <c r="G2808" s="4" t="str">
        <f>HYPERLINK("https://diaocthongthai.com/xa-tan-lieu-yen-dung/","Xã Tân Liễu")</f>
        <v>Xã Tân Liễu</v>
      </c>
    </row>
    <row r="2809" spans="1:7" x14ac:dyDescent="0.25">
      <c r="A2809" s="2">
        <v>2808</v>
      </c>
      <c r="B2809" s="3" t="s">
        <v>17</v>
      </c>
      <c r="C2809" s="4" t="str">
        <f t="shared" si="239"/>
        <v>Bắc Giang</v>
      </c>
      <c r="D2809" s="3" t="s">
        <v>230</v>
      </c>
      <c r="E2809" s="4" t="str">
        <f t="shared" si="241"/>
        <v>Huyện Yên Dũng</v>
      </c>
      <c r="F2809" s="3" t="s">
        <v>3573</v>
      </c>
      <c r="G2809" s="4" t="str">
        <f>HYPERLINK("https://diaocthongthai.com/xa-tri-yen-yen-dung/","Xã Trí Yên")</f>
        <v>Xã Trí Yên</v>
      </c>
    </row>
    <row r="2810" spans="1:7" x14ac:dyDescent="0.25">
      <c r="A2810" s="2">
        <v>2809</v>
      </c>
      <c r="B2810" s="3" t="s">
        <v>17</v>
      </c>
      <c r="C2810" s="4" t="str">
        <f t="shared" si="239"/>
        <v>Bắc Giang</v>
      </c>
      <c r="D2810" s="3" t="s">
        <v>230</v>
      </c>
      <c r="E2810" s="4" t="str">
        <f t="shared" si="241"/>
        <v>Huyện Yên Dũng</v>
      </c>
      <c r="F2810" s="3" t="s">
        <v>3574</v>
      </c>
      <c r="G2810" s="4" t="str">
        <f>HYPERLINK("https://diaocthongthai.com/xa-lang-son-yen-dung/","Xã Lãng Sơn")</f>
        <v>Xã Lãng Sơn</v>
      </c>
    </row>
    <row r="2811" spans="1:7" x14ac:dyDescent="0.25">
      <c r="A2811" s="2">
        <v>2810</v>
      </c>
      <c r="B2811" s="3" t="s">
        <v>17</v>
      </c>
      <c r="C2811" s="4" t="str">
        <f t="shared" si="239"/>
        <v>Bắc Giang</v>
      </c>
      <c r="D2811" s="3" t="s">
        <v>230</v>
      </c>
      <c r="E2811" s="4" t="str">
        <f t="shared" si="241"/>
        <v>Huyện Yên Dũng</v>
      </c>
      <c r="F2811" s="3" t="s">
        <v>3575</v>
      </c>
      <c r="G2811" s="4" t="str">
        <f>HYPERLINK("https://diaocthongthai.com/xa-yen-lu-yen-dung/","Xã Yên Lư")</f>
        <v>Xã Yên Lư</v>
      </c>
    </row>
    <row r="2812" spans="1:7" x14ac:dyDescent="0.25">
      <c r="A2812" s="2">
        <v>2811</v>
      </c>
      <c r="B2812" s="3" t="s">
        <v>17</v>
      </c>
      <c r="C2812" s="4" t="str">
        <f t="shared" si="239"/>
        <v>Bắc Giang</v>
      </c>
      <c r="D2812" s="3" t="s">
        <v>230</v>
      </c>
      <c r="E2812" s="4" t="str">
        <f t="shared" si="241"/>
        <v>Huyện Yên Dũng</v>
      </c>
      <c r="F2812" s="3" t="s">
        <v>3576</v>
      </c>
      <c r="G2812" s="4" t="str">
        <f>HYPERLINK("https://diaocthongthai.com/xa-tien-dung-yen-dung/","Xã Tiến Dũng")</f>
        <v>Xã Tiến Dũng</v>
      </c>
    </row>
    <row r="2813" spans="1:7" x14ac:dyDescent="0.25">
      <c r="A2813" s="2">
        <v>2812</v>
      </c>
      <c r="B2813" s="3" t="s">
        <v>17</v>
      </c>
      <c r="C2813" s="4" t="str">
        <f t="shared" si="239"/>
        <v>Bắc Giang</v>
      </c>
      <c r="D2813" s="3" t="s">
        <v>230</v>
      </c>
      <c r="E2813" s="4" t="str">
        <f t="shared" si="241"/>
        <v>Huyện Yên Dũng</v>
      </c>
      <c r="F2813" s="3" t="s">
        <v>3577</v>
      </c>
      <c r="G2813" s="4" t="str">
        <f>HYPERLINK("https://diaocthongthai.com/xa-duc-giang-yen-dung/","Xã Đức Giang")</f>
        <v>Xã Đức Giang</v>
      </c>
    </row>
    <row r="2814" spans="1:7" x14ac:dyDescent="0.25">
      <c r="A2814" s="2">
        <v>2813</v>
      </c>
      <c r="B2814" s="3" t="s">
        <v>17</v>
      </c>
      <c r="C2814" s="4" t="str">
        <f t="shared" si="239"/>
        <v>Bắc Giang</v>
      </c>
      <c r="D2814" s="3" t="s">
        <v>230</v>
      </c>
      <c r="E2814" s="4" t="str">
        <f t="shared" si="241"/>
        <v>Huyện Yên Dũng</v>
      </c>
      <c r="F2814" s="3" t="s">
        <v>3578</v>
      </c>
      <c r="G2814" s="4" t="str">
        <f>HYPERLINK("https://diaocthongthai.com/xa-canh-thuy-yen-dung/","Xã Cảnh Thụy")</f>
        <v>Xã Cảnh Thụy</v>
      </c>
    </row>
    <row r="2815" spans="1:7" x14ac:dyDescent="0.25">
      <c r="A2815" s="2">
        <v>2814</v>
      </c>
      <c r="B2815" s="3" t="s">
        <v>17</v>
      </c>
      <c r="C2815" s="4" t="str">
        <f t="shared" si="239"/>
        <v>Bắc Giang</v>
      </c>
      <c r="D2815" s="3" t="s">
        <v>230</v>
      </c>
      <c r="E2815" s="4" t="str">
        <f t="shared" si="241"/>
        <v>Huyện Yên Dũng</v>
      </c>
      <c r="F2815" s="3" t="s">
        <v>3579</v>
      </c>
      <c r="G2815" s="4" t="str">
        <f>HYPERLINK("https://diaocthongthai.com/xa-tu-mai-yen-dung/","Xã Tư Mại")</f>
        <v>Xã Tư Mại</v>
      </c>
    </row>
    <row r="2816" spans="1:7" x14ac:dyDescent="0.25">
      <c r="A2816" s="2">
        <v>2815</v>
      </c>
      <c r="B2816" s="3" t="s">
        <v>17</v>
      </c>
      <c r="C2816" s="4" t="str">
        <f t="shared" si="239"/>
        <v>Bắc Giang</v>
      </c>
      <c r="D2816" s="3" t="s">
        <v>230</v>
      </c>
      <c r="E2816" s="4" t="str">
        <f t="shared" si="241"/>
        <v>Huyện Yên Dũng</v>
      </c>
      <c r="F2816" s="3" t="s">
        <v>3580</v>
      </c>
      <c r="G2816" s="4" t="str">
        <f>HYPERLINK("https://diaocthongthai.com/xa-dong-viet-yen-dung/","Xã Đồng Việt")</f>
        <v>Xã Đồng Việt</v>
      </c>
    </row>
    <row r="2817" spans="1:7" x14ac:dyDescent="0.25">
      <c r="A2817" s="2">
        <v>2816</v>
      </c>
      <c r="B2817" s="3" t="s">
        <v>17</v>
      </c>
      <c r="C2817" s="4" t="str">
        <f t="shared" si="239"/>
        <v>Bắc Giang</v>
      </c>
      <c r="D2817" s="3" t="s">
        <v>230</v>
      </c>
      <c r="E2817" s="4" t="str">
        <f t="shared" si="241"/>
        <v>Huyện Yên Dũng</v>
      </c>
      <c r="F2817" s="3" t="s">
        <v>3581</v>
      </c>
      <c r="G2817" s="4" t="str">
        <f>HYPERLINK("https://diaocthongthai.com/xa-dong-phuc-yen-dung/","Xã Đồng Phúc")</f>
        <v>Xã Đồng Phúc</v>
      </c>
    </row>
    <row r="2818" spans="1:7" x14ac:dyDescent="0.25">
      <c r="A2818" s="2">
        <v>2817</v>
      </c>
      <c r="B2818" s="3" t="s">
        <v>17</v>
      </c>
      <c r="C2818" s="4" t="str">
        <f t="shared" si="239"/>
        <v>Bắc Giang</v>
      </c>
      <c r="D2818" s="3" t="s">
        <v>231</v>
      </c>
      <c r="E2818" s="4" t="str">
        <f t="shared" ref="E2818:E2834" si="242">HYPERLINK("https://diaocthongthai.com/ban-do-huyen-viet-yen-bac-giang/","Huyện Việt Yên")</f>
        <v>Huyện Việt Yên</v>
      </c>
      <c r="F2818" s="3" t="s">
        <v>3582</v>
      </c>
      <c r="G2818" s="4" t="str">
        <f>HYPERLINK("https://diaocthongthai.com/xa-thuong-lan-viet-yen/","Xã Thượng Lan")</f>
        <v>Xã Thượng Lan</v>
      </c>
    </row>
    <row r="2819" spans="1:7" x14ac:dyDescent="0.25">
      <c r="A2819" s="2">
        <v>2818</v>
      </c>
      <c r="B2819" s="3" t="s">
        <v>17</v>
      </c>
      <c r="C2819" s="4" t="str">
        <f t="shared" si="239"/>
        <v>Bắc Giang</v>
      </c>
      <c r="D2819" s="3" t="s">
        <v>231</v>
      </c>
      <c r="E2819" s="4" t="str">
        <f t="shared" si="242"/>
        <v>Huyện Việt Yên</v>
      </c>
      <c r="F2819" s="3" t="s">
        <v>3583</v>
      </c>
      <c r="G2819" s="4" t="str">
        <f>HYPERLINK("https://diaocthongthai.com/xa-viet-tien-viet-yen/","Xã Việt Tiến")</f>
        <v>Xã Việt Tiến</v>
      </c>
    </row>
    <row r="2820" spans="1:7" x14ac:dyDescent="0.25">
      <c r="A2820" s="2">
        <v>2819</v>
      </c>
      <c r="B2820" s="3" t="s">
        <v>17</v>
      </c>
      <c r="C2820" s="4" t="str">
        <f t="shared" si="239"/>
        <v>Bắc Giang</v>
      </c>
      <c r="D2820" s="3" t="s">
        <v>231</v>
      </c>
      <c r="E2820" s="4" t="str">
        <f t="shared" si="242"/>
        <v>Huyện Việt Yên</v>
      </c>
      <c r="F2820" s="3" t="s">
        <v>3584</v>
      </c>
      <c r="G2820" s="4" t="str">
        <f>HYPERLINK("https://diaocthongthai.com/xa-nghia-trung-viet-yen/","Xã Nghĩa Trung")</f>
        <v>Xã Nghĩa Trung</v>
      </c>
    </row>
    <row r="2821" spans="1:7" x14ac:dyDescent="0.25">
      <c r="A2821" s="2">
        <v>2820</v>
      </c>
      <c r="B2821" s="3" t="s">
        <v>17</v>
      </c>
      <c r="C2821" s="4" t="str">
        <f t="shared" si="239"/>
        <v>Bắc Giang</v>
      </c>
      <c r="D2821" s="3" t="s">
        <v>231</v>
      </c>
      <c r="E2821" s="4" t="str">
        <f t="shared" si="242"/>
        <v>Huyện Việt Yên</v>
      </c>
      <c r="F2821" s="3" t="s">
        <v>3585</v>
      </c>
      <c r="G2821" s="4" t="str">
        <f>HYPERLINK("https://diaocthongthai.com/xa-minh-duc-viet-yen/","Xã Minh Đức")</f>
        <v>Xã Minh Đức</v>
      </c>
    </row>
    <row r="2822" spans="1:7" x14ac:dyDescent="0.25">
      <c r="A2822" s="2">
        <v>2821</v>
      </c>
      <c r="B2822" s="3" t="s">
        <v>17</v>
      </c>
      <c r="C2822" s="4" t="str">
        <f t="shared" si="239"/>
        <v>Bắc Giang</v>
      </c>
      <c r="D2822" s="3" t="s">
        <v>231</v>
      </c>
      <c r="E2822" s="4" t="str">
        <f t="shared" si="242"/>
        <v>Huyện Việt Yên</v>
      </c>
      <c r="F2822" s="3" t="s">
        <v>3586</v>
      </c>
      <c r="G2822" s="4" t="str">
        <f>HYPERLINK("https://diaocthongthai.com/xa-huong-mai-viet-yen/","Xã Hương Mai")</f>
        <v>Xã Hương Mai</v>
      </c>
    </row>
    <row r="2823" spans="1:7" x14ac:dyDescent="0.25">
      <c r="A2823" s="2">
        <v>2822</v>
      </c>
      <c r="B2823" s="3" t="s">
        <v>17</v>
      </c>
      <c r="C2823" s="4" t="str">
        <f t="shared" si="239"/>
        <v>Bắc Giang</v>
      </c>
      <c r="D2823" s="3" t="s">
        <v>231</v>
      </c>
      <c r="E2823" s="4" t="str">
        <f t="shared" si="242"/>
        <v>Huyện Việt Yên</v>
      </c>
      <c r="F2823" s="3" t="s">
        <v>3587</v>
      </c>
      <c r="G2823" s="4" t="str">
        <f>HYPERLINK("https://diaocthongthai.com/xa-tu-lan-viet-yen/","Xã Tự Lạn")</f>
        <v>Xã Tự Lạn</v>
      </c>
    </row>
    <row r="2824" spans="1:7" x14ac:dyDescent="0.25">
      <c r="A2824" s="2">
        <v>2823</v>
      </c>
      <c r="B2824" s="3" t="s">
        <v>17</v>
      </c>
      <c r="C2824" s="4" t="str">
        <f t="shared" si="239"/>
        <v>Bắc Giang</v>
      </c>
      <c r="D2824" s="3" t="s">
        <v>231</v>
      </c>
      <c r="E2824" s="4" t="str">
        <f t="shared" si="242"/>
        <v>Huyện Việt Yên</v>
      </c>
      <c r="F2824" s="3" t="s">
        <v>3588</v>
      </c>
      <c r="G2824" s="4" t="str">
        <f>HYPERLINK("https://diaocthongthai.com/thi-tran-bich-dong-viet-yen/","Thị trấn Bích Động")</f>
        <v>Thị trấn Bích Động</v>
      </c>
    </row>
    <row r="2825" spans="1:7" x14ac:dyDescent="0.25">
      <c r="A2825" s="2">
        <v>2824</v>
      </c>
      <c r="B2825" s="3" t="s">
        <v>17</v>
      </c>
      <c r="C2825" s="4" t="str">
        <f t="shared" si="239"/>
        <v>Bắc Giang</v>
      </c>
      <c r="D2825" s="3" t="s">
        <v>231</v>
      </c>
      <c r="E2825" s="4" t="str">
        <f t="shared" si="242"/>
        <v>Huyện Việt Yên</v>
      </c>
      <c r="F2825" s="3" t="s">
        <v>3589</v>
      </c>
      <c r="G2825" s="4" t="str">
        <f>HYPERLINK("https://diaocthongthai.com/xa-trung-son-viet-yen/","Xã Trung Sơn")</f>
        <v>Xã Trung Sơn</v>
      </c>
    </row>
    <row r="2826" spans="1:7" x14ac:dyDescent="0.25">
      <c r="A2826" s="2">
        <v>2825</v>
      </c>
      <c r="B2826" s="3" t="s">
        <v>17</v>
      </c>
      <c r="C2826" s="4" t="str">
        <f t="shared" si="239"/>
        <v>Bắc Giang</v>
      </c>
      <c r="D2826" s="3" t="s">
        <v>231</v>
      </c>
      <c r="E2826" s="4" t="str">
        <f t="shared" si="242"/>
        <v>Huyện Việt Yên</v>
      </c>
      <c r="F2826" s="3" t="s">
        <v>3590</v>
      </c>
      <c r="G2826" s="4" t="str">
        <f>HYPERLINK("https://diaocthongthai.com/xa-hong-thai-viet-yen/","Xã Hồng Thái")</f>
        <v>Xã Hồng Thái</v>
      </c>
    </row>
    <row r="2827" spans="1:7" x14ac:dyDescent="0.25">
      <c r="A2827" s="2">
        <v>2826</v>
      </c>
      <c r="B2827" s="3" t="s">
        <v>17</v>
      </c>
      <c r="C2827" s="4" t="str">
        <f t="shared" si="239"/>
        <v>Bắc Giang</v>
      </c>
      <c r="D2827" s="3" t="s">
        <v>231</v>
      </c>
      <c r="E2827" s="4" t="str">
        <f t="shared" si="242"/>
        <v>Huyện Việt Yên</v>
      </c>
      <c r="F2827" s="3" t="s">
        <v>3591</v>
      </c>
      <c r="G2827" s="4" t="str">
        <f>HYPERLINK("https://diaocthongthai.com/xa-tien-son-viet-yen/","Xã Tiên Sơn")</f>
        <v>Xã Tiên Sơn</v>
      </c>
    </row>
    <row r="2828" spans="1:7" x14ac:dyDescent="0.25">
      <c r="A2828" s="2">
        <v>2827</v>
      </c>
      <c r="B2828" s="3" t="s">
        <v>17</v>
      </c>
      <c r="C2828" s="4" t="str">
        <f t="shared" si="239"/>
        <v>Bắc Giang</v>
      </c>
      <c r="D2828" s="3" t="s">
        <v>231</v>
      </c>
      <c r="E2828" s="4" t="str">
        <f t="shared" si="242"/>
        <v>Huyện Việt Yên</v>
      </c>
      <c r="F2828" s="3" t="s">
        <v>3592</v>
      </c>
      <c r="G2828" s="4" t="str">
        <f>HYPERLINK("https://diaocthongthai.com/xa-tang-tien-viet-yen/","Xã Tăng Tiến")</f>
        <v>Xã Tăng Tiến</v>
      </c>
    </row>
    <row r="2829" spans="1:7" x14ac:dyDescent="0.25">
      <c r="A2829" s="2">
        <v>2828</v>
      </c>
      <c r="B2829" s="3" t="s">
        <v>17</v>
      </c>
      <c r="C2829" s="4" t="str">
        <f t="shared" si="239"/>
        <v>Bắc Giang</v>
      </c>
      <c r="D2829" s="3" t="s">
        <v>231</v>
      </c>
      <c r="E2829" s="4" t="str">
        <f t="shared" si="242"/>
        <v>Huyện Việt Yên</v>
      </c>
      <c r="F2829" s="3" t="s">
        <v>3593</v>
      </c>
      <c r="G2829" s="4" t="str">
        <f>HYPERLINK("https://diaocthongthai.com/xa-quang-minh-viet-yen/","Xã Quảng Minh")</f>
        <v>Xã Quảng Minh</v>
      </c>
    </row>
    <row r="2830" spans="1:7" x14ac:dyDescent="0.25">
      <c r="A2830" s="2">
        <v>2829</v>
      </c>
      <c r="B2830" s="3" t="s">
        <v>17</v>
      </c>
      <c r="C2830" s="4" t="str">
        <f t="shared" si="239"/>
        <v>Bắc Giang</v>
      </c>
      <c r="D2830" s="3" t="s">
        <v>231</v>
      </c>
      <c r="E2830" s="4" t="str">
        <f t="shared" si="242"/>
        <v>Huyện Việt Yên</v>
      </c>
      <c r="F2830" s="3" t="s">
        <v>3594</v>
      </c>
      <c r="G2830" s="4" t="str">
        <f>HYPERLINK("https://diaocthongthai.com/thi-tran-nenh-viet-yen/","Thị trấn Nếnh")</f>
        <v>Thị trấn Nếnh</v>
      </c>
    </row>
    <row r="2831" spans="1:7" x14ac:dyDescent="0.25">
      <c r="A2831" s="2">
        <v>2830</v>
      </c>
      <c r="B2831" s="3" t="s">
        <v>17</v>
      </c>
      <c r="C2831" s="4" t="str">
        <f t="shared" si="239"/>
        <v>Bắc Giang</v>
      </c>
      <c r="D2831" s="3" t="s">
        <v>231</v>
      </c>
      <c r="E2831" s="4" t="str">
        <f t="shared" si="242"/>
        <v>Huyện Việt Yên</v>
      </c>
      <c r="F2831" s="3" t="s">
        <v>3595</v>
      </c>
      <c r="G2831" s="4" t="str">
        <f>HYPERLINK("https://diaocthongthai.com/xa-ninh-son-viet-yen/","Xã Ninh Sơn")</f>
        <v>Xã Ninh Sơn</v>
      </c>
    </row>
    <row r="2832" spans="1:7" x14ac:dyDescent="0.25">
      <c r="A2832" s="2">
        <v>2831</v>
      </c>
      <c r="B2832" s="3" t="s">
        <v>17</v>
      </c>
      <c r="C2832" s="4" t="str">
        <f t="shared" si="239"/>
        <v>Bắc Giang</v>
      </c>
      <c r="D2832" s="3" t="s">
        <v>231</v>
      </c>
      <c r="E2832" s="4" t="str">
        <f t="shared" si="242"/>
        <v>Huyện Việt Yên</v>
      </c>
      <c r="F2832" s="3" t="s">
        <v>3596</v>
      </c>
      <c r="G2832" s="4" t="str">
        <f>HYPERLINK("https://diaocthongthai.com/xa-van-trung-viet-yen/","Xã Vân Trung")</f>
        <v>Xã Vân Trung</v>
      </c>
    </row>
    <row r="2833" spans="1:7" x14ac:dyDescent="0.25">
      <c r="A2833" s="2">
        <v>2832</v>
      </c>
      <c r="B2833" s="3" t="s">
        <v>17</v>
      </c>
      <c r="C2833" s="4" t="str">
        <f t="shared" si="239"/>
        <v>Bắc Giang</v>
      </c>
      <c r="D2833" s="3" t="s">
        <v>231</v>
      </c>
      <c r="E2833" s="4" t="str">
        <f t="shared" si="242"/>
        <v>Huyện Việt Yên</v>
      </c>
      <c r="F2833" s="3" t="s">
        <v>3597</v>
      </c>
      <c r="G2833" s="4" t="str">
        <f>HYPERLINK("https://diaocthongthai.com/xa-van-ha-viet-yen/","Xã Vân Hà")</f>
        <v>Xã Vân Hà</v>
      </c>
    </row>
    <row r="2834" spans="1:7" x14ac:dyDescent="0.25">
      <c r="A2834" s="2">
        <v>2833</v>
      </c>
      <c r="B2834" s="3" t="s">
        <v>17</v>
      </c>
      <c r="C2834" s="4" t="str">
        <f t="shared" si="239"/>
        <v>Bắc Giang</v>
      </c>
      <c r="D2834" s="3" t="s">
        <v>231</v>
      </c>
      <c r="E2834" s="4" t="str">
        <f t="shared" si="242"/>
        <v>Huyện Việt Yên</v>
      </c>
      <c r="F2834" s="3" t="s">
        <v>3598</v>
      </c>
      <c r="G2834" s="4" t="str">
        <f>HYPERLINK("https://diaocthongthai.com/xa-quang-chau-viet-yen/","Xã Quang Châu")</f>
        <v>Xã Quang Châu</v>
      </c>
    </row>
    <row r="2835" spans="1:7" x14ac:dyDescent="0.25">
      <c r="A2835" s="2">
        <v>2834</v>
      </c>
      <c r="B2835" s="3" t="s">
        <v>17</v>
      </c>
      <c r="C2835" s="4" t="str">
        <f t="shared" si="239"/>
        <v>Bắc Giang</v>
      </c>
      <c r="D2835" s="3" t="s">
        <v>232</v>
      </c>
      <c r="E2835" s="4" t="str">
        <f t="shared" ref="E2835:E2859" si="243">HYPERLINK("https://diaocthongthai.com/ban-do-huyen-hiep-hoa-bac-giang/","Huyện Hiệp Hòa")</f>
        <v>Huyện Hiệp Hòa</v>
      </c>
      <c r="F2835" s="3" t="s">
        <v>3599</v>
      </c>
      <c r="G2835" s="4" t="str">
        <f>HYPERLINK("https://diaocthongthai.com/xa-dong-tan-hiep-hoa/","Xã Đồng Tân")</f>
        <v>Xã Đồng Tân</v>
      </c>
    </row>
    <row r="2836" spans="1:7" x14ac:dyDescent="0.25">
      <c r="A2836" s="2">
        <v>2835</v>
      </c>
      <c r="B2836" s="3" t="s">
        <v>17</v>
      </c>
      <c r="C2836" s="4" t="str">
        <f t="shared" si="239"/>
        <v>Bắc Giang</v>
      </c>
      <c r="D2836" s="3" t="s">
        <v>232</v>
      </c>
      <c r="E2836" s="4" t="str">
        <f t="shared" si="243"/>
        <v>Huyện Hiệp Hòa</v>
      </c>
      <c r="F2836" s="3" t="s">
        <v>3600</v>
      </c>
      <c r="G2836" s="4" t="str">
        <f>HYPERLINK("https://diaocthongthai.com/xa-thanh-van-hiep-hoa/","Xã Thanh Vân")</f>
        <v>Xã Thanh Vân</v>
      </c>
    </row>
    <row r="2837" spans="1:7" x14ac:dyDescent="0.25">
      <c r="A2837" s="2">
        <v>2836</v>
      </c>
      <c r="B2837" s="3" t="s">
        <v>17</v>
      </c>
      <c r="C2837" s="4" t="str">
        <f t="shared" si="239"/>
        <v>Bắc Giang</v>
      </c>
      <c r="D2837" s="3" t="s">
        <v>232</v>
      </c>
      <c r="E2837" s="4" t="str">
        <f t="shared" si="243"/>
        <v>Huyện Hiệp Hòa</v>
      </c>
      <c r="F2837" s="3" t="s">
        <v>3601</v>
      </c>
      <c r="G2837" s="4" t="str">
        <f>HYPERLINK("https://diaocthongthai.com/xa-hoang-luong-hiep-hoa/","Xã Hoàng Lương")</f>
        <v>Xã Hoàng Lương</v>
      </c>
    </row>
    <row r="2838" spans="1:7" x14ac:dyDescent="0.25">
      <c r="A2838" s="2">
        <v>2837</v>
      </c>
      <c r="B2838" s="3" t="s">
        <v>17</v>
      </c>
      <c r="C2838" s="4" t="str">
        <f t="shared" si="239"/>
        <v>Bắc Giang</v>
      </c>
      <c r="D2838" s="3" t="s">
        <v>232</v>
      </c>
      <c r="E2838" s="4" t="str">
        <f t="shared" si="243"/>
        <v>Huyện Hiệp Hòa</v>
      </c>
      <c r="F2838" s="3" t="s">
        <v>3602</v>
      </c>
      <c r="G2838" s="4" t="str">
        <f>HYPERLINK("https://diaocthongthai.com/xa-hoang-van-hiep-hoa/","Xã Hoàng Vân")</f>
        <v>Xã Hoàng Vân</v>
      </c>
    </row>
    <row r="2839" spans="1:7" x14ac:dyDescent="0.25">
      <c r="A2839" s="2">
        <v>2838</v>
      </c>
      <c r="B2839" s="3" t="s">
        <v>17</v>
      </c>
      <c r="C2839" s="4" t="str">
        <f t="shared" si="239"/>
        <v>Bắc Giang</v>
      </c>
      <c r="D2839" s="3" t="s">
        <v>232</v>
      </c>
      <c r="E2839" s="4" t="str">
        <f t="shared" si="243"/>
        <v>Huyện Hiệp Hòa</v>
      </c>
      <c r="F2839" s="3" t="s">
        <v>3603</v>
      </c>
      <c r="G2839" s="4" t="str">
        <f>HYPERLINK("https://diaocthongthai.com/xa-hoang-thanh-hiep-hoa/","Xã Hoàng Thanh")</f>
        <v>Xã Hoàng Thanh</v>
      </c>
    </row>
    <row r="2840" spans="1:7" x14ac:dyDescent="0.25">
      <c r="A2840" s="2">
        <v>2839</v>
      </c>
      <c r="B2840" s="3" t="s">
        <v>17</v>
      </c>
      <c r="C2840" s="4" t="str">
        <f t="shared" si="239"/>
        <v>Bắc Giang</v>
      </c>
      <c r="D2840" s="3" t="s">
        <v>232</v>
      </c>
      <c r="E2840" s="4" t="str">
        <f t="shared" si="243"/>
        <v>Huyện Hiệp Hòa</v>
      </c>
      <c r="F2840" s="3" t="s">
        <v>3604</v>
      </c>
      <c r="G2840" s="4" t="str">
        <f>HYPERLINK("https://diaocthongthai.com/xa-hoang-an-hiep-hoa/","Xã Hoàng An")</f>
        <v>Xã Hoàng An</v>
      </c>
    </row>
    <row r="2841" spans="1:7" x14ac:dyDescent="0.25">
      <c r="A2841" s="2">
        <v>2840</v>
      </c>
      <c r="B2841" s="3" t="s">
        <v>17</v>
      </c>
      <c r="C2841" s="4" t="str">
        <f t="shared" si="239"/>
        <v>Bắc Giang</v>
      </c>
      <c r="D2841" s="3" t="s">
        <v>232</v>
      </c>
      <c r="E2841" s="4" t="str">
        <f t="shared" si="243"/>
        <v>Huyện Hiệp Hòa</v>
      </c>
      <c r="F2841" s="3" t="s">
        <v>3605</v>
      </c>
      <c r="G2841" s="4" t="str">
        <f>HYPERLINK("https://diaocthongthai.com/xa-ngoc-son-hiep-hoa/","Xã Ngọc Sơn")</f>
        <v>Xã Ngọc Sơn</v>
      </c>
    </row>
    <row r="2842" spans="1:7" x14ac:dyDescent="0.25">
      <c r="A2842" s="2">
        <v>2841</v>
      </c>
      <c r="B2842" s="3" t="s">
        <v>17</v>
      </c>
      <c r="C2842" s="4" t="str">
        <f t="shared" si="239"/>
        <v>Bắc Giang</v>
      </c>
      <c r="D2842" s="3" t="s">
        <v>232</v>
      </c>
      <c r="E2842" s="4" t="str">
        <f t="shared" si="243"/>
        <v>Huyện Hiệp Hòa</v>
      </c>
      <c r="F2842" s="3" t="s">
        <v>3606</v>
      </c>
      <c r="G2842" s="4" t="str">
        <f>HYPERLINK("https://diaocthongthai.com/xa-thai-son-hiep-hoa/","Xã Thái Sơn")</f>
        <v>Xã Thái Sơn</v>
      </c>
    </row>
    <row r="2843" spans="1:7" x14ac:dyDescent="0.25">
      <c r="A2843" s="2">
        <v>2842</v>
      </c>
      <c r="B2843" s="3" t="s">
        <v>17</v>
      </c>
      <c r="C2843" s="4" t="str">
        <f t="shared" ref="C2843:C2859" si="244">HYPERLINK("https://diaocthongthai.com/ban-do-bac-giang/","Bắc Giang")</f>
        <v>Bắc Giang</v>
      </c>
      <c r="D2843" s="3" t="s">
        <v>232</v>
      </c>
      <c r="E2843" s="4" t="str">
        <f t="shared" si="243"/>
        <v>Huyện Hiệp Hòa</v>
      </c>
      <c r="F2843" s="3" t="s">
        <v>3607</v>
      </c>
      <c r="G2843" s="4" t="str">
        <f>HYPERLINK("https://diaocthongthai.com/xa-hoa-son-hiep-hoa/","Xã Hòa Sơn")</f>
        <v>Xã Hòa Sơn</v>
      </c>
    </row>
    <row r="2844" spans="1:7" x14ac:dyDescent="0.25">
      <c r="A2844" s="2">
        <v>2843</v>
      </c>
      <c r="B2844" s="3" t="s">
        <v>17</v>
      </c>
      <c r="C2844" s="4" t="str">
        <f t="shared" si="244"/>
        <v>Bắc Giang</v>
      </c>
      <c r="D2844" s="3" t="s">
        <v>232</v>
      </c>
      <c r="E2844" s="4" t="str">
        <f t="shared" si="243"/>
        <v>Huyện Hiệp Hòa</v>
      </c>
      <c r="F2844" s="3" t="s">
        <v>3608</v>
      </c>
      <c r="G2844" s="4" t="str">
        <f>HYPERLINK("https://diaocthongthai.com/thi-tran-thang-hiep-hoa/","Thị trấn Thắng")</f>
        <v>Thị trấn Thắng</v>
      </c>
    </row>
    <row r="2845" spans="1:7" x14ac:dyDescent="0.25">
      <c r="A2845" s="2">
        <v>2844</v>
      </c>
      <c r="B2845" s="3" t="s">
        <v>17</v>
      </c>
      <c r="C2845" s="4" t="str">
        <f t="shared" si="244"/>
        <v>Bắc Giang</v>
      </c>
      <c r="D2845" s="3" t="s">
        <v>232</v>
      </c>
      <c r="E2845" s="4" t="str">
        <f t="shared" si="243"/>
        <v>Huyện Hiệp Hòa</v>
      </c>
      <c r="F2845" s="3" t="s">
        <v>3609</v>
      </c>
      <c r="G2845" s="4" t="str">
        <f>HYPERLINK("https://diaocthongthai.com/xa-quang-minh-hiep-hoa/","Xã Quang Minh")</f>
        <v>Xã Quang Minh</v>
      </c>
    </row>
    <row r="2846" spans="1:7" x14ac:dyDescent="0.25">
      <c r="A2846" s="2">
        <v>2845</v>
      </c>
      <c r="B2846" s="3" t="s">
        <v>17</v>
      </c>
      <c r="C2846" s="4" t="str">
        <f t="shared" si="244"/>
        <v>Bắc Giang</v>
      </c>
      <c r="D2846" s="3" t="s">
        <v>232</v>
      </c>
      <c r="E2846" s="4" t="str">
        <f t="shared" si="243"/>
        <v>Huyện Hiệp Hòa</v>
      </c>
      <c r="F2846" s="3" t="s">
        <v>3610</v>
      </c>
      <c r="G2846" s="4" t="str">
        <f>HYPERLINK("https://diaocthongthai.com/xa-luong-phong-hiep-hoa/","Xã Lương Phong")</f>
        <v>Xã Lương Phong</v>
      </c>
    </row>
    <row r="2847" spans="1:7" x14ac:dyDescent="0.25">
      <c r="A2847" s="2">
        <v>2846</v>
      </c>
      <c r="B2847" s="3" t="s">
        <v>17</v>
      </c>
      <c r="C2847" s="4" t="str">
        <f t="shared" si="244"/>
        <v>Bắc Giang</v>
      </c>
      <c r="D2847" s="3" t="s">
        <v>232</v>
      </c>
      <c r="E2847" s="4" t="str">
        <f t="shared" si="243"/>
        <v>Huyện Hiệp Hòa</v>
      </c>
      <c r="F2847" s="3" t="s">
        <v>3611</v>
      </c>
      <c r="G2847" s="4" t="str">
        <f>HYPERLINK("https://diaocthongthai.com/xa-hung-son-hiep-hoa/","Xã Hùng Sơn")</f>
        <v>Xã Hùng Sơn</v>
      </c>
    </row>
    <row r="2848" spans="1:7" x14ac:dyDescent="0.25">
      <c r="A2848" s="2">
        <v>2847</v>
      </c>
      <c r="B2848" s="3" t="s">
        <v>17</v>
      </c>
      <c r="C2848" s="4" t="str">
        <f t="shared" si="244"/>
        <v>Bắc Giang</v>
      </c>
      <c r="D2848" s="3" t="s">
        <v>232</v>
      </c>
      <c r="E2848" s="4" t="str">
        <f t="shared" si="243"/>
        <v>Huyện Hiệp Hòa</v>
      </c>
      <c r="F2848" s="3" t="s">
        <v>3612</v>
      </c>
      <c r="G2848" s="4" t="str">
        <f>HYPERLINK("https://diaocthongthai.com/xa-dai-thanh-hiep-hoa/","Xã Đại Thành")</f>
        <v>Xã Đại Thành</v>
      </c>
    </row>
    <row r="2849" spans="1:7" x14ac:dyDescent="0.25">
      <c r="A2849" s="2">
        <v>2848</v>
      </c>
      <c r="B2849" s="3" t="s">
        <v>17</v>
      </c>
      <c r="C2849" s="4" t="str">
        <f t="shared" si="244"/>
        <v>Bắc Giang</v>
      </c>
      <c r="D2849" s="3" t="s">
        <v>232</v>
      </c>
      <c r="E2849" s="4" t="str">
        <f t="shared" si="243"/>
        <v>Huyện Hiệp Hòa</v>
      </c>
      <c r="F2849" s="3" t="s">
        <v>3613</v>
      </c>
      <c r="G2849" s="4" t="str">
        <f>HYPERLINK("https://diaocthongthai.com/xa-thuong-thang-hiep-hoa/","Xã Thường Thắng")</f>
        <v>Xã Thường Thắng</v>
      </c>
    </row>
    <row r="2850" spans="1:7" x14ac:dyDescent="0.25">
      <c r="A2850" s="2">
        <v>2849</v>
      </c>
      <c r="B2850" s="3" t="s">
        <v>17</v>
      </c>
      <c r="C2850" s="4" t="str">
        <f t="shared" si="244"/>
        <v>Bắc Giang</v>
      </c>
      <c r="D2850" s="3" t="s">
        <v>232</v>
      </c>
      <c r="E2850" s="4" t="str">
        <f t="shared" si="243"/>
        <v>Huyện Hiệp Hòa</v>
      </c>
      <c r="F2850" s="3" t="s">
        <v>3614</v>
      </c>
      <c r="G2850" s="4" t="str">
        <f>HYPERLINK("https://diaocthongthai.com/xa-hop-thinh-hiep-hoa/","Xã Hợp Thịnh")</f>
        <v>Xã Hợp Thịnh</v>
      </c>
    </row>
    <row r="2851" spans="1:7" x14ac:dyDescent="0.25">
      <c r="A2851" s="2">
        <v>2850</v>
      </c>
      <c r="B2851" s="3" t="s">
        <v>17</v>
      </c>
      <c r="C2851" s="4" t="str">
        <f t="shared" si="244"/>
        <v>Bắc Giang</v>
      </c>
      <c r="D2851" s="3" t="s">
        <v>232</v>
      </c>
      <c r="E2851" s="4" t="str">
        <f t="shared" si="243"/>
        <v>Huyện Hiệp Hòa</v>
      </c>
      <c r="F2851" s="3" t="s">
        <v>3615</v>
      </c>
      <c r="G2851" s="4" t="str">
        <f>HYPERLINK("https://diaocthongthai.com/xa-danh-thang-hiep-hoa/","Xã Danh Thắng")</f>
        <v>Xã Danh Thắng</v>
      </c>
    </row>
    <row r="2852" spans="1:7" x14ac:dyDescent="0.25">
      <c r="A2852" s="2">
        <v>2851</v>
      </c>
      <c r="B2852" s="3" t="s">
        <v>17</v>
      </c>
      <c r="C2852" s="4" t="str">
        <f t="shared" si="244"/>
        <v>Bắc Giang</v>
      </c>
      <c r="D2852" s="3" t="s">
        <v>232</v>
      </c>
      <c r="E2852" s="4" t="str">
        <f t="shared" si="243"/>
        <v>Huyện Hiệp Hòa</v>
      </c>
      <c r="F2852" s="3" t="s">
        <v>3616</v>
      </c>
      <c r="G2852" s="4" t="str">
        <f>HYPERLINK("https://diaocthongthai.com/xa-mai-trung-hiep-hoa/","Xã Mai Trung")</f>
        <v>Xã Mai Trung</v>
      </c>
    </row>
    <row r="2853" spans="1:7" x14ac:dyDescent="0.25">
      <c r="A2853" s="2">
        <v>2852</v>
      </c>
      <c r="B2853" s="3" t="s">
        <v>17</v>
      </c>
      <c r="C2853" s="4" t="str">
        <f t="shared" si="244"/>
        <v>Bắc Giang</v>
      </c>
      <c r="D2853" s="3" t="s">
        <v>232</v>
      </c>
      <c r="E2853" s="4" t="str">
        <f t="shared" si="243"/>
        <v>Huyện Hiệp Hòa</v>
      </c>
      <c r="F2853" s="3" t="s">
        <v>3617</v>
      </c>
      <c r="G2853" s="4" t="str">
        <f>HYPERLINK("https://diaocthongthai.com/xa-doan-bai-hiep-hoa/","Xã Đoan Bái")</f>
        <v>Xã Đoan Bái</v>
      </c>
    </row>
    <row r="2854" spans="1:7" x14ac:dyDescent="0.25">
      <c r="A2854" s="2">
        <v>2853</v>
      </c>
      <c r="B2854" s="3" t="s">
        <v>17</v>
      </c>
      <c r="C2854" s="4" t="str">
        <f t="shared" si="244"/>
        <v>Bắc Giang</v>
      </c>
      <c r="D2854" s="3" t="s">
        <v>232</v>
      </c>
      <c r="E2854" s="4" t="str">
        <f t="shared" si="243"/>
        <v>Huyện Hiệp Hòa</v>
      </c>
      <c r="F2854" s="3" t="s">
        <v>3618</v>
      </c>
      <c r="G2854" s="4" t="str">
        <f>HYPERLINK("https://diaocthongthai.com/xa-bac-ly-hiep-hoa/","Xã Bắc Lý")</f>
        <v>Xã Bắc Lý</v>
      </c>
    </row>
    <row r="2855" spans="1:7" x14ac:dyDescent="0.25">
      <c r="A2855" s="2">
        <v>2854</v>
      </c>
      <c r="B2855" s="3" t="s">
        <v>17</v>
      </c>
      <c r="C2855" s="4" t="str">
        <f t="shared" si="244"/>
        <v>Bắc Giang</v>
      </c>
      <c r="D2855" s="3" t="s">
        <v>232</v>
      </c>
      <c r="E2855" s="4" t="str">
        <f t="shared" si="243"/>
        <v>Huyện Hiệp Hòa</v>
      </c>
      <c r="F2855" s="3" t="s">
        <v>3619</v>
      </c>
      <c r="G2855" s="4" t="str">
        <f>HYPERLINK("https://diaocthongthai.com/xa-xuan-cam-hiep-hoa/","Xã Xuân Cẩm")</f>
        <v>Xã Xuân Cẩm</v>
      </c>
    </row>
    <row r="2856" spans="1:7" x14ac:dyDescent="0.25">
      <c r="A2856" s="2">
        <v>2855</v>
      </c>
      <c r="B2856" s="3" t="s">
        <v>17</v>
      </c>
      <c r="C2856" s="4" t="str">
        <f t="shared" si="244"/>
        <v>Bắc Giang</v>
      </c>
      <c r="D2856" s="3" t="s">
        <v>232</v>
      </c>
      <c r="E2856" s="4" t="str">
        <f t="shared" si="243"/>
        <v>Huyện Hiệp Hòa</v>
      </c>
      <c r="F2856" s="3" t="s">
        <v>3620</v>
      </c>
      <c r="G2856" s="4" t="str">
        <f>HYPERLINK("https://diaocthongthai.com/xa-huong-lam-hiep-hoa/","Xã Hương Lâm")</f>
        <v>Xã Hương Lâm</v>
      </c>
    </row>
    <row r="2857" spans="1:7" x14ac:dyDescent="0.25">
      <c r="A2857" s="2">
        <v>2856</v>
      </c>
      <c r="B2857" s="3" t="s">
        <v>17</v>
      </c>
      <c r="C2857" s="4" t="str">
        <f t="shared" si="244"/>
        <v>Bắc Giang</v>
      </c>
      <c r="D2857" s="3" t="s">
        <v>232</v>
      </c>
      <c r="E2857" s="4" t="str">
        <f t="shared" si="243"/>
        <v>Huyện Hiệp Hòa</v>
      </c>
      <c r="F2857" s="3" t="s">
        <v>3621</v>
      </c>
      <c r="G2857" s="4" t="str">
        <f>HYPERLINK("https://diaocthongthai.com/xa-dong-lo-hiep-hoa/","Xã Đông Lỗ")</f>
        <v>Xã Đông Lỗ</v>
      </c>
    </row>
    <row r="2858" spans="1:7" x14ac:dyDescent="0.25">
      <c r="A2858" s="2">
        <v>2857</v>
      </c>
      <c r="B2858" s="3" t="s">
        <v>17</v>
      </c>
      <c r="C2858" s="4" t="str">
        <f t="shared" si="244"/>
        <v>Bắc Giang</v>
      </c>
      <c r="D2858" s="3" t="s">
        <v>232</v>
      </c>
      <c r="E2858" s="4" t="str">
        <f t="shared" si="243"/>
        <v>Huyện Hiệp Hòa</v>
      </c>
      <c r="F2858" s="3" t="s">
        <v>3622</v>
      </c>
      <c r="G2858" s="4" t="str">
        <f>HYPERLINK("https://diaocthongthai.com/xa-chau-minh-hiep-hoa/","Xã Châu Minh")</f>
        <v>Xã Châu Minh</v>
      </c>
    </row>
    <row r="2859" spans="1:7" x14ac:dyDescent="0.25">
      <c r="A2859" s="2">
        <v>2858</v>
      </c>
      <c r="B2859" s="3" t="s">
        <v>17</v>
      </c>
      <c r="C2859" s="4" t="str">
        <f t="shared" si="244"/>
        <v>Bắc Giang</v>
      </c>
      <c r="D2859" s="3" t="s">
        <v>232</v>
      </c>
      <c r="E2859" s="4" t="str">
        <f t="shared" si="243"/>
        <v>Huyện Hiệp Hòa</v>
      </c>
      <c r="F2859" s="3" t="s">
        <v>3623</v>
      </c>
      <c r="G2859" s="4" t="str">
        <f>HYPERLINK("https://diaocthongthai.com/xa-mai-dinh-hiep-hoa/","Xã Mai Đình")</f>
        <v>Xã Mai Đình</v>
      </c>
    </row>
    <row r="2860" spans="1:7" x14ac:dyDescent="0.25">
      <c r="A2860" s="2">
        <v>2859</v>
      </c>
      <c r="B2860" s="3" t="s">
        <v>18</v>
      </c>
      <c r="C2860" s="4" t="str">
        <f t="shared" ref="C2860:C2923" si="245">HYPERLINK("https://diaocthongthai.com/ban-do-phu-tho/","Phú Thọ")</f>
        <v>Phú Thọ</v>
      </c>
      <c r="D2860" s="3" t="s">
        <v>233</v>
      </c>
      <c r="E2860" s="4" t="str">
        <f t="shared" ref="E2860:E2881" si="246">HYPERLINK("https://diaocthongthai.com/ban-do-tp-viet-tri-phu-tho/","Thành phố Việt Trì")</f>
        <v>Thành phố Việt Trì</v>
      </c>
      <c r="F2860" s="3" t="s">
        <v>3624</v>
      </c>
      <c r="G2860" s="4" t="str">
        <f>HYPERLINK("https://diaocthongthai.com/phuong-duu-lau-tp-viet-tri/","Phường Dữu Lâu")</f>
        <v>Phường Dữu Lâu</v>
      </c>
    </row>
    <row r="2861" spans="1:7" x14ac:dyDescent="0.25">
      <c r="A2861" s="2">
        <v>2860</v>
      </c>
      <c r="B2861" s="3" t="s">
        <v>18</v>
      </c>
      <c r="C2861" s="4" t="str">
        <f t="shared" si="245"/>
        <v>Phú Thọ</v>
      </c>
      <c r="D2861" s="3" t="s">
        <v>233</v>
      </c>
      <c r="E2861" s="4" t="str">
        <f t="shared" si="246"/>
        <v>Thành phố Việt Trì</v>
      </c>
      <c r="F2861" s="3" t="s">
        <v>3625</v>
      </c>
      <c r="G2861" s="4" t="str">
        <f>HYPERLINK("https://diaocthongthai.com/phuong-van-co-tp-viet-tri/","Phường Vân Cơ")</f>
        <v>Phường Vân Cơ</v>
      </c>
    </row>
    <row r="2862" spans="1:7" x14ac:dyDescent="0.25">
      <c r="A2862" s="2">
        <v>2861</v>
      </c>
      <c r="B2862" s="3" t="s">
        <v>18</v>
      </c>
      <c r="C2862" s="4" t="str">
        <f t="shared" si="245"/>
        <v>Phú Thọ</v>
      </c>
      <c r="D2862" s="3" t="s">
        <v>233</v>
      </c>
      <c r="E2862" s="4" t="str">
        <f t="shared" si="246"/>
        <v>Thành phố Việt Trì</v>
      </c>
      <c r="F2862" s="3" t="s">
        <v>3626</v>
      </c>
      <c r="G2862" s="4" t="str">
        <f>HYPERLINK("https://diaocthongthai.com/phuong-nong-trang-tp-viet-tri/","Phường Nông Trang")</f>
        <v>Phường Nông Trang</v>
      </c>
    </row>
    <row r="2863" spans="1:7" x14ac:dyDescent="0.25">
      <c r="A2863" s="2">
        <v>2862</v>
      </c>
      <c r="B2863" s="3" t="s">
        <v>18</v>
      </c>
      <c r="C2863" s="4" t="str">
        <f t="shared" si="245"/>
        <v>Phú Thọ</v>
      </c>
      <c r="D2863" s="3" t="s">
        <v>233</v>
      </c>
      <c r="E2863" s="4" t="str">
        <f t="shared" si="246"/>
        <v>Thành phố Việt Trì</v>
      </c>
      <c r="F2863" s="3" t="s">
        <v>3627</v>
      </c>
      <c r="G2863" s="4" t="str">
        <f>HYPERLINK("https://diaocthongthai.com/phuong-tan-dan-tp-viet-tri/","Phường Tân Dân")</f>
        <v>Phường Tân Dân</v>
      </c>
    </row>
    <row r="2864" spans="1:7" x14ac:dyDescent="0.25">
      <c r="A2864" s="2">
        <v>2863</v>
      </c>
      <c r="B2864" s="3" t="s">
        <v>18</v>
      </c>
      <c r="C2864" s="4" t="str">
        <f t="shared" si="245"/>
        <v>Phú Thọ</v>
      </c>
      <c r="D2864" s="3" t="s">
        <v>233</v>
      </c>
      <c r="E2864" s="4" t="str">
        <f t="shared" si="246"/>
        <v>Thành phố Việt Trì</v>
      </c>
      <c r="F2864" s="3" t="s">
        <v>3628</v>
      </c>
      <c r="G2864" s="4" t="str">
        <f>HYPERLINK("https://diaocthongthai.com/phuong-gia-cam-tp-viet-tri/","Phường Gia Cẩm")</f>
        <v>Phường Gia Cẩm</v>
      </c>
    </row>
    <row r="2865" spans="1:7" x14ac:dyDescent="0.25">
      <c r="A2865" s="2">
        <v>2864</v>
      </c>
      <c r="B2865" s="3" t="s">
        <v>18</v>
      </c>
      <c r="C2865" s="4" t="str">
        <f t="shared" si="245"/>
        <v>Phú Thọ</v>
      </c>
      <c r="D2865" s="3" t="s">
        <v>233</v>
      </c>
      <c r="E2865" s="4" t="str">
        <f t="shared" si="246"/>
        <v>Thành phố Việt Trì</v>
      </c>
      <c r="F2865" s="3" t="s">
        <v>3629</v>
      </c>
      <c r="G2865" s="4" t="str">
        <f>HYPERLINK("https://diaocthongthai.com/phuong-tien-cat-tp-viet-tri/","Phường Tiên Cát")</f>
        <v>Phường Tiên Cát</v>
      </c>
    </row>
    <row r="2866" spans="1:7" x14ac:dyDescent="0.25">
      <c r="A2866" s="2">
        <v>2865</v>
      </c>
      <c r="B2866" s="3" t="s">
        <v>18</v>
      </c>
      <c r="C2866" s="4" t="str">
        <f t="shared" si="245"/>
        <v>Phú Thọ</v>
      </c>
      <c r="D2866" s="3" t="s">
        <v>233</v>
      </c>
      <c r="E2866" s="4" t="str">
        <f t="shared" si="246"/>
        <v>Thành phố Việt Trì</v>
      </c>
      <c r="F2866" s="3" t="s">
        <v>3630</v>
      </c>
      <c r="G2866" s="4" t="str">
        <f>HYPERLINK("https://diaocthongthai.com/phuong-tho-son-tp-viet-tri/","Phường Thọ Sơn")</f>
        <v>Phường Thọ Sơn</v>
      </c>
    </row>
    <row r="2867" spans="1:7" x14ac:dyDescent="0.25">
      <c r="A2867" s="2">
        <v>2866</v>
      </c>
      <c r="B2867" s="3" t="s">
        <v>18</v>
      </c>
      <c r="C2867" s="4" t="str">
        <f t="shared" si="245"/>
        <v>Phú Thọ</v>
      </c>
      <c r="D2867" s="3" t="s">
        <v>233</v>
      </c>
      <c r="E2867" s="4" t="str">
        <f t="shared" si="246"/>
        <v>Thành phố Việt Trì</v>
      </c>
      <c r="F2867" s="3" t="s">
        <v>3631</v>
      </c>
      <c r="G2867" s="4" t="str">
        <f>HYPERLINK("https://diaocthongthai.com/phuong-thanh-mieu-tp-viet-tri/","Phường Thanh Miếu")</f>
        <v>Phường Thanh Miếu</v>
      </c>
    </row>
    <row r="2868" spans="1:7" x14ac:dyDescent="0.25">
      <c r="A2868" s="2">
        <v>2867</v>
      </c>
      <c r="B2868" s="3" t="s">
        <v>18</v>
      </c>
      <c r="C2868" s="4" t="str">
        <f t="shared" si="245"/>
        <v>Phú Thọ</v>
      </c>
      <c r="D2868" s="3" t="s">
        <v>233</v>
      </c>
      <c r="E2868" s="4" t="str">
        <f t="shared" si="246"/>
        <v>Thành phố Việt Trì</v>
      </c>
      <c r="F2868" s="3" t="s">
        <v>3632</v>
      </c>
      <c r="G2868" s="4" t="str">
        <f>HYPERLINK("https://diaocthongthai.com/phuong-bach-hac-tp-viet-tri/","Phường Bạch Hạc")</f>
        <v>Phường Bạch Hạc</v>
      </c>
    </row>
    <row r="2869" spans="1:7" x14ac:dyDescent="0.25">
      <c r="A2869" s="2">
        <v>2868</v>
      </c>
      <c r="B2869" s="3" t="s">
        <v>18</v>
      </c>
      <c r="C2869" s="4" t="str">
        <f t="shared" si="245"/>
        <v>Phú Thọ</v>
      </c>
      <c r="D2869" s="3" t="s">
        <v>233</v>
      </c>
      <c r="E2869" s="4" t="str">
        <f t="shared" si="246"/>
        <v>Thành phố Việt Trì</v>
      </c>
      <c r="F2869" s="3" t="s">
        <v>3633</v>
      </c>
      <c r="G2869" s="4" t="str">
        <f>HYPERLINK("https://diaocthongthai.com/phuong-ben-got-tp-viet-tri/","Phường Bến Gót")</f>
        <v>Phường Bến Gót</v>
      </c>
    </row>
    <row r="2870" spans="1:7" x14ac:dyDescent="0.25">
      <c r="A2870" s="2">
        <v>2869</v>
      </c>
      <c r="B2870" s="3" t="s">
        <v>18</v>
      </c>
      <c r="C2870" s="4" t="str">
        <f t="shared" si="245"/>
        <v>Phú Thọ</v>
      </c>
      <c r="D2870" s="3" t="s">
        <v>233</v>
      </c>
      <c r="E2870" s="4" t="str">
        <f t="shared" si="246"/>
        <v>Thành phố Việt Trì</v>
      </c>
      <c r="F2870" s="3" t="s">
        <v>3634</v>
      </c>
      <c r="G2870" s="4" t="str">
        <f>HYPERLINK("https://diaocthongthai.com/phuong-van-phu-tp-viet-tri/","Phường Vân Phú")</f>
        <v>Phường Vân Phú</v>
      </c>
    </row>
    <row r="2871" spans="1:7" x14ac:dyDescent="0.25">
      <c r="A2871" s="2">
        <v>2870</v>
      </c>
      <c r="B2871" s="3" t="s">
        <v>18</v>
      </c>
      <c r="C2871" s="4" t="str">
        <f t="shared" si="245"/>
        <v>Phú Thọ</v>
      </c>
      <c r="D2871" s="3" t="s">
        <v>233</v>
      </c>
      <c r="E2871" s="4" t="str">
        <f t="shared" si="246"/>
        <v>Thành phố Việt Trì</v>
      </c>
      <c r="F2871" s="3" t="s">
        <v>3635</v>
      </c>
      <c r="G2871" s="4" t="str">
        <f>HYPERLINK("https://diaocthongthai.com/xa-phuong-lau-tp-viet-tri/","Xã Phượng Lâu")</f>
        <v>Xã Phượng Lâu</v>
      </c>
    </row>
    <row r="2872" spans="1:7" x14ac:dyDescent="0.25">
      <c r="A2872" s="2">
        <v>2871</v>
      </c>
      <c r="B2872" s="3" t="s">
        <v>18</v>
      </c>
      <c r="C2872" s="4" t="str">
        <f t="shared" si="245"/>
        <v>Phú Thọ</v>
      </c>
      <c r="D2872" s="3" t="s">
        <v>233</v>
      </c>
      <c r="E2872" s="4" t="str">
        <f t="shared" si="246"/>
        <v>Thành phố Việt Trì</v>
      </c>
      <c r="F2872" s="3" t="s">
        <v>3636</v>
      </c>
      <c r="G2872" s="4" t="str">
        <f>HYPERLINK("https://diaocthongthai.com/xa-thuy-van-tp-viet-tri/","Xã Thụy Vân")</f>
        <v>Xã Thụy Vân</v>
      </c>
    </row>
    <row r="2873" spans="1:7" x14ac:dyDescent="0.25">
      <c r="A2873" s="2">
        <v>2872</v>
      </c>
      <c r="B2873" s="3" t="s">
        <v>18</v>
      </c>
      <c r="C2873" s="4" t="str">
        <f t="shared" si="245"/>
        <v>Phú Thọ</v>
      </c>
      <c r="D2873" s="3" t="s">
        <v>233</v>
      </c>
      <c r="E2873" s="4" t="str">
        <f t="shared" si="246"/>
        <v>Thành phố Việt Trì</v>
      </c>
      <c r="F2873" s="3" t="s">
        <v>3637</v>
      </c>
      <c r="G2873" s="4" t="str">
        <f>HYPERLINK("https://diaocthongthai.com/phuong-minh-phuong-tp-viet-tri/","Phường Minh Phương")</f>
        <v>Phường Minh Phương</v>
      </c>
    </row>
    <row r="2874" spans="1:7" x14ac:dyDescent="0.25">
      <c r="A2874" s="2">
        <v>2873</v>
      </c>
      <c r="B2874" s="3" t="s">
        <v>18</v>
      </c>
      <c r="C2874" s="4" t="str">
        <f t="shared" si="245"/>
        <v>Phú Thọ</v>
      </c>
      <c r="D2874" s="3" t="s">
        <v>233</v>
      </c>
      <c r="E2874" s="4" t="str">
        <f t="shared" si="246"/>
        <v>Thành phố Việt Trì</v>
      </c>
      <c r="F2874" s="3" t="s">
        <v>3638</v>
      </c>
      <c r="G2874" s="4" t="str">
        <f>HYPERLINK("https://diaocthongthai.com/xa-trung-vuong-tp-viet-tri/","Xã Trưng Vương")</f>
        <v>Xã Trưng Vương</v>
      </c>
    </row>
    <row r="2875" spans="1:7" x14ac:dyDescent="0.25">
      <c r="A2875" s="2">
        <v>2874</v>
      </c>
      <c r="B2875" s="3" t="s">
        <v>18</v>
      </c>
      <c r="C2875" s="4" t="str">
        <f t="shared" si="245"/>
        <v>Phú Thọ</v>
      </c>
      <c r="D2875" s="3" t="s">
        <v>233</v>
      </c>
      <c r="E2875" s="4" t="str">
        <f t="shared" si="246"/>
        <v>Thành phố Việt Trì</v>
      </c>
      <c r="F2875" s="3" t="s">
        <v>3639</v>
      </c>
      <c r="G2875" s="4" t="str">
        <f>HYPERLINK("https://diaocthongthai.com/phuong-minh-nong-tp-viet-tri/","Phường Minh Nông")</f>
        <v>Phường Minh Nông</v>
      </c>
    </row>
    <row r="2876" spans="1:7" x14ac:dyDescent="0.25">
      <c r="A2876" s="2">
        <v>2875</v>
      </c>
      <c r="B2876" s="3" t="s">
        <v>18</v>
      </c>
      <c r="C2876" s="4" t="str">
        <f t="shared" si="245"/>
        <v>Phú Thọ</v>
      </c>
      <c r="D2876" s="3" t="s">
        <v>233</v>
      </c>
      <c r="E2876" s="4" t="str">
        <f t="shared" si="246"/>
        <v>Thành phố Việt Trì</v>
      </c>
      <c r="F2876" s="3" t="s">
        <v>3640</v>
      </c>
      <c r="G2876" s="4" t="str">
        <f>HYPERLINK("https://diaocthongthai.com/xa-song-lo-tp-viet-tri/","Xã Sông Lô")</f>
        <v>Xã Sông Lô</v>
      </c>
    </row>
    <row r="2877" spans="1:7" x14ac:dyDescent="0.25">
      <c r="A2877" s="2">
        <v>2876</v>
      </c>
      <c r="B2877" s="3" t="s">
        <v>18</v>
      </c>
      <c r="C2877" s="4" t="str">
        <f t="shared" si="245"/>
        <v>Phú Thọ</v>
      </c>
      <c r="D2877" s="3" t="s">
        <v>233</v>
      </c>
      <c r="E2877" s="4" t="str">
        <f t="shared" si="246"/>
        <v>Thành phố Việt Trì</v>
      </c>
      <c r="F2877" s="3" t="s">
        <v>3641</v>
      </c>
      <c r="G2877" s="4" t="str">
        <f>HYPERLINK("https://diaocthongthai.com/xa-kim-duc-tp-viet-tri/","Xã Kim Đức")</f>
        <v>Xã Kim Đức</v>
      </c>
    </row>
    <row r="2878" spans="1:7" x14ac:dyDescent="0.25">
      <c r="A2878" s="2">
        <v>2877</v>
      </c>
      <c r="B2878" s="3" t="s">
        <v>18</v>
      </c>
      <c r="C2878" s="4" t="str">
        <f t="shared" si="245"/>
        <v>Phú Thọ</v>
      </c>
      <c r="D2878" s="3" t="s">
        <v>233</v>
      </c>
      <c r="E2878" s="4" t="str">
        <f t="shared" si="246"/>
        <v>Thành phố Việt Trì</v>
      </c>
      <c r="F2878" s="3" t="s">
        <v>3642</v>
      </c>
      <c r="G2878" s="4" t="str">
        <f>HYPERLINK("https://diaocthongthai.com/xa-hung-lo-tp-viet-tri/","Xã Hùng Lô")</f>
        <v>Xã Hùng Lô</v>
      </c>
    </row>
    <row r="2879" spans="1:7" x14ac:dyDescent="0.25">
      <c r="A2879" s="2">
        <v>2878</v>
      </c>
      <c r="B2879" s="3" t="s">
        <v>18</v>
      </c>
      <c r="C2879" s="4" t="str">
        <f t="shared" si="245"/>
        <v>Phú Thọ</v>
      </c>
      <c r="D2879" s="3" t="s">
        <v>233</v>
      </c>
      <c r="E2879" s="4" t="str">
        <f t="shared" si="246"/>
        <v>Thành phố Việt Trì</v>
      </c>
      <c r="F2879" s="3" t="s">
        <v>3643</v>
      </c>
      <c r="G2879" s="4" t="str">
        <f>HYPERLINK("https://diaocthongthai.com/xa-hy-cuong-tp-viet-tri/","Xã Hy Cương")</f>
        <v>Xã Hy Cương</v>
      </c>
    </row>
    <row r="2880" spans="1:7" x14ac:dyDescent="0.25">
      <c r="A2880" s="2">
        <v>2879</v>
      </c>
      <c r="B2880" s="3" t="s">
        <v>18</v>
      </c>
      <c r="C2880" s="4" t="str">
        <f t="shared" si="245"/>
        <v>Phú Thọ</v>
      </c>
      <c r="D2880" s="3" t="s">
        <v>233</v>
      </c>
      <c r="E2880" s="4" t="str">
        <f t="shared" si="246"/>
        <v>Thành phố Việt Trì</v>
      </c>
      <c r="F2880" s="3" t="s">
        <v>3644</v>
      </c>
      <c r="G2880" s="4" t="str">
        <f>HYPERLINK("https://diaocthongthai.com/xa-chu-hoa-tp-viet-tri/","Xã Chu Hóa")</f>
        <v>Xã Chu Hóa</v>
      </c>
    </row>
    <row r="2881" spans="1:7" x14ac:dyDescent="0.25">
      <c r="A2881" s="2">
        <v>2880</v>
      </c>
      <c r="B2881" s="3" t="s">
        <v>18</v>
      </c>
      <c r="C2881" s="4" t="str">
        <f t="shared" si="245"/>
        <v>Phú Thọ</v>
      </c>
      <c r="D2881" s="3" t="s">
        <v>233</v>
      </c>
      <c r="E2881" s="4" t="str">
        <f t="shared" si="246"/>
        <v>Thành phố Việt Trì</v>
      </c>
      <c r="F2881" s="3" t="s">
        <v>3645</v>
      </c>
      <c r="G2881" s="4" t="str">
        <f>HYPERLINK("https://diaocthongthai.com/xa-thanh-dinh-tp-viet-tri/","Xã Thanh Đình")</f>
        <v>Xã Thanh Đình</v>
      </c>
    </row>
    <row r="2882" spans="1:7" x14ac:dyDescent="0.25">
      <c r="A2882" s="2">
        <v>2881</v>
      </c>
      <c r="B2882" s="3" t="s">
        <v>18</v>
      </c>
      <c r="C2882" s="4" t="str">
        <f t="shared" si="245"/>
        <v>Phú Thọ</v>
      </c>
      <c r="D2882" s="3" t="s">
        <v>234</v>
      </c>
      <c r="E2882" s="4" t="str">
        <f t="shared" ref="E2882:E2890" si="247">HYPERLINK("https://diaocthongthai.com/ban-do-thi-xa-phu-tho-phu-tho/","Thị xã Phú Thọ")</f>
        <v>Thị xã Phú Thọ</v>
      </c>
      <c r="F2882" s="3" t="s">
        <v>3646</v>
      </c>
      <c r="G2882" s="4" t="str">
        <f>HYPERLINK("https://diaocthongthai.com/phuong-hung-vuong-phu-tho/","Phường Hùng Vương")</f>
        <v>Phường Hùng Vương</v>
      </c>
    </row>
    <row r="2883" spans="1:7" x14ac:dyDescent="0.25">
      <c r="A2883" s="2">
        <v>2882</v>
      </c>
      <c r="B2883" s="3" t="s">
        <v>18</v>
      </c>
      <c r="C2883" s="4" t="str">
        <f t="shared" si="245"/>
        <v>Phú Thọ</v>
      </c>
      <c r="D2883" s="3" t="s">
        <v>234</v>
      </c>
      <c r="E2883" s="4" t="str">
        <f t="shared" si="247"/>
        <v>Thị xã Phú Thọ</v>
      </c>
      <c r="F2883" s="3" t="s">
        <v>3647</v>
      </c>
      <c r="G2883" s="4" t="str">
        <f>HYPERLINK("https://diaocthongthai.com/phuong-phong-chau-phu-tho/","Phường Phong Châu")</f>
        <v>Phường Phong Châu</v>
      </c>
    </row>
    <row r="2884" spans="1:7" x14ac:dyDescent="0.25">
      <c r="A2884" s="2">
        <v>2883</v>
      </c>
      <c r="B2884" s="3" t="s">
        <v>18</v>
      </c>
      <c r="C2884" s="4" t="str">
        <f t="shared" si="245"/>
        <v>Phú Thọ</v>
      </c>
      <c r="D2884" s="3" t="s">
        <v>234</v>
      </c>
      <c r="E2884" s="4" t="str">
        <f t="shared" si="247"/>
        <v>Thị xã Phú Thọ</v>
      </c>
      <c r="F2884" s="3" t="s">
        <v>3648</v>
      </c>
      <c r="G2884" s="4" t="str">
        <f>HYPERLINK("https://diaocthongthai.com/phuong-au-co-phu-tho/","Phường Âu Cơ")</f>
        <v>Phường Âu Cơ</v>
      </c>
    </row>
    <row r="2885" spans="1:7" x14ac:dyDescent="0.25">
      <c r="A2885" s="2">
        <v>2884</v>
      </c>
      <c r="B2885" s="3" t="s">
        <v>18</v>
      </c>
      <c r="C2885" s="4" t="str">
        <f t="shared" si="245"/>
        <v>Phú Thọ</v>
      </c>
      <c r="D2885" s="3" t="s">
        <v>234</v>
      </c>
      <c r="E2885" s="4" t="str">
        <f t="shared" si="247"/>
        <v>Thị xã Phú Thọ</v>
      </c>
      <c r="F2885" s="3" t="s">
        <v>3649</v>
      </c>
      <c r="G2885" s="4" t="str">
        <f>HYPERLINK("https://diaocthongthai.com/xa-ha-loc-phu-tho/","Xã Hà Lộc")</f>
        <v>Xã Hà Lộc</v>
      </c>
    </row>
    <row r="2886" spans="1:7" x14ac:dyDescent="0.25">
      <c r="A2886" s="2">
        <v>2885</v>
      </c>
      <c r="B2886" s="3" t="s">
        <v>18</v>
      </c>
      <c r="C2886" s="4" t="str">
        <f t="shared" si="245"/>
        <v>Phú Thọ</v>
      </c>
      <c r="D2886" s="3" t="s">
        <v>234</v>
      </c>
      <c r="E2886" s="4" t="str">
        <f t="shared" si="247"/>
        <v>Thị xã Phú Thọ</v>
      </c>
      <c r="F2886" s="3" t="s">
        <v>3650</v>
      </c>
      <c r="G2886" s="4" t="str">
        <f>HYPERLINK("https://diaocthongthai.com/xa-phu-ho-phu-tho/","Xã Phú Hộ")</f>
        <v>Xã Phú Hộ</v>
      </c>
    </row>
    <row r="2887" spans="1:7" x14ac:dyDescent="0.25">
      <c r="A2887" s="2">
        <v>2886</v>
      </c>
      <c r="B2887" s="3" t="s">
        <v>18</v>
      </c>
      <c r="C2887" s="4" t="str">
        <f t="shared" si="245"/>
        <v>Phú Thọ</v>
      </c>
      <c r="D2887" s="3" t="s">
        <v>234</v>
      </c>
      <c r="E2887" s="4" t="str">
        <f t="shared" si="247"/>
        <v>Thị xã Phú Thọ</v>
      </c>
      <c r="F2887" s="3" t="s">
        <v>3651</v>
      </c>
      <c r="G2887" s="4" t="str">
        <f>HYPERLINK("https://diaocthongthai.com/xa-van-lung-phu-tho/","Xã Văn Lung")</f>
        <v>Xã Văn Lung</v>
      </c>
    </row>
    <row r="2888" spans="1:7" x14ac:dyDescent="0.25">
      <c r="A2888" s="2">
        <v>2887</v>
      </c>
      <c r="B2888" s="3" t="s">
        <v>18</v>
      </c>
      <c r="C2888" s="4" t="str">
        <f t="shared" si="245"/>
        <v>Phú Thọ</v>
      </c>
      <c r="D2888" s="3" t="s">
        <v>234</v>
      </c>
      <c r="E2888" s="4" t="str">
        <f t="shared" si="247"/>
        <v>Thị xã Phú Thọ</v>
      </c>
      <c r="F2888" s="3" t="s">
        <v>3652</v>
      </c>
      <c r="G2888" s="4" t="str">
        <f>HYPERLINK("https://diaocthongthai.com/xa-thanh-minh-phu-tho/","Xã Thanh Minh")</f>
        <v>Xã Thanh Minh</v>
      </c>
    </row>
    <row r="2889" spans="1:7" x14ac:dyDescent="0.25">
      <c r="A2889" s="2">
        <v>2888</v>
      </c>
      <c r="B2889" s="3" t="s">
        <v>18</v>
      </c>
      <c r="C2889" s="4" t="str">
        <f t="shared" si="245"/>
        <v>Phú Thọ</v>
      </c>
      <c r="D2889" s="3" t="s">
        <v>234</v>
      </c>
      <c r="E2889" s="4" t="str">
        <f t="shared" si="247"/>
        <v>Thị xã Phú Thọ</v>
      </c>
      <c r="F2889" s="3" t="s">
        <v>3653</v>
      </c>
      <c r="G2889" s="4" t="str">
        <f>HYPERLINK("https://diaocthongthai.com/xa-ha-thach-phu-tho/","Xã Hà Thạch")</f>
        <v>Xã Hà Thạch</v>
      </c>
    </row>
    <row r="2890" spans="1:7" x14ac:dyDescent="0.25">
      <c r="A2890" s="2">
        <v>2889</v>
      </c>
      <c r="B2890" s="3" t="s">
        <v>18</v>
      </c>
      <c r="C2890" s="4" t="str">
        <f t="shared" si="245"/>
        <v>Phú Thọ</v>
      </c>
      <c r="D2890" s="3" t="s">
        <v>234</v>
      </c>
      <c r="E2890" s="4" t="str">
        <f t="shared" si="247"/>
        <v>Thị xã Phú Thọ</v>
      </c>
      <c r="F2890" s="3" t="s">
        <v>3654</v>
      </c>
      <c r="G2890" s="4" t="str">
        <f>HYPERLINK("https://diaocthongthai.com/phuong-thanh-vinh-phu-tho/","Phường Thanh Vinh")</f>
        <v>Phường Thanh Vinh</v>
      </c>
    </row>
    <row r="2891" spans="1:7" x14ac:dyDescent="0.25">
      <c r="A2891" s="2">
        <v>2890</v>
      </c>
      <c r="B2891" s="3" t="s">
        <v>18</v>
      </c>
      <c r="C2891" s="4" t="str">
        <f t="shared" si="245"/>
        <v>Phú Thọ</v>
      </c>
      <c r="D2891" s="3" t="s">
        <v>235</v>
      </c>
      <c r="E2891" s="4" t="str">
        <f t="shared" ref="E2891:E2912" si="248">HYPERLINK("https://diaocthongthai.com/ban-do-huyen-doan-hung-phu-tho/","Huyện Đoan Hùng")</f>
        <v>Huyện Đoan Hùng</v>
      </c>
      <c r="F2891" s="3" t="s">
        <v>3655</v>
      </c>
      <c r="G2891" s="4" t="str">
        <f>HYPERLINK("https://diaocthongthai.com/thi-tran-doan-hung-doan-hung/","Thị trấn Đoan Hùng")</f>
        <v>Thị trấn Đoan Hùng</v>
      </c>
    </row>
    <row r="2892" spans="1:7" x14ac:dyDescent="0.25">
      <c r="A2892" s="2">
        <v>2891</v>
      </c>
      <c r="B2892" s="3" t="s">
        <v>18</v>
      </c>
      <c r="C2892" s="4" t="str">
        <f t="shared" si="245"/>
        <v>Phú Thọ</v>
      </c>
      <c r="D2892" s="3" t="s">
        <v>235</v>
      </c>
      <c r="E2892" s="4" t="str">
        <f t="shared" si="248"/>
        <v>Huyện Đoan Hùng</v>
      </c>
      <c r="F2892" s="3" t="s">
        <v>3656</v>
      </c>
      <c r="G2892" s="4" t="str">
        <f>HYPERLINK("https://diaocthongthai.com/xa-hung-xuyen-doan-hung/","Xã Hùng Xuyên")</f>
        <v>Xã Hùng Xuyên</v>
      </c>
    </row>
    <row r="2893" spans="1:7" x14ac:dyDescent="0.25">
      <c r="A2893" s="2">
        <v>2892</v>
      </c>
      <c r="B2893" s="3" t="s">
        <v>18</v>
      </c>
      <c r="C2893" s="4" t="str">
        <f t="shared" si="245"/>
        <v>Phú Thọ</v>
      </c>
      <c r="D2893" s="3" t="s">
        <v>235</v>
      </c>
      <c r="E2893" s="4" t="str">
        <f t="shared" si="248"/>
        <v>Huyện Đoan Hùng</v>
      </c>
      <c r="F2893" s="3" t="s">
        <v>3657</v>
      </c>
      <c r="G2893" s="4" t="str">
        <f>HYPERLINK("https://diaocthongthai.com/xa-bang-luan-doan-hung/","Xã Bằng Luân")</f>
        <v>Xã Bằng Luân</v>
      </c>
    </row>
    <row r="2894" spans="1:7" x14ac:dyDescent="0.25">
      <c r="A2894" s="2">
        <v>2893</v>
      </c>
      <c r="B2894" s="3" t="s">
        <v>18</v>
      </c>
      <c r="C2894" s="4" t="str">
        <f t="shared" si="245"/>
        <v>Phú Thọ</v>
      </c>
      <c r="D2894" s="3" t="s">
        <v>235</v>
      </c>
      <c r="E2894" s="4" t="str">
        <f t="shared" si="248"/>
        <v>Huyện Đoan Hùng</v>
      </c>
      <c r="F2894" s="3" t="s">
        <v>3658</v>
      </c>
      <c r="G2894" s="4" t="str">
        <f>HYPERLINK("https://diaocthongthai.com/xa-van-du-doan-hung/","Xã Vân Du")</f>
        <v>Xã Vân Du</v>
      </c>
    </row>
    <row r="2895" spans="1:7" x14ac:dyDescent="0.25">
      <c r="A2895" s="2">
        <v>2894</v>
      </c>
      <c r="B2895" s="3" t="s">
        <v>18</v>
      </c>
      <c r="C2895" s="4" t="str">
        <f t="shared" si="245"/>
        <v>Phú Thọ</v>
      </c>
      <c r="D2895" s="3" t="s">
        <v>235</v>
      </c>
      <c r="E2895" s="4" t="str">
        <f t="shared" si="248"/>
        <v>Huyện Đoan Hùng</v>
      </c>
      <c r="F2895" s="3" t="s">
        <v>3659</v>
      </c>
      <c r="G2895" s="4" t="str">
        <f>HYPERLINK("https://diaocthongthai.com/xa-phu-lam-doan-hung/","Xã Phú Lâm")</f>
        <v>Xã Phú Lâm</v>
      </c>
    </row>
    <row r="2896" spans="1:7" x14ac:dyDescent="0.25">
      <c r="A2896" s="2">
        <v>2895</v>
      </c>
      <c r="B2896" s="3" t="s">
        <v>18</v>
      </c>
      <c r="C2896" s="4" t="str">
        <f t="shared" si="245"/>
        <v>Phú Thọ</v>
      </c>
      <c r="D2896" s="3" t="s">
        <v>235</v>
      </c>
      <c r="E2896" s="4" t="str">
        <f t="shared" si="248"/>
        <v>Huyện Đoan Hùng</v>
      </c>
      <c r="F2896" s="3" t="s">
        <v>3660</v>
      </c>
      <c r="G2896" s="4" t="str">
        <f>HYPERLINK("https://diaocthongthai.com/xa-minh-luong-doan-hung/","Xã Minh Lương")</f>
        <v>Xã Minh Lương</v>
      </c>
    </row>
    <row r="2897" spans="1:7" x14ac:dyDescent="0.25">
      <c r="A2897" s="2">
        <v>2896</v>
      </c>
      <c r="B2897" s="3" t="s">
        <v>18</v>
      </c>
      <c r="C2897" s="4" t="str">
        <f t="shared" si="245"/>
        <v>Phú Thọ</v>
      </c>
      <c r="D2897" s="3" t="s">
        <v>235</v>
      </c>
      <c r="E2897" s="4" t="str">
        <f t="shared" si="248"/>
        <v>Huyện Đoan Hùng</v>
      </c>
      <c r="F2897" s="3" t="s">
        <v>3661</v>
      </c>
      <c r="G2897" s="4" t="str">
        <f>HYPERLINK("https://diaocthongthai.com/xa-bang-doan-doan-hung/","Xã Bằng Doãn")</f>
        <v>Xã Bằng Doãn</v>
      </c>
    </row>
    <row r="2898" spans="1:7" x14ac:dyDescent="0.25">
      <c r="A2898" s="2">
        <v>2897</v>
      </c>
      <c r="B2898" s="3" t="s">
        <v>18</v>
      </c>
      <c r="C2898" s="4" t="str">
        <f t="shared" si="245"/>
        <v>Phú Thọ</v>
      </c>
      <c r="D2898" s="3" t="s">
        <v>235</v>
      </c>
      <c r="E2898" s="4" t="str">
        <f t="shared" si="248"/>
        <v>Huyện Đoan Hùng</v>
      </c>
      <c r="F2898" s="3" t="s">
        <v>3662</v>
      </c>
      <c r="G2898" s="4" t="str">
        <f>HYPERLINK("https://diaocthongthai.com/xa-chi-dam-doan-hung/","Xã Chí Đám")</f>
        <v>Xã Chí Đám</v>
      </c>
    </row>
    <row r="2899" spans="1:7" x14ac:dyDescent="0.25">
      <c r="A2899" s="2">
        <v>2898</v>
      </c>
      <c r="B2899" s="3" t="s">
        <v>18</v>
      </c>
      <c r="C2899" s="4" t="str">
        <f t="shared" si="245"/>
        <v>Phú Thọ</v>
      </c>
      <c r="D2899" s="3" t="s">
        <v>235</v>
      </c>
      <c r="E2899" s="4" t="str">
        <f t="shared" si="248"/>
        <v>Huyện Đoan Hùng</v>
      </c>
      <c r="F2899" s="3" t="s">
        <v>3663</v>
      </c>
      <c r="G2899" s="4" t="str">
        <f>HYPERLINK("https://diaocthongthai.com/xa-phuc-lai-doan-hung/","Xã Phúc Lai")</f>
        <v>Xã Phúc Lai</v>
      </c>
    </row>
    <row r="2900" spans="1:7" x14ac:dyDescent="0.25">
      <c r="A2900" s="2">
        <v>2899</v>
      </c>
      <c r="B2900" s="3" t="s">
        <v>18</v>
      </c>
      <c r="C2900" s="4" t="str">
        <f t="shared" si="245"/>
        <v>Phú Thọ</v>
      </c>
      <c r="D2900" s="3" t="s">
        <v>235</v>
      </c>
      <c r="E2900" s="4" t="str">
        <f t="shared" si="248"/>
        <v>Huyện Đoan Hùng</v>
      </c>
      <c r="F2900" s="3" t="s">
        <v>3664</v>
      </c>
      <c r="G2900" s="4" t="str">
        <f>HYPERLINK("https://diaocthongthai.com/xa-ngoc-quan-doan-hung/","Xã Ngọc Quan")</f>
        <v>Xã Ngọc Quan</v>
      </c>
    </row>
    <row r="2901" spans="1:7" x14ac:dyDescent="0.25">
      <c r="A2901" s="2">
        <v>2900</v>
      </c>
      <c r="B2901" s="3" t="s">
        <v>18</v>
      </c>
      <c r="C2901" s="4" t="str">
        <f t="shared" si="245"/>
        <v>Phú Thọ</v>
      </c>
      <c r="D2901" s="3" t="s">
        <v>235</v>
      </c>
      <c r="E2901" s="4" t="str">
        <f t="shared" si="248"/>
        <v>Huyện Đoan Hùng</v>
      </c>
      <c r="F2901" s="3" t="s">
        <v>3665</v>
      </c>
      <c r="G2901" s="4" t="str">
        <f>HYPERLINK("https://diaocthongthai.com/xa-hop-nhat-doan-hung/","Xã Hợp Nhất")</f>
        <v>Xã Hợp Nhất</v>
      </c>
    </row>
    <row r="2902" spans="1:7" x14ac:dyDescent="0.25">
      <c r="A2902" s="2">
        <v>2901</v>
      </c>
      <c r="B2902" s="3" t="s">
        <v>18</v>
      </c>
      <c r="C2902" s="4" t="str">
        <f t="shared" si="245"/>
        <v>Phú Thọ</v>
      </c>
      <c r="D2902" s="3" t="s">
        <v>235</v>
      </c>
      <c r="E2902" s="4" t="str">
        <f t="shared" si="248"/>
        <v>Huyện Đoan Hùng</v>
      </c>
      <c r="F2902" s="3" t="s">
        <v>3666</v>
      </c>
      <c r="G2902" s="4" t="str">
        <f>HYPERLINK("https://diaocthongthai.com/xa-soc-dang-doan-hung/","Xã Sóc Đăng")</f>
        <v>Xã Sóc Đăng</v>
      </c>
    </row>
    <row r="2903" spans="1:7" x14ac:dyDescent="0.25">
      <c r="A2903" s="2">
        <v>2902</v>
      </c>
      <c r="B2903" s="3" t="s">
        <v>18</v>
      </c>
      <c r="C2903" s="4" t="str">
        <f t="shared" si="245"/>
        <v>Phú Thọ</v>
      </c>
      <c r="D2903" s="3" t="s">
        <v>235</v>
      </c>
      <c r="E2903" s="4" t="str">
        <f t="shared" si="248"/>
        <v>Huyện Đoan Hùng</v>
      </c>
      <c r="F2903" s="3" t="s">
        <v>3667</v>
      </c>
      <c r="G2903" s="4" t="str">
        <f>HYPERLINK("https://diaocthongthai.com/xa-tay-coc-doan-hung/","Xã Tây Cốc")</f>
        <v>Xã Tây Cốc</v>
      </c>
    </row>
    <row r="2904" spans="1:7" x14ac:dyDescent="0.25">
      <c r="A2904" s="2">
        <v>2903</v>
      </c>
      <c r="B2904" s="3" t="s">
        <v>18</v>
      </c>
      <c r="C2904" s="4" t="str">
        <f t="shared" si="245"/>
        <v>Phú Thọ</v>
      </c>
      <c r="D2904" s="3" t="s">
        <v>235</v>
      </c>
      <c r="E2904" s="4" t="str">
        <f t="shared" si="248"/>
        <v>Huyện Đoan Hùng</v>
      </c>
      <c r="F2904" s="3" t="s">
        <v>3668</v>
      </c>
      <c r="G2904" s="4" t="str">
        <f>HYPERLINK("https://diaocthongthai.com/xa-yen-kien-doan-hung/","Xã Yên Kiện")</f>
        <v>Xã Yên Kiện</v>
      </c>
    </row>
    <row r="2905" spans="1:7" x14ac:dyDescent="0.25">
      <c r="A2905" s="2">
        <v>2904</v>
      </c>
      <c r="B2905" s="3" t="s">
        <v>18</v>
      </c>
      <c r="C2905" s="4" t="str">
        <f t="shared" si="245"/>
        <v>Phú Thọ</v>
      </c>
      <c r="D2905" s="3" t="s">
        <v>235</v>
      </c>
      <c r="E2905" s="4" t="str">
        <f t="shared" si="248"/>
        <v>Huyện Đoan Hùng</v>
      </c>
      <c r="F2905" s="3" t="s">
        <v>3669</v>
      </c>
      <c r="G2905" s="4" t="str">
        <f>HYPERLINK("https://diaocthongthai.com/xa-hung-long-doan-hung/","Xã Hùng Long")</f>
        <v>Xã Hùng Long</v>
      </c>
    </row>
    <row r="2906" spans="1:7" x14ac:dyDescent="0.25">
      <c r="A2906" s="2">
        <v>2905</v>
      </c>
      <c r="B2906" s="3" t="s">
        <v>18</v>
      </c>
      <c r="C2906" s="4" t="str">
        <f t="shared" si="245"/>
        <v>Phú Thọ</v>
      </c>
      <c r="D2906" s="3" t="s">
        <v>235</v>
      </c>
      <c r="E2906" s="4" t="str">
        <f t="shared" si="248"/>
        <v>Huyện Đoan Hùng</v>
      </c>
      <c r="F2906" s="3" t="s">
        <v>3670</v>
      </c>
      <c r="G2906" s="4" t="str">
        <f>HYPERLINK("https://diaocthongthai.com/xa-vu-quang-doan-hung/","Xã Vụ Quang")</f>
        <v>Xã Vụ Quang</v>
      </c>
    </row>
    <row r="2907" spans="1:7" x14ac:dyDescent="0.25">
      <c r="A2907" s="2">
        <v>2906</v>
      </c>
      <c r="B2907" s="3" t="s">
        <v>18</v>
      </c>
      <c r="C2907" s="4" t="str">
        <f t="shared" si="245"/>
        <v>Phú Thọ</v>
      </c>
      <c r="D2907" s="3" t="s">
        <v>235</v>
      </c>
      <c r="E2907" s="4" t="str">
        <f t="shared" si="248"/>
        <v>Huyện Đoan Hùng</v>
      </c>
      <c r="F2907" s="3" t="s">
        <v>3671</v>
      </c>
      <c r="G2907" s="4" t="str">
        <f>HYPERLINK("https://diaocthongthai.com/xa-van-don-doan-hung/","Xã Vân Đồn")</f>
        <v>Xã Vân Đồn</v>
      </c>
    </row>
    <row r="2908" spans="1:7" x14ac:dyDescent="0.25">
      <c r="A2908" s="2">
        <v>2907</v>
      </c>
      <c r="B2908" s="3" t="s">
        <v>18</v>
      </c>
      <c r="C2908" s="4" t="str">
        <f t="shared" si="245"/>
        <v>Phú Thọ</v>
      </c>
      <c r="D2908" s="3" t="s">
        <v>235</v>
      </c>
      <c r="E2908" s="4" t="str">
        <f t="shared" si="248"/>
        <v>Huyện Đoan Hùng</v>
      </c>
      <c r="F2908" s="3" t="s">
        <v>3672</v>
      </c>
      <c r="G2908" s="4" t="str">
        <f>HYPERLINK("https://diaocthongthai.com/xa-tieu-son-doan-hung/","Xã Tiêu Sơn")</f>
        <v>Xã Tiêu Sơn</v>
      </c>
    </row>
    <row r="2909" spans="1:7" x14ac:dyDescent="0.25">
      <c r="A2909" s="2">
        <v>2908</v>
      </c>
      <c r="B2909" s="3" t="s">
        <v>18</v>
      </c>
      <c r="C2909" s="4" t="str">
        <f t="shared" si="245"/>
        <v>Phú Thọ</v>
      </c>
      <c r="D2909" s="3" t="s">
        <v>235</v>
      </c>
      <c r="E2909" s="4" t="str">
        <f t="shared" si="248"/>
        <v>Huyện Đoan Hùng</v>
      </c>
      <c r="F2909" s="3" t="s">
        <v>3673</v>
      </c>
      <c r="G2909" s="4" t="str">
        <f>HYPERLINK("https://diaocthongthai.com/xa-minh-tien-doan-hung/","Xã Minh Tiến")</f>
        <v>Xã Minh Tiến</v>
      </c>
    </row>
    <row r="2910" spans="1:7" x14ac:dyDescent="0.25">
      <c r="A2910" s="2">
        <v>2909</v>
      </c>
      <c r="B2910" s="3" t="s">
        <v>18</v>
      </c>
      <c r="C2910" s="4" t="str">
        <f t="shared" si="245"/>
        <v>Phú Thọ</v>
      </c>
      <c r="D2910" s="3" t="s">
        <v>235</v>
      </c>
      <c r="E2910" s="4" t="str">
        <f t="shared" si="248"/>
        <v>Huyện Đoan Hùng</v>
      </c>
      <c r="F2910" s="3" t="s">
        <v>3674</v>
      </c>
      <c r="G2910" s="4" t="str">
        <f>HYPERLINK("https://diaocthongthai.com/xa-minh-phu-doan-hung/","Xã Minh Phú")</f>
        <v>Xã Minh Phú</v>
      </c>
    </row>
    <row r="2911" spans="1:7" x14ac:dyDescent="0.25">
      <c r="A2911" s="2">
        <v>2910</v>
      </c>
      <c r="B2911" s="3" t="s">
        <v>18</v>
      </c>
      <c r="C2911" s="4" t="str">
        <f t="shared" si="245"/>
        <v>Phú Thọ</v>
      </c>
      <c r="D2911" s="3" t="s">
        <v>235</v>
      </c>
      <c r="E2911" s="4" t="str">
        <f t="shared" si="248"/>
        <v>Huyện Đoan Hùng</v>
      </c>
      <c r="F2911" s="3" t="s">
        <v>3675</v>
      </c>
      <c r="G2911" s="4" t="str">
        <f>HYPERLINK("https://diaocthongthai.com/xa-chan-mong-doan-hung/","Xã Chân Mộng")</f>
        <v>Xã Chân Mộng</v>
      </c>
    </row>
    <row r="2912" spans="1:7" x14ac:dyDescent="0.25">
      <c r="A2912" s="2">
        <v>2911</v>
      </c>
      <c r="B2912" s="3" t="s">
        <v>18</v>
      </c>
      <c r="C2912" s="4" t="str">
        <f t="shared" si="245"/>
        <v>Phú Thọ</v>
      </c>
      <c r="D2912" s="3" t="s">
        <v>235</v>
      </c>
      <c r="E2912" s="4" t="str">
        <f t="shared" si="248"/>
        <v>Huyện Đoan Hùng</v>
      </c>
      <c r="F2912" s="3" t="s">
        <v>3676</v>
      </c>
      <c r="G2912" s="4" t="str">
        <f>HYPERLINK("https://diaocthongthai.com/xa-ca-dinh-doan-hung/","Xã Ca Đình")</f>
        <v>Xã Ca Đình</v>
      </c>
    </row>
    <row r="2913" spans="1:7" x14ac:dyDescent="0.25">
      <c r="A2913" s="2">
        <v>2912</v>
      </c>
      <c r="B2913" s="3" t="s">
        <v>18</v>
      </c>
      <c r="C2913" s="4" t="str">
        <f t="shared" si="245"/>
        <v>Phú Thọ</v>
      </c>
      <c r="D2913" s="3" t="s">
        <v>236</v>
      </c>
      <c r="E2913" s="4" t="str">
        <f t="shared" ref="E2913:E2932" si="249">HYPERLINK("https://diaocthongthai.com/ban-do-huyen-ha-hoa-phu-tho/","Huyện Hạ Hoà")</f>
        <v>Huyện Hạ Hoà</v>
      </c>
      <c r="F2913" s="3" t="s">
        <v>3677</v>
      </c>
      <c r="G2913" s="4" t="str">
        <f>HYPERLINK("https://diaocthongthai.com/thi-tran-ha-hoa-ha-hoa/","Thị trấn Hạ Hoà")</f>
        <v>Thị trấn Hạ Hoà</v>
      </c>
    </row>
    <row r="2914" spans="1:7" x14ac:dyDescent="0.25">
      <c r="A2914" s="2">
        <v>2913</v>
      </c>
      <c r="B2914" s="3" t="s">
        <v>18</v>
      </c>
      <c r="C2914" s="4" t="str">
        <f t="shared" si="245"/>
        <v>Phú Thọ</v>
      </c>
      <c r="D2914" s="3" t="s">
        <v>236</v>
      </c>
      <c r="E2914" s="4" t="str">
        <f t="shared" si="249"/>
        <v>Huyện Hạ Hoà</v>
      </c>
      <c r="F2914" s="3" t="s">
        <v>3678</v>
      </c>
      <c r="G2914" s="4" t="str">
        <f>HYPERLINK("https://diaocthongthai.com/xa-dai-pham-ha-hoa/","Xã Đại Phạm")</f>
        <v>Xã Đại Phạm</v>
      </c>
    </row>
    <row r="2915" spans="1:7" x14ac:dyDescent="0.25">
      <c r="A2915" s="2">
        <v>2914</v>
      </c>
      <c r="B2915" s="3" t="s">
        <v>18</v>
      </c>
      <c r="C2915" s="4" t="str">
        <f t="shared" si="245"/>
        <v>Phú Thọ</v>
      </c>
      <c r="D2915" s="3" t="s">
        <v>236</v>
      </c>
      <c r="E2915" s="4" t="str">
        <f t="shared" si="249"/>
        <v>Huyện Hạ Hoà</v>
      </c>
      <c r="F2915" s="3" t="s">
        <v>3679</v>
      </c>
      <c r="G2915" s="4" t="str">
        <f>HYPERLINK("https://diaocthongthai.com/xa-dan-thuong-ha-hoa/","Xã Đan Thượng")</f>
        <v>Xã Đan Thượng</v>
      </c>
    </row>
    <row r="2916" spans="1:7" x14ac:dyDescent="0.25">
      <c r="A2916" s="2">
        <v>2915</v>
      </c>
      <c r="B2916" s="3" t="s">
        <v>18</v>
      </c>
      <c r="C2916" s="4" t="str">
        <f t="shared" si="245"/>
        <v>Phú Thọ</v>
      </c>
      <c r="D2916" s="3" t="s">
        <v>236</v>
      </c>
      <c r="E2916" s="4" t="str">
        <f t="shared" si="249"/>
        <v>Huyện Hạ Hoà</v>
      </c>
      <c r="F2916" s="3" t="s">
        <v>3680</v>
      </c>
      <c r="G2916" s="4" t="str">
        <f>HYPERLINK("https://diaocthongthai.com/xa-ha-luong-ha-hoa/","Xã Hà Lương")</f>
        <v>Xã Hà Lương</v>
      </c>
    </row>
    <row r="2917" spans="1:7" x14ac:dyDescent="0.25">
      <c r="A2917" s="2">
        <v>2916</v>
      </c>
      <c r="B2917" s="3" t="s">
        <v>18</v>
      </c>
      <c r="C2917" s="4" t="str">
        <f t="shared" si="245"/>
        <v>Phú Thọ</v>
      </c>
      <c r="D2917" s="3" t="s">
        <v>236</v>
      </c>
      <c r="E2917" s="4" t="str">
        <f t="shared" si="249"/>
        <v>Huyện Hạ Hoà</v>
      </c>
      <c r="F2917" s="3" t="s">
        <v>3681</v>
      </c>
      <c r="G2917" s="4" t="str">
        <f>HYPERLINK("https://diaocthongthai.com/xa-tu-hiep-ha-hoa/","Xã Tứ Hiệp")</f>
        <v>Xã Tứ Hiệp</v>
      </c>
    </row>
    <row r="2918" spans="1:7" x14ac:dyDescent="0.25">
      <c r="A2918" s="2">
        <v>2917</v>
      </c>
      <c r="B2918" s="3" t="s">
        <v>18</v>
      </c>
      <c r="C2918" s="4" t="str">
        <f t="shared" si="245"/>
        <v>Phú Thọ</v>
      </c>
      <c r="D2918" s="3" t="s">
        <v>236</v>
      </c>
      <c r="E2918" s="4" t="str">
        <f t="shared" si="249"/>
        <v>Huyện Hạ Hoà</v>
      </c>
      <c r="F2918" s="3" t="s">
        <v>3682</v>
      </c>
      <c r="G2918" s="4" t="str">
        <f>HYPERLINK("https://diaocthongthai.com/xa-hien-luong-ha-hoa/","Xã Hiền Lương")</f>
        <v>Xã Hiền Lương</v>
      </c>
    </row>
    <row r="2919" spans="1:7" x14ac:dyDescent="0.25">
      <c r="A2919" s="2">
        <v>2918</v>
      </c>
      <c r="B2919" s="3" t="s">
        <v>18</v>
      </c>
      <c r="C2919" s="4" t="str">
        <f t="shared" si="245"/>
        <v>Phú Thọ</v>
      </c>
      <c r="D2919" s="3" t="s">
        <v>236</v>
      </c>
      <c r="E2919" s="4" t="str">
        <f t="shared" si="249"/>
        <v>Huyện Hạ Hoà</v>
      </c>
      <c r="F2919" s="3" t="s">
        <v>3683</v>
      </c>
      <c r="G2919" s="4" t="str">
        <f>HYPERLINK("https://diaocthongthai.com/xa-phuong-vien-ha-hoa/","Xã Phương Viên")</f>
        <v>Xã Phương Viên</v>
      </c>
    </row>
    <row r="2920" spans="1:7" x14ac:dyDescent="0.25">
      <c r="A2920" s="2">
        <v>2919</v>
      </c>
      <c r="B2920" s="3" t="s">
        <v>18</v>
      </c>
      <c r="C2920" s="4" t="str">
        <f t="shared" si="245"/>
        <v>Phú Thọ</v>
      </c>
      <c r="D2920" s="3" t="s">
        <v>236</v>
      </c>
      <c r="E2920" s="4" t="str">
        <f t="shared" si="249"/>
        <v>Huyện Hạ Hoà</v>
      </c>
      <c r="F2920" s="3" t="s">
        <v>3684</v>
      </c>
      <c r="G2920" s="4" t="str">
        <f>HYPERLINK("https://diaocthongthai.com/xa-gia-dien-ha-hoa/","Xã Gia Điền")</f>
        <v>Xã Gia Điền</v>
      </c>
    </row>
    <row r="2921" spans="1:7" x14ac:dyDescent="0.25">
      <c r="A2921" s="2">
        <v>2920</v>
      </c>
      <c r="B2921" s="3" t="s">
        <v>18</v>
      </c>
      <c r="C2921" s="4" t="str">
        <f t="shared" si="245"/>
        <v>Phú Thọ</v>
      </c>
      <c r="D2921" s="3" t="s">
        <v>236</v>
      </c>
      <c r="E2921" s="4" t="str">
        <f t="shared" si="249"/>
        <v>Huyện Hạ Hoà</v>
      </c>
      <c r="F2921" s="3" t="s">
        <v>3685</v>
      </c>
      <c r="G2921" s="4" t="str">
        <f>HYPERLINK("https://diaocthongthai.com/xa-am-ha-ha-hoa/","Xã Ấm Hạ")</f>
        <v>Xã Ấm Hạ</v>
      </c>
    </row>
    <row r="2922" spans="1:7" x14ac:dyDescent="0.25">
      <c r="A2922" s="2">
        <v>2921</v>
      </c>
      <c r="B2922" s="3" t="s">
        <v>18</v>
      </c>
      <c r="C2922" s="4" t="str">
        <f t="shared" si="245"/>
        <v>Phú Thọ</v>
      </c>
      <c r="D2922" s="3" t="s">
        <v>236</v>
      </c>
      <c r="E2922" s="4" t="str">
        <f t="shared" si="249"/>
        <v>Huyện Hạ Hoà</v>
      </c>
      <c r="F2922" s="3" t="s">
        <v>3686</v>
      </c>
      <c r="G2922" s="4" t="str">
        <f>HYPERLINK("https://diaocthongthai.com/xa-huong-xa-ha-hoa/","Xã Hương Xạ")</f>
        <v>Xã Hương Xạ</v>
      </c>
    </row>
    <row r="2923" spans="1:7" x14ac:dyDescent="0.25">
      <c r="A2923" s="2">
        <v>2922</v>
      </c>
      <c r="B2923" s="3" t="s">
        <v>18</v>
      </c>
      <c r="C2923" s="4" t="str">
        <f t="shared" si="245"/>
        <v>Phú Thọ</v>
      </c>
      <c r="D2923" s="3" t="s">
        <v>236</v>
      </c>
      <c r="E2923" s="4" t="str">
        <f t="shared" si="249"/>
        <v>Huyện Hạ Hoà</v>
      </c>
      <c r="F2923" s="3" t="s">
        <v>3687</v>
      </c>
      <c r="G2923" s="4" t="str">
        <f>HYPERLINK("https://diaocthongthai.com/xa-xuan-ang-ha-hoa/","Xã Xuân Áng")</f>
        <v>Xã Xuân Áng</v>
      </c>
    </row>
    <row r="2924" spans="1:7" x14ac:dyDescent="0.25">
      <c r="A2924" s="2">
        <v>2923</v>
      </c>
      <c r="B2924" s="3" t="s">
        <v>18</v>
      </c>
      <c r="C2924" s="4" t="str">
        <f t="shared" ref="C2924:C2987" si="250">HYPERLINK("https://diaocthongthai.com/ban-do-phu-tho/","Phú Thọ")</f>
        <v>Phú Thọ</v>
      </c>
      <c r="D2924" s="3" t="s">
        <v>236</v>
      </c>
      <c r="E2924" s="4" t="str">
        <f t="shared" si="249"/>
        <v>Huyện Hạ Hoà</v>
      </c>
      <c r="F2924" s="3" t="s">
        <v>3688</v>
      </c>
      <c r="G2924" s="4" t="str">
        <f>HYPERLINK("https://diaocthongthai.com/xa-yen-ky-ha-hoa/","Xã Yên Kỳ")</f>
        <v>Xã Yên Kỳ</v>
      </c>
    </row>
    <row r="2925" spans="1:7" x14ac:dyDescent="0.25">
      <c r="A2925" s="2">
        <v>2924</v>
      </c>
      <c r="B2925" s="3" t="s">
        <v>18</v>
      </c>
      <c r="C2925" s="4" t="str">
        <f t="shared" si="250"/>
        <v>Phú Thọ</v>
      </c>
      <c r="D2925" s="3" t="s">
        <v>236</v>
      </c>
      <c r="E2925" s="4" t="str">
        <f t="shared" si="249"/>
        <v>Huyện Hạ Hoà</v>
      </c>
      <c r="F2925" s="3" t="s">
        <v>3689</v>
      </c>
      <c r="G2925" s="4" t="str">
        <f>HYPERLINK("https://diaocthongthai.com/xa-minh-hac-ha-hoa/","Xã Minh Hạc")</f>
        <v>Xã Minh Hạc</v>
      </c>
    </row>
    <row r="2926" spans="1:7" x14ac:dyDescent="0.25">
      <c r="A2926" s="2">
        <v>2925</v>
      </c>
      <c r="B2926" s="3" t="s">
        <v>18</v>
      </c>
      <c r="C2926" s="4" t="str">
        <f t="shared" si="250"/>
        <v>Phú Thọ</v>
      </c>
      <c r="D2926" s="3" t="s">
        <v>236</v>
      </c>
      <c r="E2926" s="4" t="str">
        <f t="shared" si="249"/>
        <v>Huyện Hạ Hoà</v>
      </c>
      <c r="F2926" s="3" t="s">
        <v>3690</v>
      </c>
      <c r="G2926" s="4" t="str">
        <f>HYPERLINK("https://diaocthongthai.com/xa-lang-son-ha-hoa/","Xã Lang Sơn")</f>
        <v>Xã Lang Sơn</v>
      </c>
    </row>
    <row r="2927" spans="1:7" x14ac:dyDescent="0.25">
      <c r="A2927" s="2">
        <v>2926</v>
      </c>
      <c r="B2927" s="3" t="s">
        <v>18</v>
      </c>
      <c r="C2927" s="4" t="str">
        <f t="shared" si="250"/>
        <v>Phú Thọ</v>
      </c>
      <c r="D2927" s="3" t="s">
        <v>236</v>
      </c>
      <c r="E2927" s="4" t="str">
        <f t="shared" si="249"/>
        <v>Huyện Hạ Hoà</v>
      </c>
      <c r="F2927" s="3" t="s">
        <v>3691</v>
      </c>
      <c r="G2927" s="4" t="str">
        <f>HYPERLINK("https://diaocthongthai.com/xa-bang-gia-ha-hoa/","Xã Bằng Giã")</f>
        <v>Xã Bằng Giã</v>
      </c>
    </row>
    <row r="2928" spans="1:7" x14ac:dyDescent="0.25">
      <c r="A2928" s="2">
        <v>2927</v>
      </c>
      <c r="B2928" s="3" t="s">
        <v>18</v>
      </c>
      <c r="C2928" s="4" t="str">
        <f t="shared" si="250"/>
        <v>Phú Thọ</v>
      </c>
      <c r="D2928" s="3" t="s">
        <v>236</v>
      </c>
      <c r="E2928" s="4" t="str">
        <f t="shared" si="249"/>
        <v>Huyện Hạ Hoà</v>
      </c>
      <c r="F2928" s="3" t="s">
        <v>3692</v>
      </c>
      <c r="G2928" s="4" t="str">
        <f>HYPERLINK("https://diaocthongthai.com/xa-yen-luat-ha-hoa/","Xã Yên Luật")</f>
        <v>Xã Yên Luật</v>
      </c>
    </row>
    <row r="2929" spans="1:7" x14ac:dyDescent="0.25">
      <c r="A2929" s="2">
        <v>2928</v>
      </c>
      <c r="B2929" s="3" t="s">
        <v>18</v>
      </c>
      <c r="C2929" s="4" t="str">
        <f t="shared" si="250"/>
        <v>Phú Thọ</v>
      </c>
      <c r="D2929" s="3" t="s">
        <v>236</v>
      </c>
      <c r="E2929" s="4" t="str">
        <f t="shared" si="249"/>
        <v>Huyện Hạ Hoà</v>
      </c>
      <c r="F2929" s="3" t="s">
        <v>3693</v>
      </c>
      <c r="G2929" s="4" t="str">
        <f>HYPERLINK("https://diaocthongthai.com/xa-vo-tranh-ha-hoa/","Xã Vô Tranh")</f>
        <v>Xã Vô Tranh</v>
      </c>
    </row>
    <row r="2930" spans="1:7" x14ac:dyDescent="0.25">
      <c r="A2930" s="2">
        <v>2929</v>
      </c>
      <c r="B2930" s="3" t="s">
        <v>18</v>
      </c>
      <c r="C2930" s="4" t="str">
        <f t="shared" si="250"/>
        <v>Phú Thọ</v>
      </c>
      <c r="D2930" s="3" t="s">
        <v>236</v>
      </c>
      <c r="E2930" s="4" t="str">
        <f t="shared" si="249"/>
        <v>Huyện Hạ Hoà</v>
      </c>
      <c r="F2930" s="3" t="s">
        <v>3694</v>
      </c>
      <c r="G2930" s="4" t="str">
        <f>HYPERLINK("https://diaocthongthai.com/xa-van-lang-ha-hoa/","Xã Văn Lang")</f>
        <v>Xã Văn Lang</v>
      </c>
    </row>
    <row r="2931" spans="1:7" x14ac:dyDescent="0.25">
      <c r="A2931" s="2">
        <v>2930</v>
      </c>
      <c r="B2931" s="3" t="s">
        <v>18</v>
      </c>
      <c r="C2931" s="4" t="str">
        <f t="shared" si="250"/>
        <v>Phú Thọ</v>
      </c>
      <c r="D2931" s="3" t="s">
        <v>236</v>
      </c>
      <c r="E2931" s="4" t="str">
        <f t="shared" si="249"/>
        <v>Huyện Hạ Hoà</v>
      </c>
      <c r="F2931" s="3" t="s">
        <v>3695</v>
      </c>
      <c r="G2931" s="4" t="str">
        <f>HYPERLINK("https://diaocthongthai.com/xa-minh-coi-ha-hoa/","Xã Minh Côi")</f>
        <v>Xã Minh Côi</v>
      </c>
    </row>
    <row r="2932" spans="1:7" x14ac:dyDescent="0.25">
      <c r="A2932" s="2">
        <v>2931</v>
      </c>
      <c r="B2932" s="3" t="s">
        <v>18</v>
      </c>
      <c r="C2932" s="4" t="str">
        <f t="shared" si="250"/>
        <v>Phú Thọ</v>
      </c>
      <c r="D2932" s="3" t="s">
        <v>236</v>
      </c>
      <c r="E2932" s="4" t="str">
        <f t="shared" si="249"/>
        <v>Huyện Hạ Hoà</v>
      </c>
      <c r="F2932" s="3" t="s">
        <v>3696</v>
      </c>
      <c r="G2932" s="4" t="str">
        <f>HYPERLINK("https://diaocthongthai.com/xa-vinh-chan-ha-hoa/","Xã Vĩnh Chân")</f>
        <v>Xã Vĩnh Chân</v>
      </c>
    </row>
    <row r="2933" spans="1:7" x14ac:dyDescent="0.25">
      <c r="A2933" s="2">
        <v>2932</v>
      </c>
      <c r="B2933" s="3" t="s">
        <v>18</v>
      </c>
      <c r="C2933" s="4" t="str">
        <f t="shared" si="250"/>
        <v>Phú Thọ</v>
      </c>
      <c r="D2933" s="3" t="s">
        <v>237</v>
      </c>
      <c r="E2933" s="4" t="str">
        <f t="shared" ref="E2933:E2951" si="251">HYPERLINK("https://diaocthongthai.com/ban-do-huyen-thanh-ba-phu-tho/","Huyện Thanh Ba")</f>
        <v>Huyện Thanh Ba</v>
      </c>
      <c r="F2933" s="3" t="s">
        <v>3697</v>
      </c>
      <c r="G2933" s="4" t="str">
        <f>HYPERLINK("https://diaocthongthai.com/thi-tran-thanh-ba-thanh-ba/","Thị trấn Thanh Ba")</f>
        <v>Thị trấn Thanh Ba</v>
      </c>
    </row>
    <row r="2934" spans="1:7" x14ac:dyDescent="0.25">
      <c r="A2934" s="2">
        <v>2933</v>
      </c>
      <c r="B2934" s="3" t="s">
        <v>18</v>
      </c>
      <c r="C2934" s="4" t="str">
        <f t="shared" si="250"/>
        <v>Phú Thọ</v>
      </c>
      <c r="D2934" s="3" t="s">
        <v>237</v>
      </c>
      <c r="E2934" s="4" t="str">
        <f t="shared" si="251"/>
        <v>Huyện Thanh Ba</v>
      </c>
      <c r="F2934" s="3" t="s">
        <v>3698</v>
      </c>
      <c r="G2934" s="4" t="str">
        <f>HYPERLINK("https://diaocthongthai.com/xa-van-linh-thanh-ba/","Xã Vân Lĩnh")</f>
        <v>Xã Vân Lĩnh</v>
      </c>
    </row>
    <row r="2935" spans="1:7" x14ac:dyDescent="0.25">
      <c r="A2935" s="2">
        <v>2934</v>
      </c>
      <c r="B2935" s="3" t="s">
        <v>18</v>
      </c>
      <c r="C2935" s="4" t="str">
        <f t="shared" si="250"/>
        <v>Phú Thọ</v>
      </c>
      <c r="D2935" s="3" t="s">
        <v>237</v>
      </c>
      <c r="E2935" s="4" t="str">
        <f t="shared" si="251"/>
        <v>Huyện Thanh Ba</v>
      </c>
      <c r="F2935" s="3" t="s">
        <v>3699</v>
      </c>
      <c r="G2935" s="4" t="str">
        <f>HYPERLINK("https://diaocthongthai.com/xa-dong-linh-thanh-ba/","Xã Đông Lĩnh")</f>
        <v>Xã Đông Lĩnh</v>
      </c>
    </row>
    <row r="2936" spans="1:7" x14ac:dyDescent="0.25">
      <c r="A2936" s="2">
        <v>2935</v>
      </c>
      <c r="B2936" s="3" t="s">
        <v>18</v>
      </c>
      <c r="C2936" s="4" t="str">
        <f t="shared" si="250"/>
        <v>Phú Thọ</v>
      </c>
      <c r="D2936" s="3" t="s">
        <v>237</v>
      </c>
      <c r="E2936" s="4" t="str">
        <f t="shared" si="251"/>
        <v>Huyện Thanh Ba</v>
      </c>
      <c r="F2936" s="3" t="s">
        <v>3700</v>
      </c>
      <c r="G2936" s="4" t="str">
        <f>HYPERLINK("https://diaocthongthai.com/xa-dai-an-thanh-ba/","Xã Đại An")</f>
        <v>Xã Đại An</v>
      </c>
    </row>
    <row r="2937" spans="1:7" x14ac:dyDescent="0.25">
      <c r="A2937" s="2">
        <v>2936</v>
      </c>
      <c r="B2937" s="3" t="s">
        <v>18</v>
      </c>
      <c r="C2937" s="4" t="str">
        <f t="shared" si="250"/>
        <v>Phú Thọ</v>
      </c>
      <c r="D2937" s="3" t="s">
        <v>237</v>
      </c>
      <c r="E2937" s="4" t="str">
        <f t="shared" si="251"/>
        <v>Huyện Thanh Ba</v>
      </c>
      <c r="F2937" s="3" t="s">
        <v>3701</v>
      </c>
      <c r="G2937" s="4" t="str">
        <f>HYPERLINK("https://diaocthongthai.com/xa-hanh-cu-thanh-ba/","Xã Hanh Cù")</f>
        <v>Xã Hanh Cù</v>
      </c>
    </row>
    <row r="2938" spans="1:7" x14ac:dyDescent="0.25">
      <c r="A2938" s="2">
        <v>2937</v>
      </c>
      <c r="B2938" s="3" t="s">
        <v>18</v>
      </c>
      <c r="C2938" s="4" t="str">
        <f t="shared" si="250"/>
        <v>Phú Thọ</v>
      </c>
      <c r="D2938" s="3" t="s">
        <v>237</v>
      </c>
      <c r="E2938" s="4" t="str">
        <f t="shared" si="251"/>
        <v>Huyện Thanh Ba</v>
      </c>
      <c r="F2938" s="3" t="s">
        <v>3702</v>
      </c>
      <c r="G2938" s="4" t="str">
        <f>HYPERLINK("https://diaocthongthai.com/xa-dong-xuan-thanh-ba/","Xã Đồng Xuân")</f>
        <v>Xã Đồng Xuân</v>
      </c>
    </row>
    <row r="2939" spans="1:7" x14ac:dyDescent="0.25">
      <c r="A2939" s="2">
        <v>2938</v>
      </c>
      <c r="B2939" s="3" t="s">
        <v>18</v>
      </c>
      <c r="C2939" s="4" t="str">
        <f t="shared" si="250"/>
        <v>Phú Thọ</v>
      </c>
      <c r="D2939" s="3" t="s">
        <v>237</v>
      </c>
      <c r="E2939" s="4" t="str">
        <f t="shared" si="251"/>
        <v>Huyện Thanh Ba</v>
      </c>
      <c r="F2939" s="3" t="s">
        <v>3703</v>
      </c>
      <c r="G2939" s="4" t="str">
        <f>HYPERLINK("https://diaocthongthai.com/xa-quang-yen-thanh-ba/","Xã Quảng Yên")</f>
        <v>Xã Quảng Yên</v>
      </c>
    </row>
    <row r="2940" spans="1:7" x14ac:dyDescent="0.25">
      <c r="A2940" s="2">
        <v>2939</v>
      </c>
      <c r="B2940" s="3" t="s">
        <v>18</v>
      </c>
      <c r="C2940" s="4" t="str">
        <f t="shared" si="250"/>
        <v>Phú Thọ</v>
      </c>
      <c r="D2940" s="3" t="s">
        <v>237</v>
      </c>
      <c r="E2940" s="4" t="str">
        <f t="shared" si="251"/>
        <v>Huyện Thanh Ba</v>
      </c>
      <c r="F2940" s="3" t="s">
        <v>3704</v>
      </c>
      <c r="G2940" s="4" t="str">
        <f>HYPERLINK("https://diaocthongthai.com/xa-ninh-dan-thanh-ba/","Xã Ninh Dân")</f>
        <v>Xã Ninh Dân</v>
      </c>
    </row>
    <row r="2941" spans="1:7" x14ac:dyDescent="0.25">
      <c r="A2941" s="2">
        <v>2940</v>
      </c>
      <c r="B2941" s="3" t="s">
        <v>18</v>
      </c>
      <c r="C2941" s="4" t="str">
        <f t="shared" si="250"/>
        <v>Phú Thọ</v>
      </c>
      <c r="D2941" s="3" t="s">
        <v>237</v>
      </c>
      <c r="E2941" s="4" t="str">
        <f t="shared" si="251"/>
        <v>Huyện Thanh Ba</v>
      </c>
      <c r="F2941" s="3" t="s">
        <v>3705</v>
      </c>
      <c r="G2941" s="4" t="str">
        <f>HYPERLINK("https://diaocthongthai.com/xa-vo-lao-thanh-ba/","Xã Võ Lao")</f>
        <v>Xã Võ Lao</v>
      </c>
    </row>
    <row r="2942" spans="1:7" x14ac:dyDescent="0.25">
      <c r="A2942" s="2">
        <v>2941</v>
      </c>
      <c r="B2942" s="3" t="s">
        <v>18</v>
      </c>
      <c r="C2942" s="4" t="str">
        <f t="shared" si="250"/>
        <v>Phú Thọ</v>
      </c>
      <c r="D2942" s="3" t="s">
        <v>237</v>
      </c>
      <c r="E2942" s="4" t="str">
        <f t="shared" si="251"/>
        <v>Huyện Thanh Ba</v>
      </c>
      <c r="F2942" s="3" t="s">
        <v>3706</v>
      </c>
      <c r="G2942" s="4" t="str">
        <f>HYPERLINK("https://diaocthongthai.com/xa-khai-xuan-thanh-ba/","Xã Khải Xuân")</f>
        <v>Xã Khải Xuân</v>
      </c>
    </row>
    <row r="2943" spans="1:7" x14ac:dyDescent="0.25">
      <c r="A2943" s="2">
        <v>2942</v>
      </c>
      <c r="B2943" s="3" t="s">
        <v>18</v>
      </c>
      <c r="C2943" s="4" t="str">
        <f t="shared" si="250"/>
        <v>Phú Thọ</v>
      </c>
      <c r="D2943" s="3" t="s">
        <v>237</v>
      </c>
      <c r="E2943" s="4" t="str">
        <f t="shared" si="251"/>
        <v>Huyện Thanh Ba</v>
      </c>
      <c r="F2943" s="3" t="s">
        <v>3707</v>
      </c>
      <c r="G2943" s="4" t="str">
        <f>HYPERLINK("https://diaocthongthai.com/xa-man-lan-thanh-ba/","Xã Mạn Lạn")</f>
        <v>Xã Mạn Lạn</v>
      </c>
    </row>
    <row r="2944" spans="1:7" x14ac:dyDescent="0.25">
      <c r="A2944" s="2">
        <v>2943</v>
      </c>
      <c r="B2944" s="3" t="s">
        <v>18</v>
      </c>
      <c r="C2944" s="4" t="str">
        <f t="shared" si="250"/>
        <v>Phú Thọ</v>
      </c>
      <c r="D2944" s="3" t="s">
        <v>237</v>
      </c>
      <c r="E2944" s="4" t="str">
        <f t="shared" si="251"/>
        <v>Huyện Thanh Ba</v>
      </c>
      <c r="F2944" s="3" t="s">
        <v>3708</v>
      </c>
      <c r="G2944" s="4" t="str">
        <f>HYPERLINK("https://diaocthongthai.com/xa-hoang-cuong-thanh-ba/","Xã Hoàng Cương")</f>
        <v>Xã Hoàng Cương</v>
      </c>
    </row>
    <row r="2945" spans="1:7" x14ac:dyDescent="0.25">
      <c r="A2945" s="2">
        <v>2944</v>
      </c>
      <c r="B2945" s="3" t="s">
        <v>18</v>
      </c>
      <c r="C2945" s="4" t="str">
        <f t="shared" si="250"/>
        <v>Phú Thọ</v>
      </c>
      <c r="D2945" s="3" t="s">
        <v>237</v>
      </c>
      <c r="E2945" s="4" t="str">
        <f t="shared" si="251"/>
        <v>Huyện Thanh Ba</v>
      </c>
      <c r="F2945" s="3" t="s">
        <v>3709</v>
      </c>
      <c r="G2945" s="4" t="str">
        <f>HYPERLINK("https://diaocthongthai.com/xa-chi-tien-thanh-ba/","Xã Chí Tiên")</f>
        <v>Xã Chí Tiên</v>
      </c>
    </row>
    <row r="2946" spans="1:7" x14ac:dyDescent="0.25">
      <c r="A2946" s="2">
        <v>2945</v>
      </c>
      <c r="B2946" s="3" t="s">
        <v>18</v>
      </c>
      <c r="C2946" s="4" t="str">
        <f t="shared" si="250"/>
        <v>Phú Thọ</v>
      </c>
      <c r="D2946" s="3" t="s">
        <v>237</v>
      </c>
      <c r="E2946" s="4" t="str">
        <f t="shared" si="251"/>
        <v>Huyện Thanh Ba</v>
      </c>
      <c r="F2946" s="3" t="s">
        <v>3710</v>
      </c>
      <c r="G2946" s="4" t="str">
        <f>HYPERLINK("https://diaocthongthai.com/xa-dong-thanh-thanh-ba/","Xã Đông Thành")</f>
        <v>Xã Đông Thành</v>
      </c>
    </row>
    <row r="2947" spans="1:7" x14ac:dyDescent="0.25">
      <c r="A2947" s="2">
        <v>2946</v>
      </c>
      <c r="B2947" s="3" t="s">
        <v>18</v>
      </c>
      <c r="C2947" s="4" t="str">
        <f t="shared" si="250"/>
        <v>Phú Thọ</v>
      </c>
      <c r="D2947" s="3" t="s">
        <v>237</v>
      </c>
      <c r="E2947" s="4" t="str">
        <f t="shared" si="251"/>
        <v>Huyện Thanh Ba</v>
      </c>
      <c r="F2947" s="3" t="s">
        <v>3711</v>
      </c>
      <c r="G2947" s="4" t="str">
        <f>HYPERLINK("https://diaocthongthai.com/xa-son-cuong-thanh-ba/","Xã Sơn Cương")</f>
        <v>Xã Sơn Cương</v>
      </c>
    </row>
    <row r="2948" spans="1:7" x14ac:dyDescent="0.25">
      <c r="A2948" s="2">
        <v>2947</v>
      </c>
      <c r="B2948" s="3" t="s">
        <v>18</v>
      </c>
      <c r="C2948" s="4" t="str">
        <f t="shared" si="250"/>
        <v>Phú Thọ</v>
      </c>
      <c r="D2948" s="3" t="s">
        <v>237</v>
      </c>
      <c r="E2948" s="4" t="str">
        <f t="shared" si="251"/>
        <v>Huyện Thanh Ba</v>
      </c>
      <c r="F2948" s="3" t="s">
        <v>3712</v>
      </c>
      <c r="G2948" s="4" t="str">
        <f>HYPERLINK("https://diaocthongthai.com/xa-thanh-ha-thanh-ba/","Xã Thanh Hà")</f>
        <v>Xã Thanh Hà</v>
      </c>
    </row>
    <row r="2949" spans="1:7" x14ac:dyDescent="0.25">
      <c r="A2949" s="2">
        <v>2948</v>
      </c>
      <c r="B2949" s="3" t="s">
        <v>18</v>
      </c>
      <c r="C2949" s="4" t="str">
        <f t="shared" si="250"/>
        <v>Phú Thọ</v>
      </c>
      <c r="D2949" s="3" t="s">
        <v>237</v>
      </c>
      <c r="E2949" s="4" t="str">
        <f t="shared" si="251"/>
        <v>Huyện Thanh Ba</v>
      </c>
      <c r="F2949" s="3" t="s">
        <v>3713</v>
      </c>
      <c r="G2949" s="4" t="str">
        <f>HYPERLINK("https://diaocthongthai.com/xa-do-son-thanh-ba/","Xã Đỗ Sơn")</f>
        <v>Xã Đỗ Sơn</v>
      </c>
    </row>
    <row r="2950" spans="1:7" x14ac:dyDescent="0.25">
      <c r="A2950" s="2">
        <v>2949</v>
      </c>
      <c r="B2950" s="3" t="s">
        <v>18</v>
      </c>
      <c r="C2950" s="4" t="str">
        <f t="shared" si="250"/>
        <v>Phú Thọ</v>
      </c>
      <c r="D2950" s="3" t="s">
        <v>237</v>
      </c>
      <c r="E2950" s="4" t="str">
        <f t="shared" si="251"/>
        <v>Huyện Thanh Ba</v>
      </c>
      <c r="F2950" s="3" t="s">
        <v>3714</v>
      </c>
      <c r="G2950" s="4" t="str">
        <f>HYPERLINK("https://diaocthongthai.com/xa-do-xuyen-thanh-ba/","Xã Đỗ Xuyên")</f>
        <v>Xã Đỗ Xuyên</v>
      </c>
    </row>
    <row r="2951" spans="1:7" x14ac:dyDescent="0.25">
      <c r="A2951" s="2">
        <v>2950</v>
      </c>
      <c r="B2951" s="3" t="s">
        <v>18</v>
      </c>
      <c r="C2951" s="4" t="str">
        <f t="shared" si="250"/>
        <v>Phú Thọ</v>
      </c>
      <c r="D2951" s="3" t="s">
        <v>237</v>
      </c>
      <c r="E2951" s="4" t="str">
        <f t="shared" si="251"/>
        <v>Huyện Thanh Ba</v>
      </c>
      <c r="F2951" s="3" t="s">
        <v>3715</v>
      </c>
      <c r="G2951" s="4" t="str">
        <f>HYPERLINK("https://diaocthongthai.com/xa-luong-lo-thanh-ba/","Xã Lương Lỗ")</f>
        <v>Xã Lương Lỗ</v>
      </c>
    </row>
    <row r="2952" spans="1:7" x14ac:dyDescent="0.25">
      <c r="A2952" s="2">
        <v>2951</v>
      </c>
      <c r="B2952" s="3" t="s">
        <v>18</v>
      </c>
      <c r="C2952" s="4" t="str">
        <f t="shared" si="250"/>
        <v>Phú Thọ</v>
      </c>
      <c r="D2952" s="3" t="s">
        <v>238</v>
      </c>
      <c r="E2952" s="4" t="str">
        <f t="shared" ref="E2952:E2968" si="252">HYPERLINK("https://diaocthongthai.com/ban-do-huyen-phu-ninh-phu-tho/","Huyện Phù Ninh")</f>
        <v>Huyện Phù Ninh</v>
      </c>
      <c r="F2952" s="3" t="s">
        <v>3716</v>
      </c>
      <c r="G2952" s="4" t="str">
        <f>HYPERLINK("https://diaocthongthai.com/thi-tran-phong-chau-phu-ninh-phu-tho/","Thị trấn Phong Châu")</f>
        <v>Thị trấn Phong Châu</v>
      </c>
    </row>
    <row r="2953" spans="1:7" x14ac:dyDescent="0.25">
      <c r="A2953" s="2">
        <v>2952</v>
      </c>
      <c r="B2953" s="3" t="s">
        <v>18</v>
      </c>
      <c r="C2953" s="4" t="str">
        <f t="shared" si="250"/>
        <v>Phú Thọ</v>
      </c>
      <c r="D2953" s="3" t="s">
        <v>238</v>
      </c>
      <c r="E2953" s="4" t="str">
        <f t="shared" si="252"/>
        <v>Huyện Phù Ninh</v>
      </c>
      <c r="F2953" s="3" t="s">
        <v>3717</v>
      </c>
      <c r="G2953" s="4" t="str">
        <f>HYPERLINK("https://diaocthongthai.com/xa-phu-my-phu-ninh-phu-tho/","Xã Phú Mỹ")</f>
        <v>Xã Phú Mỹ</v>
      </c>
    </row>
    <row r="2954" spans="1:7" x14ac:dyDescent="0.25">
      <c r="A2954" s="2">
        <v>2953</v>
      </c>
      <c r="B2954" s="3" t="s">
        <v>18</v>
      </c>
      <c r="C2954" s="4" t="str">
        <f t="shared" si="250"/>
        <v>Phú Thọ</v>
      </c>
      <c r="D2954" s="3" t="s">
        <v>238</v>
      </c>
      <c r="E2954" s="4" t="str">
        <f t="shared" si="252"/>
        <v>Huyện Phù Ninh</v>
      </c>
      <c r="F2954" s="3" t="s">
        <v>3718</v>
      </c>
      <c r="G2954" s="4" t="str">
        <f>HYPERLINK("https://diaocthongthai.com/xa-le-my-phu-ninh-phu-tho/","Xã Lệ Mỹ")</f>
        <v>Xã Lệ Mỹ</v>
      </c>
    </row>
    <row r="2955" spans="1:7" x14ac:dyDescent="0.25">
      <c r="A2955" s="2">
        <v>2954</v>
      </c>
      <c r="B2955" s="3" t="s">
        <v>18</v>
      </c>
      <c r="C2955" s="4" t="str">
        <f t="shared" si="250"/>
        <v>Phú Thọ</v>
      </c>
      <c r="D2955" s="3" t="s">
        <v>238</v>
      </c>
      <c r="E2955" s="4" t="str">
        <f t="shared" si="252"/>
        <v>Huyện Phù Ninh</v>
      </c>
      <c r="F2955" s="3" t="s">
        <v>3719</v>
      </c>
      <c r="G2955" s="4" t="str">
        <f>HYPERLINK("https://diaocthongthai.com/xa-lien-hoa-phu-ninh-phu-tho/","Xã Liên Hoa")</f>
        <v>Xã Liên Hoa</v>
      </c>
    </row>
    <row r="2956" spans="1:7" x14ac:dyDescent="0.25">
      <c r="A2956" s="2">
        <v>2955</v>
      </c>
      <c r="B2956" s="3" t="s">
        <v>18</v>
      </c>
      <c r="C2956" s="4" t="str">
        <f t="shared" si="250"/>
        <v>Phú Thọ</v>
      </c>
      <c r="D2956" s="3" t="s">
        <v>238</v>
      </c>
      <c r="E2956" s="4" t="str">
        <f t="shared" si="252"/>
        <v>Huyện Phù Ninh</v>
      </c>
      <c r="F2956" s="3" t="s">
        <v>3720</v>
      </c>
      <c r="G2956" s="4" t="str">
        <f>HYPERLINK("https://diaocthongthai.com/xa-tram-than-phu-ninh-phu-tho/","Xã Trạm Thản")</f>
        <v>Xã Trạm Thản</v>
      </c>
    </row>
    <row r="2957" spans="1:7" x14ac:dyDescent="0.25">
      <c r="A2957" s="2">
        <v>2956</v>
      </c>
      <c r="B2957" s="3" t="s">
        <v>18</v>
      </c>
      <c r="C2957" s="4" t="str">
        <f t="shared" si="250"/>
        <v>Phú Thọ</v>
      </c>
      <c r="D2957" s="3" t="s">
        <v>238</v>
      </c>
      <c r="E2957" s="4" t="str">
        <f t="shared" si="252"/>
        <v>Huyện Phù Ninh</v>
      </c>
      <c r="F2957" s="3" t="s">
        <v>3721</v>
      </c>
      <c r="G2957" s="4" t="str">
        <f>HYPERLINK("https://diaocthongthai.com/xa-tri-quan-phu-ninh-phu-tho/","Xã Trị Quận")</f>
        <v>Xã Trị Quận</v>
      </c>
    </row>
    <row r="2958" spans="1:7" x14ac:dyDescent="0.25">
      <c r="A2958" s="2">
        <v>2957</v>
      </c>
      <c r="B2958" s="3" t="s">
        <v>18</v>
      </c>
      <c r="C2958" s="4" t="str">
        <f t="shared" si="250"/>
        <v>Phú Thọ</v>
      </c>
      <c r="D2958" s="3" t="s">
        <v>238</v>
      </c>
      <c r="E2958" s="4" t="str">
        <f t="shared" si="252"/>
        <v>Huyện Phù Ninh</v>
      </c>
      <c r="F2958" s="3" t="s">
        <v>3722</v>
      </c>
      <c r="G2958" s="4" t="str">
        <f>HYPERLINK("https://diaocthongthai.com/xa-trung-giap-phu-ninh-phu-tho/","Xã Trung Giáp")</f>
        <v>Xã Trung Giáp</v>
      </c>
    </row>
    <row r="2959" spans="1:7" x14ac:dyDescent="0.25">
      <c r="A2959" s="2">
        <v>2958</v>
      </c>
      <c r="B2959" s="3" t="s">
        <v>18</v>
      </c>
      <c r="C2959" s="4" t="str">
        <f t="shared" si="250"/>
        <v>Phú Thọ</v>
      </c>
      <c r="D2959" s="3" t="s">
        <v>238</v>
      </c>
      <c r="E2959" s="4" t="str">
        <f t="shared" si="252"/>
        <v>Huyện Phù Ninh</v>
      </c>
      <c r="F2959" s="3" t="s">
        <v>3723</v>
      </c>
      <c r="G2959" s="4" t="str">
        <f>HYPERLINK("https://diaocthongthai.com/xa-tien-phu-phu-ninh-phu-tho/","Xã Tiên Phú")</f>
        <v>Xã Tiên Phú</v>
      </c>
    </row>
    <row r="2960" spans="1:7" x14ac:dyDescent="0.25">
      <c r="A2960" s="2">
        <v>2959</v>
      </c>
      <c r="B2960" s="3" t="s">
        <v>18</v>
      </c>
      <c r="C2960" s="4" t="str">
        <f t="shared" si="250"/>
        <v>Phú Thọ</v>
      </c>
      <c r="D2960" s="3" t="s">
        <v>238</v>
      </c>
      <c r="E2960" s="4" t="str">
        <f t="shared" si="252"/>
        <v>Huyện Phù Ninh</v>
      </c>
      <c r="F2960" s="3" t="s">
        <v>3724</v>
      </c>
      <c r="G2960" s="4" t="str">
        <f>HYPERLINK("https://diaocthongthai.com/xa-ha-giap-phu-ninh-phu-tho/","Xã Hạ Giáp")</f>
        <v>Xã Hạ Giáp</v>
      </c>
    </row>
    <row r="2961" spans="1:7" x14ac:dyDescent="0.25">
      <c r="A2961" s="2">
        <v>2960</v>
      </c>
      <c r="B2961" s="3" t="s">
        <v>18</v>
      </c>
      <c r="C2961" s="4" t="str">
        <f t="shared" si="250"/>
        <v>Phú Thọ</v>
      </c>
      <c r="D2961" s="3" t="s">
        <v>238</v>
      </c>
      <c r="E2961" s="4" t="str">
        <f t="shared" si="252"/>
        <v>Huyện Phù Ninh</v>
      </c>
      <c r="F2961" s="3" t="s">
        <v>3725</v>
      </c>
      <c r="G2961" s="4" t="str">
        <f>HYPERLINK("https://diaocthongthai.com/xa-bao-thanh-phu-ninh-phu-tho/","Xã Bảo Thanh")</f>
        <v>Xã Bảo Thanh</v>
      </c>
    </row>
    <row r="2962" spans="1:7" x14ac:dyDescent="0.25">
      <c r="A2962" s="2">
        <v>2961</v>
      </c>
      <c r="B2962" s="3" t="s">
        <v>18</v>
      </c>
      <c r="C2962" s="4" t="str">
        <f t="shared" si="250"/>
        <v>Phú Thọ</v>
      </c>
      <c r="D2962" s="3" t="s">
        <v>238</v>
      </c>
      <c r="E2962" s="4" t="str">
        <f t="shared" si="252"/>
        <v>Huyện Phù Ninh</v>
      </c>
      <c r="F2962" s="3" t="s">
        <v>3726</v>
      </c>
      <c r="G2962" s="4" t="str">
        <f>HYPERLINK("https://diaocthongthai.com/xa-phu-loc-phu-ninh-phu-tho/","Xã Phú Lộc")</f>
        <v>Xã Phú Lộc</v>
      </c>
    </row>
    <row r="2963" spans="1:7" x14ac:dyDescent="0.25">
      <c r="A2963" s="2">
        <v>2962</v>
      </c>
      <c r="B2963" s="3" t="s">
        <v>18</v>
      </c>
      <c r="C2963" s="4" t="str">
        <f t="shared" si="250"/>
        <v>Phú Thọ</v>
      </c>
      <c r="D2963" s="3" t="s">
        <v>238</v>
      </c>
      <c r="E2963" s="4" t="str">
        <f t="shared" si="252"/>
        <v>Huyện Phù Ninh</v>
      </c>
      <c r="F2963" s="3" t="s">
        <v>3727</v>
      </c>
      <c r="G2963" s="4" t="str">
        <f>HYPERLINK("https://diaocthongthai.com/xa-gia-thanh-phu-ninh-phu-tho/","Xã Gia Thanh")</f>
        <v>Xã Gia Thanh</v>
      </c>
    </row>
    <row r="2964" spans="1:7" x14ac:dyDescent="0.25">
      <c r="A2964" s="2">
        <v>2963</v>
      </c>
      <c r="B2964" s="3" t="s">
        <v>18</v>
      </c>
      <c r="C2964" s="4" t="str">
        <f t="shared" si="250"/>
        <v>Phú Thọ</v>
      </c>
      <c r="D2964" s="3" t="s">
        <v>238</v>
      </c>
      <c r="E2964" s="4" t="str">
        <f t="shared" si="252"/>
        <v>Huyện Phù Ninh</v>
      </c>
      <c r="F2964" s="3" t="s">
        <v>3728</v>
      </c>
      <c r="G2964" s="4" t="str">
        <f>HYPERLINK("https://diaocthongthai.com/xa-tien-du-phu-ninh-phu-tho/","Xã Tiên Du")</f>
        <v>Xã Tiên Du</v>
      </c>
    </row>
    <row r="2965" spans="1:7" x14ac:dyDescent="0.25">
      <c r="A2965" s="2">
        <v>2964</v>
      </c>
      <c r="B2965" s="3" t="s">
        <v>18</v>
      </c>
      <c r="C2965" s="4" t="str">
        <f t="shared" si="250"/>
        <v>Phú Thọ</v>
      </c>
      <c r="D2965" s="3" t="s">
        <v>238</v>
      </c>
      <c r="E2965" s="4" t="str">
        <f t="shared" si="252"/>
        <v>Huyện Phù Ninh</v>
      </c>
      <c r="F2965" s="3" t="s">
        <v>3729</v>
      </c>
      <c r="G2965" s="4" t="str">
        <f>HYPERLINK("https://diaocthongthai.com/xa-phu-nham-phu-ninh-phu-tho/","Xã Phú Nham")</f>
        <v>Xã Phú Nham</v>
      </c>
    </row>
    <row r="2966" spans="1:7" x14ac:dyDescent="0.25">
      <c r="A2966" s="2">
        <v>2965</v>
      </c>
      <c r="B2966" s="3" t="s">
        <v>18</v>
      </c>
      <c r="C2966" s="4" t="str">
        <f t="shared" si="250"/>
        <v>Phú Thọ</v>
      </c>
      <c r="D2966" s="3" t="s">
        <v>238</v>
      </c>
      <c r="E2966" s="4" t="str">
        <f t="shared" si="252"/>
        <v>Huyện Phù Ninh</v>
      </c>
      <c r="F2966" s="3" t="s">
        <v>3730</v>
      </c>
      <c r="G2966" s="4" t="str">
        <f>HYPERLINK("https://diaocthongthai.com/xa-an-dao-phu-ninh-phu-tho/","Xã An Đạo")</f>
        <v>Xã An Đạo</v>
      </c>
    </row>
    <row r="2967" spans="1:7" x14ac:dyDescent="0.25">
      <c r="A2967" s="2">
        <v>2966</v>
      </c>
      <c r="B2967" s="3" t="s">
        <v>18</v>
      </c>
      <c r="C2967" s="4" t="str">
        <f t="shared" si="250"/>
        <v>Phú Thọ</v>
      </c>
      <c r="D2967" s="3" t="s">
        <v>238</v>
      </c>
      <c r="E2967" s="4" t="str">
        <f t="shared" si="252"/>
        <v>Huyện Phù Ninh</v>
      </c>
      <c r="F2967" s="3" t="s">
        <v>3731</v>
      </c>
      <c r="G2967" s="4" t="str">
        <f>HYPERLINK("https://diaocthongthai.com/xa-binh-phu-phu-ninh-phu-tho/","Xã Bình Phú")</f>
        <v>Xã Bình Phú</v>
      </c>
    </row>
    <row r="2968" spans="1:7" x14ac:dyDescent="0.25">
      <c r="A2968" s="2">
        <v>2967</v>
      </c>
      <c r="B2968" s="3" t="s">
        <v>18</v>
      </c>
      <c r="C2968" s="4" t="str">
        <f t="shared" si="250"/>
        <v>Phú Thọ</v>
      </c>
      <c r="D2968" s="3" t="s">
        <v>238</v>
      </c>
      <c r="E2968" s="4" t="str">
        <f t="shared" si="252"/>
        <v>Huyện Phù Ninh</v>
      </c>
      <c r="F2968" s="3" t="s">
        <v>3732</v>
      </c>
      <c r="G2968" s="4" t="str">
        <f>HYPERLINK("https://diaocthongthai.com/xa-phu-ninh-phu-ninh-phu-tho/","Xã Phù Ninh")</f>
        <v>Xã Phù Ninh</v>
      </c>
    </row>
    <row r="2969" spans="1:7" x14ac:dyDescent="0.25">
      <c r="A2969" s="2">
        <v>2968</v>
      </c>
      <c r="B2969" s="3" t="s">
        <v>18</v>
      </c>
      <c r="C2969" s="4" t="str">
        <f t="shared" si="250"/>
        <v>Phú Thọ</v>
      </c>
      <c r="D2969" s="3" t="s">
        <v>239</v>
      </c>
      <c r="E2969" s="4" t="str">
        <f t="shared" ref="E2969:E2985" si="253">HYPERLINK("https://diaocthongthai.com/ban-do-huyen-yen-lap-phu-tho/","Huyện Yên Lập")</f>
        <v>Huyện Yên Lập</v>
      </c>
      <c r="F2969" s="3" t="s">
        <v>3733</v>
      </c>
      <c r="G2969" s="4" t="str">
        <f>HYPERLINK("https://diaocthongthai.com/thi-tran-yen-lap-yen-lap/","Thị trấn Yên Lập")</f>
        <v>Thị trấn Yên Lập</v>
      </c>
    </row>
    <row r="2970" spans="1:7" x14ac:dyDescent="0.25">
      <c r="A2970" s="2">
        <v>2969</v>
      </c>
      <c r="B2970" s="3" t="s">
        <v>18</v>
      </c>
      <c r="C2970" s="4" t="str">
        <f t="shared" si="250"/>
        <v>Phú Thọ</v>
      </c>
      <c r="D2970" s="3" t="s">
        <v>239</v>
      </c>
      <c r="E2970" s="4" t="str">
        <f t="shared" si="253"/>
        <v>Huyện Yên Lập</v>
      </c>
      <c r="F2970" s="3" t="s">
        <v>3734</v>
      </c>
      <c r="G2970" s="4" t="str">
        <f>HYPERLINK("https://diaocthongthai.com/xa-my-lung-yen-lap/","Xã Mỹ Lung")</f>
        <v>Xã Mỹ Lung</v>
      </c>
    </row>
    <row r="2971" spans="1:7" x14ac:dyDescent="0.25">
      <c r="A2971" s="2">
        <v>2970</v>
      </c>
      <c r="B2971" s="3" t="s">
        <v>18</v>
      </c>
      <c r="C2971" s="4" t="str">
        <f t="shared" si="250"/>
        <v>Phú Thọ</v>
      </c>
      <c r="D2971" s="3" t="s">
        <v>239</v>
      </c>
      <c r="E2971" s="4" t="str">
        <f t="shared" si="253"/>
        <v>Huyện Yên Lập</v>
      </c>
      <c r="F2971" s="3" t="s">
        <v>3735</v>
      </c>
      <c r="G2971" s="4" t="str">
        <f>HYPERLINK("https://diaocthongthai.com/xa-my-luong-yen-lap/","Xã Mỹ Lương")</f>
        <v>Xã Mỹ Lương</v>
      </c>
    </row>
    <row r="2972" spans="1:7" x14ac:dyDescent="0.25">
      <c r="A2972" s="2">
        <v>2971</v>
      </c>
      <c r="B2972" s="3" t="s">
        <v>18</v>
      </c>
      <c r="C2972" s="4" t="str">
        <f t="shared" si="250"/>
        <v>Phú Thọ</v>
      </c>
      <c r="D2972" s="3" t="s">
        <v>239</v>
      </c>
      <c r="E2972" s="4" t="str">
        <f t="shared" si="253"/>
        <v>Huyện Yên Lập</v>
      </c>
      <c r="F2972" s="3" t="s">
        <v>3736</v>
      </c>
      <c r="G2972" s="4" t="str">
        <f>HYPERLINK("https://diaocthongthai.com/xa-luong-son-yen-lap/","Xã Lương Sơn")</f>
        <v>Xã Lương Sơn</v>
      </c>
    </row>
    <row r="2973" spans="1:7" x14ac:dyDescent="0.25">
      <c r="A2973" s="2">
        <v>2972</v>
      </c>
      <c r="B2973" s="3" t="s">
        <v>18</v>
      </c>
      <c r="C2973" s="4" t="str">
        <f t="shared" si="250"/>
        <v>Phú Thọ</v>
      </c>
      <c r="D2973" s="3" t="s">
        <v>239</v>
      </c>
      <c r="E2973" s="4" t="str">
        <f t="shared" si="253"/>
        <v>Huyện Yên Lập</v>
      </c>
      <c r="F2973" s="3" t="s">
        <v>3737</v>
      </c>
      <c r="G2973" s="4" t="str">
        <f>HYPERLINK("https://diaocthongthai.com/xa-xuan-an-yen-lap/","Xã Xuân An")</f>
        <v>Xã Xuân An</v>
      </c>
    </row>
    <row r="2974" spans="1:7" x14ac:dyDescent="0.25">
      <c r="A2974" s="2">
        <v>2973</v>
      </c>
      <c r="B2974" s="3" t="s">
        <v>18</v>
      </c>
      <c r="C2974" s="4" t="str">
        <f t="shared" si="250"/>
        <v>Phú Thọ</v>
      </c>
      <c r="D2974" s="3" t="s">
        <v>239</v>
      </c>
      <c r="E2974" s="4" t="str">
        <f t="shared" si="253"/>
        <v>Huyện Yên Lập</v>
      </c>
      <c r="F2974" s="3" t="s">
        <v>3738</v>
      </c>
      <c r="G2974" s="4" t="str">
        <f>HYPERLINK("https://diaocthongthai.com/xa-xuan-vien-yen-lap/","Xã Xuân Viên")</f>
        <v>Xã Xuân Viên</v>
      </c>
    </row>
    <row r="2975" spans="1:7" x14ac:dyDescent="0.25">
      <c r="A2975" s="2">
        <v>2974</v>
      </c>
      <c r="B2975" s="3" t="s">
        <v>18</v>
      </c>
      <c r="C2975" s="4" t="str">
        <f t="shared" si="250"/>
        <v>Phú Thọ</v>
      </c>
      <c r="D2975" s="3" t="s">
        <v>239</v>
      </c>
      <c r="E2975" s="4" t="str">
        <f t="shared" si="253"/>
        <v>Huyện Yên Lập</v>
      </c>
      <c r="F2975" s="3" t="s">
        <v>3739</v>
      </c>
      <c r="G2975" s="4" t="str">
        <f>HYPERLINK("https://diaocthongthai.com/xa-xuan-thuy-yen-lap/","Xã Xuân Thủy")</f>
        <v>Xã Xuân Thủy</v>
      </c>
    </row>
    <row r="2976" spans="1:7" x14ac:dyDescent="0.25">
      <c r="A2976" s="2">
        <v>2975</v>
      </c>
      <c r="B2976" s="3" t="s">
        <v>18</v>
      </c>
      <c r="C2976" s="4" t="str">
        <f t="shared" si="250"/>
        <v>Phú Thọ</v>
      </c>
      <c r="D2976" s="3" t="s">
        <v>239</v>
      </c>
      <c r="E2976" s="4" t="str">
        <f t="shared" si="253"/>
        <v>Huyện Yên Lập</v>
      </c>
      <c r="F2976" s="3" t="s">
        <v>3740</v>
      </c>
      <c r="G2976" s="4" t="str">
        <f>HYPERLINK("https://diaocthongthai.com/xa-trung-son-yen-lap/","Xã Trung Sơn")</f>
        <v>Xã Trung Sơn</v>
      </c>
    </row>
    <row r="2977" spans="1:7" x14ac:dyDescent="0.25">
      <c r="A2977" s="2">
        <v>2976</v>
      </c>
      <c r="B2977" s="3" t="s">
        <v>18</v>
      </c>
      <c r="C2977" s="4" t="str">
        <f t="shared" si="250"/>
        <v>Phú Thọ</v>
      </c>
      <c r="D2977" s="3" t="s">
        <v>239</v>
      </c>
      <c r="E2977" s="4" t="str">
        <f t="shared" si="253"/>
        <v>Huyện Yên Lập</v>
      </c>
      <c r="F2977" s="3" t="s">
        <v>3741</v>
      </c>
      <c r="G2977" s="4" t="str">
        <f>HYPERLINK("https://diaocthongthai.com/xa-hung-long-yen-lap/","Xã Hưng Long")</f>
        <v>Xã Hưng Long</v>
      </c>
    </row>
    <row r="2978" spans="1:7" x14ac:dyDescent="0.25">
      <c r="A2978" s="2">
        <v>2977</v>
      </c>
      <c r="B2978" s="3" t="s">
        <v>18</v>
      </c>
      <c r="C2978" s="4" t="str">
        <f t="shared" si="250"/>
        <v>Phú Thọ</v>
      </c>
      <c r="D2978" s="3" t="s">
        <v>239</v>
      </c>
      <c r="E2978" s="4" t="str">
        <f t="shared" si="253"/>
        <v>Huyện Yên Lập</v>
      </c>
      <c r="F2978" s="3" t="s">
        <v>3742</v>
      </c>
      <c r="G2978" s="4" t="str">
        <f>HYPERLINK("https://diaocthongthai.com/xa-nga-hoang-yen-lap/","Xã Nga Hoàng")</f>
        <v>Xã Nga Hoàng</v>
      </c>
    </row>
    <row r="2979" spans="1:7" x14ac:dyDescent="0.25">
      <c r="A2979" s="2">
        <v>2978</v>
      </c>
      <c r="B2979" s="3" t="s">
        <v>18</v>
      </c>
      <c r="C2979" s="4" t="str">
        <f t="shared" si="250"/>
        <v>Phú Thọ</v>
      </c>
      <c r="D2979" s="3" t="s">
        <v>239</v>
      </c>
      <c r="E2979" s="4" t="str">
        <f t="shared" si="253"/>
        <v>Huyện Yên Lập</v>
      </c>
      <c r="F2979" s="3" t="s">
        <v>3743</v>
      </c>
      <c r="G2979" s="4" t="str">
        <f>HYPERLINK("https://diaocthongthai.com/xa-dong-lac-yen-lap/","Xã Đồng Lạc")</f>
        <v>Xã Đồng Lạc</v>
      </c>
    </row>
    <row r="2980" spans="1:7" x14ac:dyDescent="0.25">
      <c r="A2980" s="2">
        <v>2979</v>
      </c>
      <c r="B2980" s="3" t="s">
        <v>18</v>
      </c>
      <c r="C2980" s="4" t="str">
        <f t="shared" si="250"/>
        <v>Phú Thọ</v>
      </c>
      <c r="D2980" s="3" t="s">
        <v>239</v>
      </c>
      <c r="E2980" s="4" t="str">
        <f t="shared" si="253"/>
        <v>Huyện Yên Lập</v>
      </c>
      <c r="F2980" s="3" t="s">
        <v>3744</v>
      </c>
      <c r="G2980" s="4" t="str">
        <f>HYPERLINK("https://diaocthongthai.com/xa-thuong-long-yen-lap/","Xã Thượng Long")</f>
        <v>Xã Thượng Long</v>
      </c>
    </row>
    <row r="2981" spans="1:7" x14ac:dyDescent="0.25">
      <c r="A2981" s="2">
        <v>2980</v>
      </c>
      <c r="B2981" s="3" t="s">
        <v>18</v>
      </c>
      <c r="C2981" s="4" t="str">
        <f t="shared" si="250"/>
        <v>Phú Thọ</v>
      </c>
      <c r="D2981" s="3" t="s">
        <v>239</v>
      </c>
      <c r="E2981" s="4" t="str">
        <f t="shared" si="253"/>
        <v>Huyện Yên Lập</v>
      </c>
      <c r="F2981" s="3" t="s">
        <v>3745</v>
      </c>
      <c r="G2981" s="4" t="str">
        <f>HYPERLINK("https://diaocthongthai.com/xa-dong-thinh-yen-lap/","Xã Đồng Thịnh")</f>
        <v>Xã Đồng Thịnh</v>
      </c>
    </row>
    <row r="2982" spans="1:7" x14ac:dyDescent="0.25">
      <c r="A2982" s="2">
        <v>2981</v>
      </c>
      <c r="B2982" s="3" t="s">
        <v>18</v>
      </c>
      <c r="C2982" s="4" t="str">
        <f t="shared" si="250"/>
        <v>Phú Thọ</v>
      </c>
      <c r="D2982" s="3" t="s">
        <v>239</v>
      </c>
      <c r="E2982" s="4" t="str">
        <f t="shared" si="253"/>
        <v>Huyện Yên Lập</v>
      </c>
      <c r="F2982" s="3" t="s">
        <v>3746</v>
      </c>
      <c r="G2982" s="4" t="str">
        <f>HYPERLINK("https://diaocthongthai.com/xa-phuc-khanh-yen-lap/","Xã Phúc Khánh")</f>
        <v>Xã Phúc Khánh</v>
      </c>
    </row>
    <row r="2983" spans="1:7" x14ac:dyDescent="0.25">
      <c r="A2983" s="2">
        <v>2982</v>
      </c>
      <c r="B2983" s="3" t="s">
        <v>18</v>
      </c>
      <c r="C2983" s="4" t="str">
        <f t="shared" si="250"/>
        <v>Phú Thọ</v>
      </c>
      <c r="D2983" s="3" t="s">
        <v>239</v>
      </c>
      <c r="E2983" s="4" t="str">
        <f t="shared" si="253"/>
        <v>Huyện Yên Lập</v>
      </c>
      <c r="F2983" s="3" t="s">
        <v>3747</v>
      </c>
      <c r="G2983" s="4" t="str">
        <f>HYPERLINK("https://diaocthongthai.com/xa-minh-hoa-yen-lap/","Xã Minh Hòa")</f>
        <v>Xã Minh Hòa</v>
      </c>
    </row>
    <row r="2984" spans="1:7" x14ac:dyDescent="0.25">
      <c r="A2984" s="2">
        <v>2983</v>
      </c>
      <c r="B2984" s="3" t="s">
        <v>18</v>
      </c>
      <c r="C2984" s="4" t="str">
        <f t="shared" si="250"/>
        <v>Phú Thọ</v>
      </c>
      <c r="D2984" s="3" t="s">
        <v>239</v>
      </c>
      <c r="E2984" s="4" t="str">
        <f t="shared" si="253"/>
        <v>Huyện Yên Lập</v>
      </c>
      <c r="F2984" s="3" t="s">
        <v>3748</v>
      </c>
      <c r="G2984" s="4" t="str">
        <f>HYPERLINK("https://diaocthongthai.com/xa-ngoc-lap-yen-lap/","Xã Ngọc Lập")</f>
        <v>Xã Ngọc Lập</v>
      </c>
    </row>
    <row r="2985" spans="1:7" x14ac:dyDescent="0.25">
      <c r="A2985" s="2">
        <v>2984</v>
      </c>
      <c r="B2985" s="3" t="s">
        <v>18</v>
      </c>
      <c r="C2985" s="4" t="str">
        <f t="shared" si="250"/>
        <v>Phú Thọ</v>
      </c>
      <c r="D2985" s="3" t="s">
        <v>239</v>
      </c>
      <c r="E2985" s="4" t="str">
        <f t="shared" si="253"/>
        <v>Huyện Yên Lập</v>
      </c>
      <c r="F2985" s="3" t="s">
        <v>3749</v>
      </c>
      <c r="G2985" s="4" t="str">
        <f>HYPERLINK("https://diaocthongthai.com/xa-ngoc-dong-yen-lap/","Xã Ngọc Đồng")</f>
        <v>Xã Ngọc Đồng</v>
      </c>
    </row>
    <row r="2986" spans="1:7" x14ac:dyDescent="0.25">
      <c r="A2986" s="2">
        <v>2985</v>
      </c>
      <c r="B2986" s="3" t="s">
        <v>18</v>
      </c>
      <c r="C2986" s="4" t="str">
        <f t="shared" si="250"/>
        <v>Phú Thọ</v>
      </c>
      <c r="D2986" s="3" t="s">
        <v>240</v>
      </c>
      <c r="E2986" s="4" t="str">
        <f t="shared" ref="E2986:E3009" si="254">HYPERLINK("https://diaocthongthai.com/ban-do-huyen-cam-khe-phu-tho/","Huyện Cẩm Khê")</f>
        <v>Huyện Cẩm Khê</v>
      </c>
      <c r="F2986" s="3" t="s">
        <v>3750</v>
      </c>
      <c r="G2986" s="4" t="str">
        <f>HYPERLINK("https://diaocthongthai.com/thi-tran-cam-khe-cam-khe/","Thị trấn Cẩm Khê")</f>
        <v>Thị trấn Cẩm Khê</v>
      </c>
    </row>
    <row r="2987" spans="1:7" x14ac:dyDescent="0.25">
      <c r="A2987" s="2">
        <v>2986</v>
      </c>
      <c r="B2987" s="3" t="s">
        <v>18</v>
      </c>
      <c r="C2987" s="4" t="str">
        <f t="shared" si="250"/>
        <v>Phú Thọ</v>
      </c>
      <c r="D2987" s="3" t="s">
        <v>240</v>
      </c>
      <c r="E2987" s="4" t="str">
        <f t="shared" si="254"/>
        <v>Huyện Cẩm Khê</v>
      </c>
      <c r="F2987" s="3" t="s">
        <v>3751</v>
      </c>
      <c r="G2987" s="4" t="str">
        <f>HYPERLINK("https://diaocthongthai.com/xa-tien-luong-cam-khe/","Xã Tiên Lương")</f>
        <v>Xã Tiên Lương</v>
      </c>
    </row>
    <row r="2988" spans="1:7" x14ac:dyDescent="0.25">
      <c r="A2988" s="2">
        <v>2987</v>
      </c>
      <c r="B2988" s="3" t="s">
        <v>18</v>
      </c>
      <c r="C2988" s="4" t="str">
        <f t="shared" ref="C2988:C3051" si="255">HYPERLINK("https://diaocthongthai.com/ban-do-phu-tho/","Phú Thọ")</f>
        <v>Phú Thọ</v>
      </c>
      <c r="D2988" s="3" t="s">
        <v>240</v>
      </c>
      <c r="E2988" s="4" t="str">
        <f t="shared" si="254"/>
        <v>Huyện Cẩm Khê</v>
      </c>
      <c r="F2988" s="3" t="s">
        <v>3752</v>
      </c>
      <c r="G2988" s="4" t="str">
        <f>HYPERLINK("https://diaocthongthai.com/xa-tuy-loc-cam-khe/","Xã Tuy Lộc")</f>
        <v>Xã Tuy Lộc</v>
      </c>
    </row>
    <row r="2989" spans="1:7" x14ac:dyDescent="0.25">
      <c r="A2989" s="2">
        <v>2988</v>
      </c>
      <c r="B2989" s="3" t="s">
        <v>18</v>
      </c>
      <c r="C2989" s="4" t="str">
        <f t="shared" si="255"/>
        <v>Phú Thọ</v>
      </c>
      <c r="D2989" s="3" t="s">
        <v>240</v>
      </c>
      <c r="E2989" s="4" t="str">
        <f t="shared" si="254"/>
        <v>Huyện Cẩm Khê</v>
      </c>
      <c r="F2989" s="3" t="s">
        <v>3753</v>
      </c>
      <c r="G2989" s="4" t="str">
        <f>HYPERLINK("https://diaocthongthai.com/xa-ngo-xa-cam-khe/","Xã Ngô Xá")</f>
        <v>Xã Ngô Xá</v>
      </c>
    </row>
    <row r="2990" spans="1:7" x14ac:dyDescent="0.25">
      <c r="A2990" s="2">
        <v>2989</v>
      </c>
      <c r="B2990" s="3" t="s">
        <v>18</v>
      </c>
      <c r="C2990" s="4" t="str">
        <f t="shared" si="255"/>
        <v>Phú Thọ</v>
      </c>
      <c r="D2990" s="3" t="s">
        <v>240</v>
      </c>
      <c r="E2990" s="4" t="str">
        <f t="shared" si="254"/>
        <v>Huyện Cẩm Khê</v>
      </c>
      <c r="F2990" s="3" t="s">
        <v>3754</v>
      </c>
      <c r="G2990" s="4" t="str">
        <f>HYPERLINK("https://diaocthongthai.com/xa-minh-tan-cam-khe/","Xã Minh Tân")</f>
        <v>Xã Minh Tân</v>
      </c>
    </row>
    <row r="2991" spans="1:7" x14ac:dyDescent="0.25">
      <c r="A2991" s="2">
        <v>2990</v>
      </c>
      <c r="B2991" s="3" t="s">
        <v>18</v>
      </c>
      <c r="C2991" s="4" t="str">
        <f t="shared" si="255"/>
        <v>Phú Thọ</v>
      </c>
      <c r="D2991" s="3" t="s">
        <v>240</v>
      </c>
      <c r="E2991" s="4" t="str">
        <f t="shared" si="254"/>
        <v>Huyện Cẩm Khê</v>
      </c>
      <c r="F2991" s="3" t="s">
        <v>3755</v>
      </c>
      <c r="G2991" s="4" t="str">
        <f>HYPERLINK("https://diaocthongthai.com/xa-phuong-vi-cam-khe/","Xã Phượng Vĩ")</f>
        <v>Xã Phượng Vĩ</v>
      </c>
    </row>
    <row r="2992" spans="1:7" x14ac:dyDescent="0.25">
      <c r="A2992" s="2">
        <v>2991</v>
      </c>
      <c r="B2992" s="3" t="s">
        <v>18</v>
      </c>
      <c r="C2992" s="4" t="str">
        <f t="shared" si="255"/>
        <v>Phú Thọ</v>
      </c>
      <c r="D2992" s="3" t="s">
        <v>240</v>
      </c>
      <c r="E2992" s="4" t="str">
        <f t="shared" si="254"/>
        <v>Huyện Cẩm Khê</v>
      </c>
      <c r="F2992" s="3" t="s">
        <v>3756</v>
      </c>
      <c r="G2992" s="4" t="str">
        <f>HYPERLINK("https://diaocthongthai.com/xa-thuy-lieu-cam-khe/","Xã Thụy Liễu")</f>
        <v>Xã Thụy Liễu</v>
      </c>
    </row>
    <row r="2993" spans="1:7" x14ac:dyDescent="0.25">
      <c r="A2993" s="2">
        <v>2992</v>
      </c>
      <c r="B2993" s="3" t="s">
        <v>18</v>
      </c>
      <c r="C2993" s="4" t="str">
        <f t="shared" si="255"/>
        <v>Phú Thọ</v>
      </c>
      <c r="D2993" s="3" t="s">
        <v>240</v>
      </c>
      <c r="E2993" s="4" t="str">
        <f t="shared" si="254"/>
        <v>Huyện Cẩm Khê</v>
      </c>
      <c r="F2993" s="3" t="s">
        <v>3757</v>
      </c>
      <c r="G2993" s="4" t="str">
        <f>HYPERLINK("https://diaocthongthai.com/xa-tung-khe-cam-khe/","Xã Tùng Khê")</f>
        <v>Xã Tùng Khê</v>
      </c>
    </row>
    <row r="2994" spans="1:7" x14ac:dyDescent="0.25">
      <c r="A2994" s="2">
        <v>2993</v>
      </c>
      <c r="B2994" s="3" t="s">
        <v>18</v>
      </c>
      <c r="C2994" s="4" t="str">
        <f t="shared" si="255"/>
        <v>Phú Thọ</v>
      </c>
      <c r="D2994" s="3" t="s">
        <v>240</v>
      </c>
      <c r="E2994" s="4" t="str">
        <f t="shared" si="254"/>
        <v>Huyện Cẩm Khê</v>
      </c>
      <c r="F2994" s="3" t="s">
        <v>3758</v>
      </c>
      <c r="G2994" s="4" t="str">
        <f>HYPERLINK("https://diaocthongthai.com/xa-tam-son-cam-khe/","Xã Tam Sơn")</f>
        <v>Xã Tam Sơn</v>
      </c>
    </row>
    <row r="2995" spans="1:7" x14ac:dyDescent="0.25">
      <c r="A2995" s="2">
        <v>2994</v>
      </c>
      <c r="B2995" s="3" t="s">
        <v>18</v>
      </c>
      <c r="C2995" s="4" t="str">
        <f t="shared" si="255"/>
        <v>Phú Thọ</v>
      </c>
      <c r="D2995" s="3" t="s">
        <v>240</v>
      </c>
      <c r="E2995" s="4" t="str">
        <f t="shared" si="254"/>
        <v>Huyện Cẩm Khê</v>
      </c>
      <c r="F2995" s="3" t="s">
        <v>3759</v>
      </c>
      <c r="G2995" s="4" t="str">
        <f>HYPERLINK("https://diaocthongthai.com/xa-van-ban-cam-khe/","Xã Văn Bán")</f>
        <v>Xã Văn Bán</v>
      </c>
    </row>
    <row r="2996" spans="1:7" x14ac:dyDescent="0.25">
      <c r="A2996" s="2">
        <v>2995</v>
      </c>
      <c r="B2996" s="3" t="s">
        <v>18</v>
      </c>
      <c r="C2996" s="4" t="str">
        <f t="shared" si="255"/>
        <v>Phú Thọ</v>
      </c>
      <c r="D2996" s="3" t="s">
        <v>240</v>
      </c>
      <c r="E2996" s="4" t="str">
        <f t="shared" si="254"/>
        <v>Huyện Cẩm Khê</v>
      </c>
      <c r="F2996" s="3" t="s">
        <v>3760</v>
      </c>
      <c r="G2996" s="4" t="str">
        <f>HYPERLINK("https://diaocthongthai.com/xa-cap-dan-cam-khe/","Xã Cấp Dẫn")</f>
        <v>Xã Cấp Dẫn</v>
      </c>
    </row>
    <row r="2997" spans="1:7" x14ac:dyDescent="0.25">
      <c r="A2997" s="2">
        <v>2996</v>
      </c>
      <c r="B2997" s="3" t="s">
        <v>18</v>
      </c>
      <c r="C2997" s="4" t="str">
        <f t="shared" si="255"/>
        <v>Phú Thọ</v>
      </c>
      <c r="D2997" s="3" t="s">
        <v>240</v>
      </c>
      <c r="E2997" s="4" t="str">
        <f t="shared" si="254"/>
        <v>Huyện Cẩm Khê</v>
      </c>
      <c r="F2997" s="3" t="s">
        <v>3761</v>
      </c>
      <c r="G2997" s="4" t="str">
        <f>HYPERLINK("https://diaocthongthai.com/xa-xuong-thinh-cam-khe/","Xã Xương Thịnh")</f>
        <v>Xã Xương Thịnh</v>
      </c>
    </row>
    <row r="2998" spans="1:7" x14ac:dyDescent="0.25">
      <c r="A2998" s="2">
        <v>2997</v>
      </c>
      <c r="B2998" s="3" t="s">
        <v>18</v>
      </c>
      <c r="C2998" s="4" t="str">
        <f t="shared" si="255"/>
        <v>Phú Thọ</v>
      </c>
      <c r="D2998" s="3" t="s">
        <v>240</v>
      </c>
      <c r="E2998" s="4" t="str">
        <f t="shared" si="254"/>
        <v>Huyện Cẩm Khê</v>
      </c>
      <c r="F2998" s="3" t="s">
        <v>3762</v>
      </c>
      <c r="G2998" s="4" t="str">
        <f>HYPERLINK("https://diaocthongthai.com/xa-phu-khe-cam-khe/","Xã Phú Khê")</f>
        <v>Xã Phú Khê</v>
      </c>
    </row>
    <row r="2999" spans="1:7" x14ac:dyDescent="0.25">
      <c r="A2999" s="2">
        <v>2998</v>
      </c>
      <c r="B2999" s="3" t="s">
        <v>18</v>
      </c>
      <c r="C2999" s="4" t="str">
        <f t="shared" si="255"/>
        <v>Phú Thọ</v>
      </c>
      <c r="D2999" s="3" t="s">
        <v>240</v>
      </c>
      <c r="E2999" s="4" t="str">
        <f t="shared" si="254"/>
        <v>Huyện Cẩm Khê</v>
      </c>
      <c r="F2999" s="3" t="s">
        <v>3763</v>
      </c>
      <c r="G2999" s="4" t="str">
        <f>HYPERLINK("https://diaocthongthai.com/xa-son-tinh-cam-khe/","Xã Sơn Tình")</f>
        <v>Xã Sơn Tình</v>
      </c>
    </row>
    <row r="3000" spans="1:7" x14ac:dyDescent="0.25">
      <c r="A3000" s="2">
        <v>2999</v>
      </c>
      <c r="B3000" s="3" t="s">
        <v>18</v>
      </c>
      <c r="C3000" s="4" t="str">
        <f t="shared" si="255"/>
        <v>Phú Thọ</v>
      </c>
      <c r="D3000" s="3" t="s">
        <v>240</v>
      </c>
      <c r="E3000" s="4" t="str">
        <f t="shared" si="254"/>
        <v>Huyện Cẩm Khê</v>
      </c>
      <c r="F3000" s="3" t="s">
        <v>3764</v>
      </c>
      <c r="G3000" s="4" t="str">
        <f>HYPERLINK("https://diaocthongthai.com/xa-yen-tap-cam-khe/","Xã Yên Tập")</f>
        <v>Xã Yên Tập</v>
      </c>
    </row>
    <row r="3001" spans="1:7" x14ac:dyDescent="0.25">
      <c r="A3001" s="2">
        <v>3000</v>
      </c>
      <c r="B3001" s="3" t="s">
        <v>18</v>
      </c>
      <c r="C3001" s="4" t="str">
        <f t="shared" si="255"/>
        <v>Phú Thọ</v>
      </c>
      <c r="D3001" s="3" t="s">
        <v>240</v>
      </c>
      <c r="E3001" s="4" t="str">
        <f t="shared" si="254"/>
        <v>Huyện Cẩm Khê</v>
      </c>
      <c r="F3001" s="3" t="s">
        <v>3765</v>
      </c>
      <c r="G3001" s="4" t="str">
        <f>HYPERLINK("https://diaocthongthai.com/xa-huong-lung-cam-khe/","Xã Hương Lung")</f>
        <v>Xã Hương Lung</v>
      </c>
    </row>
    <row r="3002" spans="1:7" x14ac:dyDescent="0.25">
      <c r="A3002" s="2">
        <v>3001</v>
      </c>
      <c r="B3002" s="3" t="s">
        <v>18</v>
      </c>
      <c r="C3002" s="4" t="str">
        <f t="shared" si="255"/>
        <v>Phú Thọ</v>
      </c>
      <c r="D3002" s="3" t="s">
        <v>240</v>
      </c>
      <c r="E3002" s="4" t="str">
        <f t="shared" si="254"/>
        <v>Huyện Cẩm Khê</v>
      </c>
      <c r="F3002" s="3" t="s">
        <v>3766</v>
      </c>
      <c r="G3002" s="4" t="str">
        <f>HYPERLINK("https://diaocthongthai.com/xa-ta-xa-cam-khe/","Xã Tạ Xá")</f>
        <v>Xã Tạ Xá</v>
      </c>
    </row>
    <row r="3003" spans="1:7" x14ac:dyDescent="0.25">
      <c r="A3003" s="2">
        <v>3002</v>
      </c>
      <c r="B3003" s="3" t="s">
        <v>18</v>
      </c>
      <c r="C3003" s="4" t="str">
        <f t="shared" si="255"/>
        <v>Phú Thọ</v>
      </c>
      <c r="D3003" s="3" t="s">
        <v>240</v>
      </c>
      <c r="E3003" s="4" t="str">
        <f t="shared" si="254"/>
        <v>Huyện Cẩm Khê</v>
      </c>
      <c r="F3003" s="3" t="s">
        <v>3767</v>
      </c>
      <c r="G3003" s="4" t="str">
        <f>HYPERLINK("https://diaocthongthai.com/xa-phu-lac-cam-khe/","Xã Phú Lạc")</f>
        <v>Xã Phú Lạc</v>
      </c>
    </row>
    <row r="3004" spans="1:7" x14ac:dyDescent="0.25">
      <c r="A3004" s="2">
        <v>3003</v>
      </c>
      <c r="B3004" s="3" t="s">
        <v>18</v>
      </c>
      <c r="C3004" s="4" t="str">
        <f t="shared" si="255"/>
        <v>Phú Thọ</v>
      </c>
      <c r="D3004" s="3" t="s">
        <v>240</v>
      </c>
      <c r="E3004" s="4" t="str">
        <f t="shared" si="254"/>
        <v>Huyện Cẩm Khê</v>
      </c>
      <c r="F3004" s="3" t="s">
        <v>3768</v>
      </c>
      <c r="G3004" s="4" t="str">
        <f>HYPERLINK("https://diaocthongthai.com/xa-chuong-xa-cam-khe/","Xã Chương Xá")</f>
        <v>Xã Chương Xá</v>
      </c>
    </row>
    <row r="3005" spans="1:7" x14ac:dyDescent="0.25">
      <c r="A3005" s="2">
        <v>3004</v>
      </c>
      <c r="B3005" s="3" t="s">
        <v>18</v>
      </c>
      <c r="C3005" s="4" t="str">
        <f t="shared" si="255"/>
        <v>Phú Thọ</v>
      </c>
      <c r="D3005" s="3" t="s">
        <v>240</v>
      </c>
      <c r="E3005" s="4" t="str">
        <f t="shared" si="254"/>
        <v>Huyện Cẩm Khê</v>
      </c>
      <c r="F3005" s="3" t="s">
        <v>3769</v>
      </c>
      <c r="G3005" s="4" t="str">
        <f>HYPERLINK("https://diaocthongthai.com/xa-hung-viet-cam-khe/","Xã Hùng Việt")</f>
        <v>Xã Hùng Việt</v>
      </c>
    </row>
    <row r="3006" spans="1:7" x14ac:dyDescent="0.25">
      <c r="A3006" s="2">
        <v>3005</v>
      </c>
      <c r="B3006" s="3" t="s">
        <v>18</v>
      </c>
      <c r="C3006" s="4" t="str">
        <f t="shared" si="255"/>
        <v>Phú Thọ</v>
      </c>
      <c r="D3006" s="3" t="s">
        <v>240</v>
      </c>
      <c r="E3006" s="4" t="str">
        <f t="shared" si="254"/>
        <v>Huyện Cẩm Khê</v>
      </c>
      <c r="F3006" s="3" t="s">
        <v>3770</v>
      </c>
      <c r="G3006" s="4" t="str">
        <f>HYPERLINK("https://diaocthongthai.com/xa-van-khuc-cam-khe/","Xã Văn Khúc")</f>
        <v>Xã Văn Khúc</v>
      </c>
    </row>
    <row r="3007" spans="1:7" x14ac:dyDescent="0.25">
      <c r="A3007" s="2">
        <v>3006</v>
      </c>
      <c r="B3007" s="3" t="s">
        <v>18</v>
      </c>
      <c r="C3007" s="4" t="str">
        <f t="shared" si="255"/>
        <v>Phú Thọ</v>
      </c>
      <c r="D3007" s="3" t="s">
        <v>240</v>
      </c>
      <c r="E3007" s="4" t="str">
        <f t="shared" si="254"/>
        <v>Huyện Cẩm Khê</v>
      </c>
      <c r="F3007" s="3" t="s">
        <v>3771</v>
      </c>
      <c r="G3007" s="4" t="str">
        <f>HYPERLINK("https://diaocthongthai.com/xa-yen-duong-cam-khe/","Xã Yên Dưỡng")</f>
        <v>Xã Yên Dưỡng</v>
      </c>
    </row>
    <row r="3008" spans="1:7" x14ac:dyDescent="0.25">
      <c r="A3008" s="2">
        <v>3007</v>
      </c>
      <c r="B3008" s="3" t="s">
        <v>18</v>
      </c>
      <c r="C3008" s="4" t="str">
        <f t="shared" si="255"/>
        <v>Phú Thọ</v>
      </c>
      <c r="D3008" s="3" t="s">
        <v>240</v>
      </c>
      <c r="E3008" s="4" t="str">
        <f t="shared" si="254"/>
        <v>Huyện Cẩm Khê</v>
      </c>
      <c r="F3008" s="3" t="s">
        <v>3772</v>
      </c>
      <c r="G3008" s="4" t="str">
        <f>HYPERLINK("https://diaocthongthai.com/xa-dieu-luong-cam-khe/","Xã Điêu Lương")</f>
        <v>Xã Điêu Lương</v>
      </c>
    </row>
    <row r="3009" spans="1:7" x14ac:dyDescent="0.25">
      <c r="A3009" s="2">
        <v>3008</v>
      </c>
      <c r="B3009" s="3" t="s">
        <v>18</v>
      </c>
      <c r="C3009" s="4" t="str">
        <f t="shared" si="255"/>
        <v>Phú Thọ</v>
      </c>
      <c r="D3009" s="3" t="s">
        <v>240</v>
      </c>
      <c r="E3009" s="4" t="str">
        <f t="shared" si="254"/>
        <v>Huyện Cẩm Khê</v>
      </c>
      <c r="F3009" s="3" t="s">
        <v>3773</v>
      </c>
      <c r="G3009" s="4" t="str">
        <f>HYPERLINK("https://diaocthongthai.com/xa-dong-luong-cam-khe/","Xã Đồng Lương")</f>
        <v>Xã Đồng Lương</v>
      </c>
    </row>
    <row r="3010" spans="1:7" x14ac:dyDescent="0.25">
      <c r="A3010" s="2">
        <v>3009</v>
      </c>
      <c r="B3010" s="3" t="s">
        <v>18</v>
      </c>
      <c r="C3010" s="4" t="str">
        <f t="shared" si="255"/>
        <v>Phú Thọ</v>
      </c>
      <c r="D3010" s="3" t="s">
        <v>241</v>
      </c>
      <c r="E3010" s="4" t="str">
        <f t="shared" ref="E3010:E3021" si="256">HYPERLINK("https://diaocthongthai.com/ban-do-huyen-tam-nong-phu-tho/","Huyện Tam Nông")</f>
        <v>Huyện Tam Nông</v>
      </c>
      <c r="F3010" s="3" t="s">
        <v>3774</v>
      </c>
      <c r="G3010" s="4" t="str">
        <f>HYPERLINK("https://diaocthongthai.com/thi-tran-hung-hoa-tam-nong-phu-tho/","Thị trấn Hưng Hoá")</f>
        <v>Thị trấn Hưng Hoá</v>
      </c>
    </row>
    <row r="3011" spans="1:7" x14ac:dyDescent="0.25">
      <c r="A3011" s="2">
        <v>3010</v>
      </c>
      <c r="B3011" s="3" t="s">
        <v>18</v>
      </c>
      <c r="C3011" s="4" t="str">
        <f t="shared" si="255"/>
        <v>Phú Thọ</v>
      </c>
      <c r="D3011" s="3" t="s">
        <v>241</v>
      </c>
      <c r="E3011" s="4" t="str">
        <f t="shared" si="256"/>
        <v>Huyện Tam Nông</v>
      </c>
      <c r="F3011" s="3" t="s">
        <v>3775</v>
      </c>
      <c r="G3011" s="4" t="str">
        <f>HYPERLINK("https://diaocthongthai.com/xa-hien-quan-tam-nong-phu-tho/","Xã Hiền Quan")</f>
        <v>Xã Hiền Quan</v>
      </c>
    </row>
    <row r="3012" spans="1:7" x14ac:dyDescent="0.25">
      <c r="A3012" s="2">
        <v>3011</v>
      </c>
      <c r="B3012" s="3" t="s">
        <v>18</v>
      </c>
      <c r="C3012" s="4" t="str">
        <f t="shared" si="255"/>
        <v>Phú Thọ</v>
      </c>
      <c r="D3012" s="3" t="s">
        <v>241</v>
      </c>
      <c r="E3012" s="4" t="str">
        <f t="shared" si="256"/>
        <v>Huyện Tam Nông</v>
      </c>
      <c r="F3012" s="3" t="s">
        <v>3776</v>
      </c>
      <c r="G3012" s="4" t="str">
        <f>HYPERLINK("https://diaocthongthai.com/xa-bac-son-tam-nong-phu-tho/","Xã Bắc Sơn")</f>
        <v>Xã Bắc Sơn</v>
      </c>
    </row>
    <row r="3013" spans="1:7" x14ac:dyDescent="0.25">
      <c r="A3013" s="2">
        <v>3012</v>
      </c>
      <c r="B3013" s="3" t="s">
        <v>18</v>
      </c>
      <c r="C3013" s="4" t="str">
        <f t="shared" si="255"/>
        <v>Phú Thọ</v>
      </c>
      <c r="D3013" s="3" t="s">
        <v>241</v>
      </c>
      <c r="E3013" s="4" t="str">
        <f t="shared" si="256"/>
        <v>Huyện Tam Nông</v>
      </c>
      <c r="F3013" s="3" t="s">
        <v>3777</v>
      </c>
      <c r="G3013" s="4" t="str">
        <f>HYPERLINK("https://diaocthongthai.com/xa-thanh-uyen-tam-nong-phu-tho/","Xã Thanh Uyên")</f>
        <v>Xã Thanh Uyên</v>
      </c>
    </row>
    <row r="3014" spans="1:7" x14ac:dyDescent="0.25">
      <c r="A3014" s="2">
        <v>3013</v>
      </c>
      <c r="B3014" s="3" t="s">
        <v>18</v>
      </c>
      <c r="C3014" s="4" t="str">
        <f t="shared" si="255"/>
        <v>Phú Thọ</v>
      </c>
      <c r="D3014" s="3" t="s">
        <v>241</v>
      </c>
      <c r="E3014" s="4" t="str">
        <f t="shared" si="256"/>
        <v>Huyện Tam Nông</v>
      </c>
      <c r="F3014" s="3" t="s">
        <v>3778</v>
      </c>
      <c r="G3014" s="4" t="str">
        <f>HYPERLINK("https://diaocthongthai.com/xa-lam-son-tam-nong-phu-tho/","Xã Lam Sơn")</f>
        <v>Xã Lam Sơn</v>
      </c>
    </row>
    <row r="3015" spans="1:7" x14ac:dyDescent="0.25">
      <c r="A3015" s="2">
        <v>3014</v>
      </c>
      <c r="B3015" s="3" t="s">
        <v>18</v>
      </c>
      <c r="C3015" s="4" t="str">
        <f t="shared" si="255"/>
        <v>Phú Thọ</v>
      </c>
      <c r="D3015" s="3" t="s">
        <v>241</v>
      </c>
      <c r="E3015" s="4" t="str">
        <f t="shared" si="256"/>
        <v>Huyện Tam Nông</v>
      </c>
      <c r="F3015" s="3" t="s">
        <v>3779</v>
      </c>
      <c r="G3015" s="4" t="str">
        <f>HYPERLINK("https://diaocthongthai.com/xa-van-xuan-tam-nong-phu-tho/","Xã Vạn Xuân")</f>
        <v>Xã Vạn Xuân</v>
      </c>
    </row>
    <row r="3016" spans="1:7" x14ac:dyDescent="0.25">
      <c r="A3016" s="2">
        <v>3015</v>
      </c>
      <c r="B3016" s="3" t="s">
        <v>18</v>
      </c>
      <c r="C3016" s="4" t="str">
        <f t="shared" si="255"/>
        <v>Phú Thọ</v>
      </c>
      <c r="D3016" s="3" t="s">
        <v>241</v>
      </c>
      <c r="E3016" s="4" t="str">
        <f t="shared" si="256"/>
        <v>Huyện Tam Nông</v>
      </c>
      <c r="F3016" s="3" t="s">
        <v>3780</v>
      </c>
      <c r="G3016" s="4" t="str">
        <f>HYPERLINK("https://diaocthongthai.com/xa-quang-huc-tam-nong-phu-tho/","Xã Quang Húc")</f>
        <v>Xã Quang Húc</v>
      </c>
    </row>
    <row r="3017" spans="1:7" x14ac:dyDescent="0.25">
      <c r="A3017" s="2">
        <v>3016</v>
      </c>
      <c r="B3017" s="3" t="s">
        <v>18</v>
      </c>
      <c r="C3017" s="4" t="str">
        <f t="shared" si="255"/>
        <v>Phú Thọ</v>
      </c>
      <c r="D3017" s="3" t="s">
        <v>241</v>
      </c>
      <c r="E3017" s="4" t="str">
        <f t="shared" si="256"/>
        <v>Huyện Tam Nông</v>
      </c>
      <c r="F3017" s="3" t="s">
        <v>3781</v>
      </c>
      <c r="G3017" s="4" t="str">
        <f>HYPERLINK("https://diaocthongthai.com/xa-huong-non-tam-nong-phu-tho/","Xã Hương Nộn")</f>
        <v>Xã Hương Nộn</v>
      </c>
    </row>
    <row r="3018" spans="1:7" x14ac:dyDescent="0.25">
      <c r="A3018" s="2">
        <v>3017</v>
      </c>
      <c r="B3018" s="3" t="s">
        <v>18</v>
      </c>
      <c r="C3018" s="4" t="str">
        <f t="shared" si="255"/>
        <v>Phú Thọ</v>
      </c>
      <c r="D3018" s="3" t="s">
        <v>241</v>
      </c>
      <c r="E3018" s="4" t="str">
        <f t="shared" si="256"/>
        <v>Huyện Tam Nông</v>
      </c>
      <c r="F3018" s="3" t="s">
        <v>3782</v>
      </c>
      <c r="G3018" s="4" t="str">
        <f>HYPERLINK("https://diaocthongthai.com/xa-te-le-tam-nong-phu-tho/","Xã Tề Lễ")</f>
        <v>Xã Tề Lễ</v>
      </c>
    </row>
    <row r="3019" spans="1:7" x14ac:dyDescent="0.25">
      <c r="A3019" s="2">
        <v>3018</v>
      </c>
      <c r="B3019" s="3" t="s">
        <v>18</v>
      </c>
      <c r="C3019" s="4" t="str">
        <f t="shared" si="255"/>
        <v>Phú Thọ</v>
      </c>
      <c r="D3019" s="3" t="s">
        <v>241</v>
      </c>
      <c r="E3019" s="4" t="str">
        <f t="shared" si="256"/>
        <v>Huyện Tam Nông</v>
      </c>
      <c r="F3019" s="3" t="s">
        <v>3783</v>
      </c>
      <c r="G3019" s="4" t="str">
        <f>HYPERLINK("https://diaocthongthai.com/xa-tho-van-tam-nong-phu-tho/","Xã Thọ Văn")</f>
        <v>Xã Thọ Văn</v>
      </c>
    </row>
    <row r="3020" spans="1:7" x14ac:dyDescent="0.25">
      <c r="A3020" s="2">
        <v>3019</v>
      </c>
      <c r="B3020" s="3" t="s">
        <v>18</v>
      </c>
      <c r="C3020" s="4" t="str">
        <f t="shared" si="255"/>
        <v>Phú Thọ</v>
      </c>
      <c r="D3020" s="3" t="s">
        <v>241</v>
      </c>
      <c r="E3020" s="4" t="str">
        <f t="shared" si="256"/>
        <v>Huyện Tam Nông</v>
      </c>
      <c r="F3020" s="3" t="s">
        <v>3784</v>
      </c>
      <c r="G3020" s="4" t="str">
        <f>HYPERLINK("https://diaocthongthai.com/xa-di-nau-tam-nong-phu-tho/","Xã Dị Nậu")</f>
        <v>Xã Dị Nậu</v>
      </c>
    </row>
    <row r="3021" spans="1:7" x14ac:dyDescent="0.25">
      <c r="A3021" s="2">
        <v>3020</v>
      </c>
      <c r="B3021" s="3" t="s">
        <v>18</v>
      </c>
      <c r="C3021" s="4" t="str">
        <f t="shared" si="255"/>
        <v>Phú Thọ</v>
      </c>
      <c r="D3021" s="3" t="s">
        <v>241</v>
      </c>
      <c r="E3021" s="4" t="str">
        <f t="shared" si="256"/>
        <v>Huyện Tam Nông</v>
      </c>
      <c r="F3021" s="3" t="s">
        <v>3785</v>
      </c>
      <c r="G3021" s="4" t="str">
        <f>HYPERLINK("https://diaocthongthai.com/xa-dan-quyen-tam-nong-phu-tho/","Xã Dân Quyền")</f>
        <v>Xã Dân Quyền</v>
      </c>
    </row>
    <row r="3022" spans="1:7" x14ac:dyDescent="0.25">
      <c r="A3022" s="2">
        <v>3021</v>
      </c>
      <c r="B3022" s="3" t="s">
        <v>18</v>
      </c>
      <c r="C3022" s="4" t="str">
        <f t="shared" si="255"/>
        <v>Phú Thọ</v>
      </c>
      <c r="D3022" s="3" t="s">
        <v>242</v>
      </c>
      <c r="E3022" s="4" t="str">
        <f t="shared" ref="E3022:E3033" si="257">HYPERLINK("https://diaocthongthai.com/ban-do-huyen-lam-thao-phu-tho/","Huyện Lâm Thao")</f>
        <v>Huyện Lâm Thao</v>
      </c>
      <c r="F3022" s="3" t="s">
        <v>3786</v>
      </c>
      <c r="G3022" s="4" t="str">
        <f>HYPERLINK("https://diaocthongthai.com/thi-tran-lam-thao-lam-thao/","Thị trấn Lâm Thao")</f>
        <v>Thị trấn Lâm Thao</v>
      </c>
    </row>
    <row r="3023" spans="1:7" x14ac:dyDescent="0.25">
      <c r="A3023" s="2">
        <v>3022</v>
      </c>
      <c r="B3023" s="3" t="s">
        <v>18</v>
      </c>
      <c r="C3023" s="4" t="str">
        <f t="shared" si="255"/>
        <v>Phú Thọ</v>
      </c>
      <c r="D3023" s="3" t="s">
        <v>242</v>
      </c>
      <c r="E3023" s="4" t="str">
        <f t="shared" si="257"/>
        <v>Huyện Lâm Thao</v>
      </c>
      <c r="F3023" s="3" t="s">
        <v>3787</v>
      </c>
      <c r="G3023" s="4" t="str">
        <f>HYPERLINK("https://diaocthongthai.com/xa-tien-kien-lam-thao/","Xã Tiên Kiên")</f>
        <v>Xã Tiên Kiên</v>
      </c>
    </row>
    <row r="3024" spans="1:7" x14ac:dyDescent="0.25">
      <c r="A3024" s="2">
        <v>3023</v>
      </c>
      <c r="B3024" s="3" t="s">
        <v>18</v>
      </c>
      <c r="C3024" s="4" t="str">
        <f t="shared" si="255"/>
        <v>Phú Thọ</v>
      </c>
      <c r="D3024" s="3" t="s">
        <v>242</v>
      </c>
      <c r="E3024" s="4" t="str">
        <f t="shared" si="257"/>
        <v>Huyện Lâm Thao</v>
      </c>
      <c r="F3024" s="3" t="s">
        <v>3788</v>
      </c>
      <c r="G3024" s="4" t="str">
        <f>HYPERLINK("https://diaocthongthai.com/thi-tran-hung-son-lam-thao/","Thị trấn Hùng Sơn")</f>
        <v>Thị trấn Hùng Sơn</v>
      </c>
    </row>
    <row r="3025" spans="1:7" x14ac:dyDescent="0.25">
      <c r="A3025" s="2">
        <v>3024</v>
      </c>
      <c r="B3025" s="3" t="s">
        <v>18</v>
      </c>
      <c r="C3025" s="4" t="str">
        <f t="shared" si="255"/>
        <v>Phú Thọ</v>
      </c>
      <c r="D3025" s="3" t="s">
        <v>242</v>
      </c>
      <c r="E3025" s="4" t="str">
        <f t="shared" si="257"/>
        <v>Huyện Lâm Thao</v>
      </c>
      <c r="F3025" s="3" t="s">
        <v>3789</v>
      </c>
      <c r="G3025" s="4" t="str">
        <f>HYPERLINK("https://diaocthongthai.com/xa-xuan-lung-lam-thao/","Xã Xuân Lũng")</f>
        <v>Xã Xuân Lũng</v>
      </c>
    </row>
    <row r="3026" spans="1:7" x14ac:dyDescent="0.25">
      <c r="A3026" s="2">
        <v>3025</v>
      </c>
      <c r="B3026" s="3" t="s">
        <v>18</v>
      </c>
      <c r="C3026" s="4" t="str">
        <f t="shared" si="255"/>
        <v>Phú Thọ</v>
      </c>
      <c r="D3026" s="3" t="s">
        <v>242</v>
      </c>
      <c r="E3026" s="4" t="str">
        <f t="shared" si="257"/>
        <v>Huyện Lâm Thao</v>
      </c>
      <c r="F3026" s="3" t="s">
        <v>3790</v>
      </c>
      <c r="G3026" s="4" t="str">
        <f>HYPERLINK("https://diaocthongthai.com/xa-xuan-huy-lam-thao/","Xã Xuân Huy")</f>
        <v>Xã Xuân Huy</v>
      </c>
    </row>
    <row r="3027" spans="1:7" x14ac:dyDescent="0.25">
      <c r="A3027" s="2">
        <v>3026</v>
      </c>
      <c r="B3027" s="3" t="s">
        <v>18</v>
      </c>
      <c r="C3027" s="4" t="str">
        <f t="shared" si="255"/>
        <v>Phú Thọ</v>
      </c>
      <c r="D3027" s="3" t="s">
        <v>242</v>
      </c>
      <c r="E3027" s="4" t="str">
        <f t="shared" si="257"/>
        <v>Huyện Lâm Thao</v>
      </c>
      <c r="F3027" s="3" t="s">
        <v>3791</v>
      </c>
      <c r="G3027" s="4" t="str">
        <f>HYPERLINK("https://diaocthongthai.com/xa-thach-son-lam-thao/","Xã Thạch Sơn")</f>
        <v>Xã Thạch Sơn</v>
      </c>
    </row>
    <row r="3028" spans="1:7" x14ac:dyDescent="0.25">
      <c r="A3028" s="2">
        <v>3027</v>
      </c>
      <c r="B3028" s="3" t="s">
        <v>18</v>
      </c>
      <c r="C3028" s="4" t="str">
        <f t="shared" si="255"/>
        <v>Phú Thọ</v>
      </c>
      <c r="D3028" s="3" t="s">
        <v>242</v>
      </c>
      <c r="E3028" s="4" t="str">
        <f t="shared" si="257"/>
        <v>Huyện Lâm Thao</v>
      </c>
      <c r="F3028" s="3" t="s">
        <v>3792</v>
      </c>
      <c r="G3028" s="4" t="str">
        <f>HYPERLINK("https://diaocthongthai.com/xa-son-vi-lam-thao/","Xã Sơn Vi")</f>
        <v>Xã Sơn Vi</v>
      </c>
    </row>
    <row r="3029" spans="1:7" x14ac:dyDescent="0.25">
      <c r="A3029" s="2">
        <v>3028</v>
      </c>
      <c r="B3029" s="3" t="s">
        <v>18</v>
      </c>
      <c r="C3029" s="4" t="str">
        <f t="shared" si="255"/>
        <v>Phú Thọ</v>
      </c>
      <c r="D3029" s="3" t="s">
        <v>242</v>
      </c>
      <c r="E3029" s="4" t="str">
        <f t="shared" si="257"/>
        <v>Huyện Lâm Thao</v>
      </c>
      <c r="F3029" s="3" t="s">
        <v>3793</v>
      </c>
      <c r="G3029" s="4" t="str">
        <f>HYPERLINK("https://diaocthongthai.com/xa-phung-nguyen-lam-thao/","Xã Phùng Nguyên")</f>
        <v>Xã Phùng Nguyên</v>
      </c>
    </row>
    <row r="3030" spans="1:7" x14ac:dyDescent="0.25">
      <c r="A3030" s="2">
        <v>3029</v>
      </c>
      <c r="B3030" s="3" t="s">
        <v>18</v>
      </c>
      <c r="C3030" s="4" t="str">
        <f t="shared" si="255"/>
        <v>Phú Thọ</v>
      </c>
      <c r="D3030" s="3" t="s">
        <v>242</v>
      </c>
      <c r="E3030" s="4" t="str">
        <f t="shared" si="257"/>
        <v>Huyện Lâm Thao</v>
      </c>
      <c r="F3030" s="3" t="s">
        <v>3794</v>
      </c>
      <c r="G3030" s="4" t="str">
        <f>HYPERLINK("https://diaocthongthai.com/xa-cao-xa-lam-thao/","Xã Cao Xá")</f>
        <v>Xã Cao Xá</v>
      </c>
    </row>
    <row r="3031" spans="1:7" x14ac:dyDescent="0.25">
      <c r="A3031" s="2">
        <v>3030</v>
      </c>
      <c r="B3031" s="3" t="s">
        <v>18</v>
      </c>
      <c r="C3031" s="4" t="str">
        <f t="shared" si="255"/>
        <v>Phú Thọ</v>
      </c>
      <c r="D3031" s="3" t="s">
        <v>242</v>
      </c>
      <c r="E3031" s="4" t="str">
        <f t="shared" si="257"/>
        <v>Huyện Lâm Thao</v>
      </c>
      <c r="F3031" s="3" t="s">
        <v>3795</v>
      </c>
      <c r="G3031" s="4" t="str">
        <f>HYPERLINK("https://diaocthongthai.com/xa-vinh-lai-lam-thao/","Xã Vĩnh Lại")</f>
        <v>Xã Vĩnh Lại</v>
      </c>
    </row>
    <row r="3032" spans="1:7" x14ac:dyDescent="0.25">
      <c r="A3032" s="2">
        <v>3031</v>
      </c>
      <c r="B3032" s="3" t="s">
        <v>18</v>
      </c>
      <c r="C3032" s="4" t="str">
        <f t="shared" si="255"/>
        <v>Phú Thọ</v>
      </c>
      <c r="D3032" s="3" t="s">
        <v>242</v>
      </c>
      <c r="E3032" s="4" t="str">
        <f t="shared" si="257"/>
        <v>Huyện Lâm Thao</v>
      </c>
      <c r="F3032" s="3" t="s">
        <v>3796</v>
      </c>
      <c r="G3032" s="4" t="str">
        <f>HYPERLINK("https://diaocthongthai.com/xa-tu-xa-lam-thao/","Xã Tứ Xã")</f>
        <v>Xã Tứ Xã</v>
      </c>
    </row>
    <row r="3033" spans="1:7" x14ac:dyDescent="0.25">
      <c r="A3033" s="2">
        <v>3032</v>
      </c>
      <c r="B3033" s="3" t="s">
        <v>18</v>
      </c>
      <c r="C3033" s="4" t="str">
        <f t="shared" si="255"/>
        <v>Phú Thọ</v>
      </c>
      <c r="D3033" s="3" t="s">
        <v>242</v>
      </c>
      <c r="E3033" s="4" t="str">
        <f t="shared" si="257"/>
        <v>Huyện Lâm Thao</v>
      </c>
      <c r="F3033" s="3" t="s">
        <v>3797</v>
      </c>
      <c r="G3033" s="4" t="str">
        <f>HYPERLINK("https://diaocthongthai.com/xa-ban-nguyen-lam-thao/","Xã Bản Nguyên")</f>
        <v>Xã Bản Nguyên</v>
      </c>
    </row>
    <row r="3034" spans="1:7" x14ac:dyDescent="0.25">
      <c r="A3034" s="2">
        <v>3033</v>
      </c>
      <c r="B3034" s="3" t="s">
        <v>18</v>
      </c>
      <c r="C3034" s="4" t="str">
        <f t="shared" si="255"/>
        <v>Phú Thọ</v>
      </c>
      <c r="D3034" s="3" t="s">
        <v>243</v>
      </c>
      <c r="E3034" s="4" t="str">
        <f t="shared" ref="E3034:E3056" si="258">HYPERLINK("https://diaocthongthai.com/ban-do-huyen-thanh-son-phu-tho/","Huyện Thanh Sơn")</f>
        <v>Huyện Thanh Sơn</v>
      </c>
      <c r="F3034" s="3" t="s">
        <v>3798</v>
      </c>
      <c r="G3034" s="4" t="str">
        <f>HYPERLINK("https://diaocthongthai.com/thi-tran-thanh-son-thanh-son/","Thị trấn Thanh Sơn")</f>
        <v>Thị trấn Thanh Sơn</v>
      </c>
    </row>
    <row r="3035" spans="1:7" x14ac:dyDescent="0.25">
      <c r="A3035" s="2">
        <v>3034</v>
      </c>
      <c r="B3035" s="3" t="s">
        <v>18</v>
      </c>
      <c r="C3035" s="4" t="str">
        <f t="shared" si="255"/>
        <v>Phú Thọ</v>
      </c>
      <c r="D3035" s="3" t="s">
        <v>243</v>
      </c>
      <c r="E3035" s="4" t="str">
        <f t="shared" si="258"/>
        <v>Huyện Thanh Sơn</v>
      </c>
      <c r="F3035" s="3" t="s">
        <v>3799</v>
      </c>
      <c r="G3035" s="4" t="str">
        <f>HYPERLINK("https://diaocthongthai.com/xa-son-hung-thanh-son/","Xã Sơn Hùng")</f>
        <v>Xã Sơn Hùng</v>
      </c>
    </row>
    <row r="3036" spans="1:7" x14ac:dyDescent="0.25">
      <c r="A3036" s="2">
        <v>3035</v>
      </c>
      <c r="B3036" s="3" t="s">
        <v>18</v>
      </c>
      <c r="C3036" s="4" t="str">
        <f t="shared" si="255"/>
        <v>Phú Thọ</v>
      </c>
      <c r="D3036" s="3" t="s">
        <v>243</v>
      </c>
      <c r="E3036" s="4" t="str">
        <f t="shared" si="258"/>
        <v>Huyện Thanh Sơn</v>
      </c>
      <c r="F3036" s="3" t="s">
        <v>3800</v>
      </c>
      <c r="G3036" s="4" t="str">
        <f>HYPERLINK("https://diaocthongthai.com/xa-dich-qua-thanh-son/","Xã Địch Quả")</f>
        <v>Xã Địch Quả</v>
      </c>
    </row>
    <row r="3037" spans="1:7" x14ac:dyDescent="0.25">
      <c r="A3037" s="2">
        <v>3036</v>
      </c>
      <c r="B3037" s="3" t="s">
        <v>18</v>
      </c>
      <c r="C3037" s="4" t="str">
        <f t="shared" si="255"/>
        <v>Phú Thọ</v>
      </c>
      <c r="D3037" s="3" t="s">
        <v>243</v>
      </c>
      <c r="E3037" s="4" t="str">
        <f t="shared" si="258"/>
        <v>Huyện Thanh Sơn</v>
      </c>
      <c r="F3037" s="3" t="s">
        <v>3801</v>
      </c>
      <c r="G3037" s="4" t="str">
        <f>HYPERLINK("https://diaocthongthai.com/xa-giap-lai-thanh-son/","Xã Giáp Lai")</f>
        <v>Xã Giáp Lai</v>
      </c>
    </row>
    <row r="3038" spans="1:7" x14ac:dyDescent="0.25">
      <c r="A3038" s="2">
        <v>3037</v>
      </c>
      <c r="B3038" s="3" t="s">
        <v>18</v>
      </c>
      <c r="C3038" s="4" t="str">
        <f t="shared" si="255"/>
        <v>Phú Thọ</v>
      </c>
      <c r="D3038" s="3" t="s">
        <v>243</v>
      </c>
      <c r="E3038" s="4" t="str">
        <f t="shared" si="258"/>
        <v>Huyện Thanh Sơn</v>
      </c>
      <c r="F3038" s="3" t="s">
        <v>3802</v>
      </c>
      <c r="G3038" s="4" t="str">
        <f>HYPERLINK("https://diaocthongthai.com/xa-thuc-luyen-thanh-son/","Xã Thục Luyện")</f>
        <v>Xã Thục Luyện</v>
      </c>
    </row>
    <row r="3039" spans="1:7" x14ac:dyDescent="0.25">
      <c r="A3039" s="2">
        <v>3038</v>
      </c>
      <c r="B3039" s="3" t="s">
        <v>18</v>
      </c>
      <c r="C3039" s="4" t="str">
        <f t="shared" si="255"/>
        <v>Phú Thọ</v>
      </c>
      <c r="D3039" s="3" t="s">
        <v>243</v>
      </c>
      <c r="E3039" s="4" t="str">
        <f t="shared" si="258"/>
        <v>Huyện Thanh Sơn</v>
      </c>
      <c r="F3039" s="3" t="s">
        <v>3803</v>
      </c>
      <c r="G3039" s="4" t="str">
        <f>HYPERLINK("https://diaocthongthai.com/xa-vo-mieu-thanh-son/","Xã Võ Miếu")</f>
        <v>Xã Võ Miếu</v>
      </c>
    </row>
    <row r="3040" spans="1:7" x14ac:dyDescent="0.25">
      <c r="A3040" s="2">
        <v>3039</v>
      </c>
      <c r="B3040" s="3" t="s">
        <v>18</v>
      </c>
      <c r="C3040" s="4" t="str">
        <f t="shared" si="255"/>
        <v>Phú Thọ</v>
      </c>
      <c r="D3040" s="3" t="s">
        <v>243</v>
      </c>
      <c r="E3040" s="4" t="str">
        <f t="shared" si="258"/>
        <v>Huyện Thanh Sơn</v>
      </c>
      <c r="F3040" s="3" t="s">
        <v>3804</v>
      </c>
      <c r="G3040" s="4" t="str">
        <f>HYPERLINK("https://diaocthongthai.com/xa-thach-khoan-thanh-son/","Xã Thạch Khoán")</f>
        <v>Xã Thạch Khoán</v>
      </c>
    </row>
    <row r="3041" spans="1:7" x14ac:dyDescent="0.25">
      <c r="A3041" s="2">
        <v>3040</v>
      </c>
      <c r="B3041" s="3" t="s">
        <v>18</v>
      </c>
      <c r="C3041" s="4" t="str">
        <f t="shared" si="255"/>
        <v>Phú Thọ</v>
      </c>
      <c r="D3041" s="3" t="s">
        <v>243</v>
      </c>
      <c r="E3041" s="4" t="str">
        <f t="shared" si="258"/>
        <v>Huyện Thanh Sơn</v>
      </c>
      <c r="F3041" s="3" t="s">
        <v>3805</v>
      </c>
      <c r="G3041" s="4" t="str">
        <f>HYPERLINK("https://diaocthongthai.com/xa-cu-thang-thanh-son/","Xã Cự Thắng")</f>
        <v>Xã Cự Thắng</v>
      </c>
    </row>
    <row r="3042" spans="1:7" x14ac:dyDescent="0.25">
      <c r="A3042" s="2">
        <v>3041</v>
      </c>
      <c r="B3042" s="3" t="s">
        <v>18</v>
      </c>
      <c r="C3042" s="4" t="str">
        <f t="shared" si="255"/>
        <v>Phú Thọ</v>
      </c>
      <c r="D3042" s="3" t="s">
        <v>243</v>
      </c>
      <c r="E3042" s="4" t="str">
        <f t="shared" si="258"/>
        <v>Huyện Thanh Sơn</v>
      </c>
      <c r="F3042" s="3" t="s">
        <v>3806</v>
      </c>
      <c r="G3042" s="4" t="str">
        <f>HYPERLINK("https://diaocthongthai.com/xa-tat-thang-thanh-son/","Xã Tất Thắng")</f>
        <v>Xã Tất Thắng</v>
      </c>
    </row>
    <row r="3043" spans="1:7" x14ac:dyDescent="0.25">
      <c r="A3043" s="2">
        <v>3042</v>
      </c>
      <c r="B3043" s="3" t="s">
        <v>18</v>
      </c>
      <c r="C3043" s="4" t="str">
        <f t="shared" si="255"/>
        <v>Phú Thọ</v>
      </c>
      <c r="D3043" s="3" t="s">
        <v>243</v>
      </c>
      <c r="E3043" s="4" t="str">
        <f t="shared" si="258"/>
        <v>Huyện Thanh Sơn</v>
      </c>
      <c r="F3043" s="3" t="s">
        <v>3807</v>
      </c>
      <c r="G3043" s="4" t="str">
        <f>HYPERLINK("https://diaocthongthai.com/xa-van-mieu-thanh-son/","Xã Văn Miếu")</f>
        <v>Xã Văn Miếu</v>
      </c>
    </row>
    <row r="3044" spans="1:7" x14ac:dyDescent="0.25">
      <c r="A3044" s="2">
        <v>3043</v>
      </c>
      <c r="B3044" s="3" t="s">
        <v>18</v>
      </c>
      <c r="C3044" s="4" t="str">
        <f t="shared" si="255"/>
        <v>Phú Thọ</v>
      </c>
      <c r="D3044" s="3" t="s">
        <v>243</v>
      </c>
      <c r="E3044" s="4" t="str">
        <f t="shared" si="258"/>
        <v>Huyện Thanh Sơn</v>
      </c>
      <c r="F3044" s="3" t="s">
        <v>3808</v>
      </c>
      <c r="G3044" s="4" t="str">
        <f>HYPERLINK("https://diaocthongthai.com/xa-cu-dong-thanh-son/","Xã Cự Đồng")</f>
        <v>Xã Cự Đồng</v>
      </c>
    </row>
    <row r="3045" spans="1:7" x14ac:dyDescent="0.25">
      <c r="A3045" s="2">
        <v>3044</v>
      </c>
      <c r="B3045" s="3" t="s">
        <v>18</v>
      </c>
      <c r="C3045" s="4" t="str">
        <f t="shared" si="255"/>
        <v>Phú Thọ</v>
      </c>
      <c r="D3045" s="3" t="s">
        <v>243</v>
      </c>
      <c r="E3045" s="4" t="str">
        <f t="shared" si="258"/>
        <v>Huyện Thanh Sơn</v>
      </c>
      <c r="F3045" s="3" t="s">
        <v>3809</v>
      </c>
      <c r="G3045" s="4" t="str">
        <f>HYPERLINK("https://diaocthongthai.com/xa-thang-son-thanh-son/","Xã Thắng Sơn")</f>
        <v>Xã Thắng Sơn</v>
      </c>
    </row>
    <row r="3046" spans="1:7" x14ac:dyDescent="0.25">
      <c r="A3046" s="2">
        <v>3045</v>
      </c>
      <c r="B3046" s="3" t="s">
        <v>18</v>
      </c>
      <c r="C3046" s="4" t="str">
        <f t="shared" si="255"/>
        <v>Phú Thọ</v>
      </c>
      <c r="D3046" s="3" t="s">
        <v>243</v>
      </c>
      <c r="E3046" s="4" t="str">
        <f t="shared" si="258"/>
        <v>Huyện Thanh Sơn</v>
      </c>
      <c r="F3046" s="3" t="s">
        <v>3810</v>
      </c>
      <c r="G3046" s="4" t="str">
        <f>HYPERLINK("https://diaocthongthai.com/xa-tan-minh-thanh-son/","Xã Tân Minh")</f>
        <v>Xã Tân Minh</v>
      </c>
    </row>
    <row r="3047" spans="1:7" x14ac:dyDescent="0.25">
      <c r="A3047" s="2">
        <v>3046</v>
      </c>
      <c r="B3047" s="3" t="s">
        <v>18</v>
      </c>
      <c r="C3047" s="4" t="str">
        <f t="shared" si="255"/>
        <v>Phú Thọ</v>
      </c>
      <c r="D3047" s="3" t="s">
        <v>243</v>
      </c>
      <c r="E3047" s="4" t="str">
        <f t="shared" si="258"/>
        <v>Huyện Thanh Sơn</v>
      </c>
      <c r="F3047" s="3" t="s">
        <v>3811</v>
      </c>
      <c r="G3047" s="4" t="str">
        <f>HYPERLINK("https://diaocthongthai.com/xa-huong-can-thanh-son/","Xã Hương Cần")</f>
        <v>Xã Hương Cần</v>
      </c>
    </row>
    <row r="3048" spans="1:7" x14ac:dyDescent="0.25">
      <c r="A3048" s="2">
        <v>3047</v>
      </c>
      <c r="B3048" s="3" t="s">
        <v>18</v>
      </c>
      <c r="C3048" s="4" t="str">
        <f t="shared" si="255"/>
        <v>Phú Thọ</v>
      </c>
      <c r="D3048" s="3" t="s">
        <v>243</v>
      </c>
      <c r="E3048" s="4" t="str">
        <f t="shared" si="258"/>
        <v>Huyện Thanh Sơn</v>
      </c>
      <c r="F3048" s="3" t="s">
        <v>3812</v>
      </c>
      <c r="G3048" s="4" t="str">
        <f>HYPERLINK("https://diaocthongthai.com/xa-kha-cuu-thanh-son/","Xã Khả Cửu")</f>
        <v>Xã Khả Cửu</v>
      </c>
    </row>
    <row r="3049" spans="1:7" x14ac:dyDescent="0.25">
      <c r="A3049" s="2">
        <v>3048</v>
      </c>
      <c r="B3049" s="3" t="s">
        <v>18</v>
      </c>
      <c r="C3049" s="4" t="str">
        <f t="shared" si="255"/>
        <v>Phú Thọ</v>
      </c>
      <c r="D3049" s="3" t="s">
        <v>243</v>
      </c>
      <c r="E3049" s="4" t="str">
        <f t="shared" si="258"/>
        <v>Huyện Thanh Sơn</v>
      </c>
      <c r="F3049" s="3" t="s">
        <v>3813</v>
      </c>
      <c r="G3049" s="4" t="str">
        <f>HYPERLINK("https://diaocthongthai.com/xa-dong-cuu-thanh-son/","Xã Đông Cửu")</f>
        <v>Xã Đông Cửu</v>
      </c>
    </row>
    <row r="3050" spans="1:7" x14ac:dyDescent="0.25">
      <c r="A3050" s="2">
        <v>3049</v>
      </c>
      <c r="B3050" s="3" t="s">
        <v>18</v>
      </c>
      <c r="C3050" s="4" t="str">
        <f t="shared" si="255"/>
        <v>Phú Thọ</v>
      </c>
      <c r="D3050" s="3" t="s">
        <v>243</v>
      </c>
      <c r="E3050" s="4" t="str">
        <f t="shared" si="258"/>
        <v>Huyện Thanh Sơn</v>
      </c>
      <c r="F3050" s="3" t="s">
        <v>3814</v>
      </c>
      <c r="G3050" s="4" t="str">
        <f>HYPERLINK("https://diaocthongthai.com/xa-tan-lap-thanh-son/","Xã Tân Lập")</f>
        <v>Xã Tân Lập</v>
      </c>
    </row>
    <row r="3051" spans="1:7" x14ac:dyDescent="0.25">
      <c r="A3051" s="2">
        <v>3050</v>
      </c>
      <c r="B3051" s="3" t="s">
        <v>18</v>
      </c>
      <c r="C3051" s="4" t="str">
        <f t="shared" si="255"/>
        <v>Phú Thọ</v>
      </c>
      <c r="D3051" s="3" t="s">
        <v>243</v>
      </c>
      <c r="E3051" s="4" t="str">
        <f t="shared" si="258"/>
        <v>Huyện Thanh Sơn</v>
      </c>
      <c r="F3051" s="3" t="s">
        <v>3815</v>
      </c>
      <c r="G3051" s="4" t="str">
        <f>HYPERLINK("https://diaocthongthai.com/xa-yen-lang-thanh-son/","Xã Yên Lãng")</f>
        <v>Xã Yên Lãng</v>
      </c>
    </row>
    <row r="3052" spans="1:7" x14ac:dyDescent="0.25">
      <c r="A3052" s="2">
        <v>3051</v>
      </c>
      <c r="B3052" s="3" t="s">
        <v>18</v>
      </c>
      <c r="C3052" s="4" t="str">
        <f t="shared" ref="C3052:C3084" si="259">HYPERLINK("https://diaocthongthai.com/ban-do-phu-tho/","Phú Thọ")</f>
        <v>Phú Thọ</v>
      </c>
      <c r="D3052" s="3" t="s">
        <v>243</v>
      </c>
      <c r="E3052" s="4" t="str">
        <f t="shared" si="258"/>
        <v>Huyện Thanh Sơn</v>
      </c>
      <c r="F3052" s="3" t="s">
        <v>3816</v>
      </c>
      <c r="G3052" s="4" t="str">
        <f>HYPERLINK("https://diaocthongthai.com/xa-yen-luong-thanh-son/","Xã Yên Lương")</f>
        <v>Xã Yên Lương</v>
      </c>
    </row>
    <row r="3053" spans="1:7" x14ac:dyDescent="0.25">
      <c r="A3053" s="2">
        <v>3052</v>
      </c>
      <c r="B3053" s="3" t="s">
        <v>18</v>
      </c>
      <c r="C3053" s="4" t="str">
        <f t="shared" si="259"/>
        <v>Phú Thọ</v>
      </c>
      <c r="D3053" s="3" t="s">
        <v>243</v>
      </c>
      <c r="E3053" s="4" t="str">
        <f t="shared" si="258"/>
        <v>Huyện Thanh Sơn</v>
      </c>
      <c r="F3053" s="3" t="s">
        <v>3817</v>
      </c>
      <c r="G3053" s="4" t="str">
        <f>HYPERLINK("https://diaocthongthai.com/xa-thuong-cuu-thanh-son/","Xã Thượng Cửu")</f>
        <v>Xã Thượng Cửu</v>
      </c>
    </row>
    <row r="3054" spans="1:7" x14ac:dyDescent="0.25">
      <c r="A3054" s="2">
        <v>3053</v>
      </c>
      <c r="B3054" s="3" t="s">
        <v>18</v>
      </c>
      <c r="C3054" s="4" t="str">
        <f t="shared" si="259"/>
        <v>Phú Thọ</v>
      </c>
      <c r="D3054" s="3" t="s">
        <v>243</v>
      </c>
      <c r="E3054" s="4" t="str">
        <f t="shared" si="258"/>
        <v>Huyện Thanh Sơn</v>
      </c>
      <c r="F3054" s="3" t="s">
        <v>3818</v>
      </c>
      <c r="G3054" s="4" t="str">
        <f>HYPERLINK("https://diaocthongthai.com/xa-luong-nha-thanh-son/","Xã Lương Nha")</f>
        <v>Xã Lương Nha</v>
      </c>
    </row>
    <row r="3055" spans="1:7" x14ac:dyDescent="0.25">
      <c r="A3055" s="2">
        <v>3054</v>
      </c>
      <c r="B3055" s="3" t="s">
        <v>18</v>
      </c>
      <c r="C3055" s="4" t="str">
        <f t="shared" si="259"/>
        <v>Phú Thọ</v>
      </c>
      <c r="D3055" s="3" t="s">
        <v>243</v>
      </c>
      <c r="E3055" s="4" t="str">
        <f t="shared" si="258"/>
        <v>Huyện Thanh Sơn</v>
      </c>
      <c r="F3055" s="3" t="s">
        <v>3819</v>
      </c>
      <c r="G3055" s="4" t="str">
        <f>HYPERLINK("https://diaocthongthai.com/xa-yen-son-thanh-son/","Xã Yên Sơn")</f>
        <v>Xã Yên Sơn</v>
      </c>
    </row>
    <row r="3056" spans="1:7" x14ac:dyDescent="0.25">
      <c r="A3056" s="2">
        <v>3055</v>
      </c>
      <c r="B3056" s="3" t="s">
        <v>18</v>
      </c>
      <c r="C3056" s="4" t="str">
        <f t="shared" si="259"/>
        <v>Phú Thọ</v>
      </c>
      <c r="D3056" s="3" t="s">
        <v>243</v>
      </c>
      <c r="E3056" s="4" t="str">
        <f t="shared" si="258"/>
        <v>Huyện Thanh Sơn</v>
      </c>
      <c r="F3056" s="3" t="s">
        <v>3820</v>
      </c>
      <c r="G3056" s="4" t="str">
        <f>HYPERLINK("https://diaocthongthai.com/xa-tinh-nhue-thanh-son/","Xã Tinh Nhuệ")</f>
        <v>Xã Tinh Nhuệ</v>
      </c>
    </row>
    <row r="3057" spans="1:7" x14ac:dyDescent="0.25">
      <c r="A3057" s="2">
        <v>3056</v>
      </c>
      <c r="B3057" s="3" t="s">
        <v>18</v>
      </c>
      <c r="C3057" s="4" t="str">
        <f t="shared" si="259"/>
        <v>Phú Thọ</v>
      </c>
      <c r="D3057" s="3" t="s">
        <v>244</v>
      </c>
      <c r="E3057" s="4" t="str">
        <f t="shared" ref="E3057:E3067" si="260">HYPERLINK("https://diaocthongthai.com/ban-do-huyen-thanh-thuy-phu-tho/","Huyện Thanh Thuỷ")</f>
        <v>Huyện Thanh Thuỷ</v>
      </c>
      <c r="F3057" s="3" t="s">
        <v>3821</v>
      </c>
      <c r="G3057" s="4" t="str">
        <f>HYPERLINK("https://diaocthongthai.com/xa-dao-xa-thanh-thuy/","Xã Đào Xá")</f>
        <v>Xã Đào Xá</v>
      </c>
    </row>
    <row r="3058" spans="1:7" x14ac:dyDescent="0.25">
      <c r="A3058" s="2">
        <v>3057</v>
      </c>
      <c r="B3058" s="3" t="s">
        <v>18</v>
      </c>
      <c r="C3058" s="4" t="str">
        <f t="shared" si="259"/>
        <v>Phú Thọ</v>
      </c>
      <c r="D3058" s="3" t="s">
        <v>244</v>
      </c>
      <c r="E3058" s="4" t="str">
        <f t="shared" si="260"/>
        <v>Huyện Thanh Thuỷ</v>
      </c>
      <c r="F3058" s="3" t="s">
        <v>3822</v>
      </c>
      <c r="G3058" s="4" t="str">
        <f>HYPERLINK("https://diaocthongthai.com/xa-thach-dong-thanh-thuy/","Xã Thạch Đồng")</f>
        <v>Xã Thạch Đồng</v>
      </c>
    </row>
    <row r="3059" spans="1:7" x14ac:dyDescent="0.25">
      <c r="A3059" s="2">
        <v>3058</v>
      </c>
      <c r="B3059" s="3" t="s">
        <v>18</v>
      </c>
      <c r="C3059" s="4" t="str">
        <f t="shared" si="259"/>
        <v>Phú Thọ</v>
      </c>
      <c r="D3059" s="3" t="s">
        <v>244</v>
      </c>
      <c r="E3059" s="4" t="str">
        <f t="shared" si="260"/>
        <v>Huyện Thanh Thuỷ</v>
      </c>
      <c r="F3059" s="3" t="s">
        <v>3823</v>
      </c>
      <c r="G3059" s="4" t="str">
        <f>HYPERLINK("https://diaocthongthai.com/xa-xuan-loc-thanh-thuy/","Xã Xuân Lộc")</f>
        <v>Xã Xuân Lộc</v>
      </c>
    </row>
    <row r="3060" spans="1:7" x14ac:dyDescent="0.25">
      <c r="A3060" s="2">
        <v>3059</v>
      </c>
      <c r="B3060" s="3" t="s">
        <v>18</v>
      </c>
      <c r="C3060" s="4" t="str">
        <f t="shared" si="259"/>
        <v>Phú Thọ</v>
      </c>
      <c r="D3060" s="3" t="s">
        <v>244</v>
      </c>
      <c r="E3060" s="4" t="str">
        <f t="shared" si="260"/>
        <v>Huyện Thanh Thuỷ</v>
      </c>
      <c r="F3060" s="3" t="s">
        <v>3824</v>
      </c>
      <c r="G3060" s="4" t="str">
        <f>HYPERLINK("https://diaocthongthai.com/xa-tan-phuong-thanh-thuy/","Xã Tân Phương")</f>
        <v>Xã Tân Phương</v>
      </c>
    </row>
    <row r="3061" spans="1:7" x14ac:dyDescent="0.25">
      <c r="A3061" s="2">
        <v>3060</v>
      </c>
      <c r="B3061" s="3" t="s">
        <v>18</v>
      </c>
      <c r="C3061" s="4" t="str">
        <f t="shared" si="259"/>
        <v>Phú Thọ</v>
      </c>
      <c r="D3061" s="3" t="s">
        <v>244</v>
      </c>
      <c r="E3061" s="4" t="str">
        <f t="shared" si="260"/>
        <v>Huyện Thanh Thuỷ</v>
      </c>
      <c r="F3061" s="3" t="s">
        <v>3825</v>
      </c>
      <c r="G3061" s="4" t="str">
        <f>HYPERLINK("https://diaocthongthai.com/thi-tran-thanh-thuy-thanh-thuy/","Thị trấn Thanh Thủy")</f>
        <v>Thị trấn Thanh Thủy</v>
      </c>
    </row>
    <row r="3062" spans="1:7" x14ac:dyDescent="0.25">
      <c r="A3062" s="2">
        <v>3061</v>
      </c>
      <c r="B3062" s="3" t="s">
        <v>18</v>
      </c>
      <c r="C3062" s="4" t="str">
        <f t="shared" si="259"/>
        <v>Phú Thọ</v>
      </c>
      <c r="D3062" s="3" t="s">
        <v>244</v>
      </c>
      <c r="E3062" s="4" t="str">
        <f t="shared" si="260"/>
        <v>Huyện Thanh Thuỷ</v>
      </c>
      <c r="F3062" s="3" t="s">
        <v>3826</v>
      </c>
      <c r="G3062" s="4" t="str">
        <f>HYPERLINK("https://diaocthongthai.com/xa-son-thuy-thanh-thuy/","Xã Sơn Thủy")</f>
        <v>Xã Sơn Thủy</v>
      </c>
    </row>
    <row r="3063" spans="1:7" x14ac:dyDescent="0.25">
      <c r="A3063" s="2">
        <v>3062</v>
      </c>
      <c r="B3063" s="3" t="s">
        <v>18</v>
      </c>
      <c r="C3063" s="4" t="str">
        <f t="shared" si="259"/>
        <v>Phú Thọ</v>
      </c>
      <c r="D3063" s="3" t="s">
        <v>244</v>
      </c>
      <c r="E3063" s="4" t="str">
        <f t="shared" si="260"/>
        <v>Huyện Thanh Thuỷ</v>
      </c>
      <c r="F3063" s="3" t="s">
        <v>3827</v>
      </c>
      <c r="G3063" s="4" t="str">
        <f>HYPERLINK("https://diaocthongthai.com/xa-bao-yen-thanh-thuy/","Xã Bảo Yên")</f>
        <v>Xã Bảo Yên</v>
      </c>
    </row>
    <row r="3064" spans="1:7" x14ac:dyDescent="0.25">
      <c r="A3064" s="2">
        <v>3063</v>
      </c>
      <c r="B3064" s="3" t="s">
        <v>18</v>
      </c>
      <c r="C3064" s="4" t="str">
        <f t="shared" si="259"/>
        <v>Phú Thọ</v>
      </c>
      <c r="D3064" s="3" t="s">
        <v>244</v>
      </c>
      <c r="E3064" s="4" t="str">
        <f t="shared" si="260"/>
        <v>Huyện Thanh Thuỷ</v>
      </c>
      <c r="F3064" s="3" t="s">
        <v>3828</v>
      </c>
      <c r="G3064" s="4" t="str">
        <f>HYPERLINK("https://diaocthongthai.com/xa-doan-ha-thanh-thuy/","Xã Đoan Hạ")</f>
        <v>Xã Đoan Hạ</v>
      </c>
    </row>
    <row r="3065" spans="1:7" x14ac:dyDescent="0.25">
      <c r="A3065" s="2">
        <v>3064</v>
      </c>
      <c r="B3065" s="3" t="s">
        <v>18</v>
      </c>
      <c r="C3065" s="4" t="str">
        <f t="shared" si="259"/>
        <v>Phú Thọ</v>
      </c>
      <c r="D3065" s="3" t="s">
        <v>244</v>
      </c>
      <c r="E3065" s="4" t="str">
        <f t="shared" si="260"/>
        <v>Huyện Thanh Thuỷ</v>
      </c>
      <c r="F3065" s="3" t="s">
        <v>3829</v>
      </c>
      <c r="G3065" s="4" t="str">
        <f>HYPERLINK("https://diaocthongthai.com/xa-dong-trung-thanh-thuy/","Xã Đồng Trung")</f>
        <v>Xã Đồng Trung</v>
      </c>
    </row>
    <row r="3066" spans="1:7" x14ac:dyDescent="0.25">
      <c r="A3066" s="2">
        <v>3065</v>
      </c>
      <c r="B3066" s="3" t="s">
        <v>18</v>
      </c>
      <c r="C3066" s="4" t="str">
        <f t="shared" si="259"/>
        <v>Phú Thọ</v>
      </c>
      <c r="D3066" s="3" t="s">
        <v>244</v>
      </c>
      <c r="E3066" s="4" t="str">
        <f t="shared" si="260"/>
        <v>Huyện Thanh Thuỷ</v>
      </c>
      <c r="F3066" s="3" t="s">
        <v>3830</v>
      </c>
      <c r="G3066" s="4" t="str">
        <f>HYPERLINK("https://diaocthongthai.com/xa-hoang-xa-thanh-thuy/","Xã Hoàng Xá")</f>
        <v>Xã Hoàng Xá</v>
      </c>
    </row>
    <row r="3067" spans="1:7" x14ac:dyDescent="0.25">
      <c r="A3067" s="2">
        <v>3066</v>
      </c>
      <c r="B3067" s="3" t="s">
        <v>18</v>
      </c>
      <c r="C3067" s="4" t="str">
        <f t="shared" si="259"/>
        <v>Phú Thọ</v>
      </c>
      <c r="D3067" s="3" t="s">
        <v>244</v>
      </c>
      <c r="E3067" s="4" t="str">
        <f t="shared" si="260"/>
        <v>Huyện Thanh Thuỷ</v>
      </c>
      <c r="F3067" s="3" t="s">
        <v>3831</v>
      </c>
      <c r="G3067" s="4" t="str">
        <f>HYPERLINK("https://diaocthongthai.com/xa-tu-vu-thanh-thuy/","Xã Tu Vũ")</f>
        <v>Xã Tu Vũ</v>
      </c>
    </row>
    <row r="3068" spans="1:7" x14ac:dyDescent="0.25">
      <c r="A3068" s="2">
        <v>3067</v>
      </c>
      <c r="B3068" s="3" t="s">
        <v>18</v>
      </c>
      <c r="C3068" s="4" t="str">
        <f t="shared" si="259"/>
        <v>Phú Thọ</v>
      </c>
      <c r="D3068" s="3" t="s">
        <v>245</v>
      </c>
      <c r="E3068" s="4" t="str">
        <f t="shared" ref="E3068:E3084" si="261">HYPERLINK("https://diaocthongthai.com/ban-do-huyen-tan-son-phu-tho/","Huyện Tân Sơn")</f>
        <v>Huyện Tân Sơn</v>
      </c>
      <c r="F3068" s="3" t="s">
        <v>3832</v>
      </c>
      <c r="G3068" s="4" t="str">
        <f>HYPERLINK("https://diaocthongthai.com/xa-thu-cuc-tan-son/","Xã Thu Cúc")</f>
        <v>Xã Thu Cúc</v>
      </c>
    </row>
    <row r="3069" spans="1:7" x14ac:dyDescent="0.25">
      <c r="A3069" s="2">
        <v>3068</v>
      </c>
      <c r="B3069" s="3" t="s">
        <v>18</v>
      </c>
      <c r="C3069" s="4" t="str">
        <f t="shared" si="259"/>
        <v>Phú Thọ</v>
      </c>
      <c r="D3069" s="3" t="s">
        <v>245</v>
      </c>
      <c r="E3069" s="4" t="str">
        <f t="shared" si="261"/>
        <v>Huyện Tân Sơn</v>
      </c>
      <c r="F3069" s="3" t="s">
        <v>3833</v>
      </c>
      <c r="G3069" s="4" t="str">
        <f>HYPERLINK("https://diaocthongthai.com/xa-thach-kiet-tan-son/","Xã Thạch Kiệt")</f>
        <v>Xã Thạch Kiệt</v>
      </c>
    </row>
    <row r="3070" spans="1:7" x14ac:dyDescent="0.25">
      <c r="A3070" s="2">
        <v>3069</v>
      </c>
      <c r="B3070" s="3" t="s">
        <v>18</v>
      </c>
      <c r="C3070" s="4" t="str">
        <f t="shared" si="259"/>
        <v>Phú Thọ</v>
      </c>
      <c r="D3070" s="3" t="s">
        <v>245</v>
      </c>
      <c r="E3070" s="4" t="str">
        <f t="shared" si="261"/>
        <v>Huyện Tân Sơn</v>
      </c>
      <c r="F3070" s="3" t="s">
        <v>3834</v>
      </c>
      <c r="G3070" s="4" t="str">
        <f>HYPERLINK("https://diaocthongthai.com/xa-thu-ngac-tan-son/","Xã Thu Ngạc")</f>
        <v>Xã Thu Ngạc</v>
      </c>
    </row>
    <row r="3071" spans="1:7" x14ac:dyDescent="0.25">
      <c r="A3071" s="2">
        <v>3070</v>
      </c>
      <c r="B3071" s="3" t="s">
        <v>18</v>
      </c>
      <c r="C3071" s="4" t="str">
        <f t="shared" si="259"/>
        <v>Phú Thọ</v>
      </c>
      <c r="D3071" s="3" t="s">
        <v>245</v>
      </c>
      <c r="E3071" s="4" t="str">
        <f t="shared" si="261"/>
        <v>Huyện Tân Sơn</v>
      </c>
      <c r="F3071" s="3" t="s">
        <v>3835</v>
      </c>
      <c r="G3071" s="4" t="str">
        <f>HYPERLINK("https://diaocthongthai.com/xa-kiet-son-tan-son/","Xã Kiệt Sơn")</f>
        <v>Xã Kiệt Sơn</v>
      </c>
    </row>
    <row r="3072" spans="1:7" x14ac:dyDescent="0.25">
      <c r="A3072" s="2">
        <v>3071</v>
      </c>
      <c r="B3072" s="3" t="s">
        <v>18</v>
      </c>
      <c r="C3072" s="4" t="str">
        <f t="shared" si="259"/>
        <v>Phú Thọ</v>
      </c>
      <c r="D3072" s="3" t="s">
        <v>245</v>
      </c>
      <c r="E3072" s="4" t="str">
        <f t="shared" si="261"/>
        <v>Huyện Tân Sơn</v>
      </c>
      <c r="F3072" s="3" t="s">
        <v>3836</v>
      </c>
      <c r="G3072" s="4" t="str">
        <f>HYPERLINK("https://diaocthongthai.com/xa-dong-son-tan-son/","Xã Đồng Sơn")</f>
        <v>Xã Đồng Sơn</v>
      </c>
    </row>
    <row r="3073" spans="1:7" x14ac:dyDescent="0.25">
      <c r="A3073" s="2">
        <v>3072</v>
      </c>
      <c r="B3073" s="3" t="s">
        <v>18</v>
      </c>
      <c r="C3073" s="4" t="str">
        <f t="shared" si="259"/>
        <v>Phú Thọ</v>
      </c>
      <c r="D3073" s="3" t="s">
        <v>245</v>
      </c>
      <c r="E3073" s="4" t="str">
        <f t="shared" si="261"/>
        <v>Huyện Tân Sơn</v>
      </c>
      <c r="F3073" s="3" t="s">
        <v>3837</v>
      </c>
      <c r="G3073" s="4" t="str">
        <f>HYPERLINK("https://diaocthongthai.com/xa-lai-dong-tan-son/","Xã Lai Đồng")</f>
        <v>Xã Lai Đồng</v>
      </c>
    </row>
    <row r="3074" spans="1:7" x14ac:dyDescent="0.25">
      <c r="A3074" s="2">
        <v>3073</v>
      </c>
      <c r="B3074" s="3" t="s">
        <v>18</v>
      </c>
      <c r="C3074" s="4" t="str">
        <f t="shared" si="259"/>
        <v>Phú Thọ</v>
      </c>
      <c r="D3074" s="3" t="s">
        <v>245</v>
      </c>
      <c r="E3074" s="4" t="str">
        <f t="shared" si="261"/>
        <v>Huyện Tân Sơn</v>
      </c>
      <c r="F3074" s="3" t="s">
        <v>3838</v>
      </c>
      <c r="G3074" s="4" t="str">
        <f>HYPERLINK("https://diaocthongthai.com/xa-tan-phu-tan-son/","Xã Tân Phú")</f>
        <v>Xã Tân Phú</v>
      </c>
    </row>
    <row r="3075" spans="1:7" x14ac:dyDescent="0.25">
      <c r="A3075" s="2">
        <v>3074</v>
      </c>
      <c r="B3075" s="3" t="s">
        <v>18</v>
      </c>
      <c r="C3075" s="4" t="str">
        <f t="shared" si="259"/>
        <v>Phú Thọ</v>
      </c>
      <c r="D3075" s="3" t="s">
        <v>245</v>
      </c>
      <c r="E3075" s="4" t="str">
        <f t="shared" si="261"/>
        <v>Huyện Tân Sơn</v>
      </c>
      <c r="F3075" s="3" t="s">
        <v>3839</v>
      </c>
      <c r="G3075" s="4" t="str">
        <f>HYPERLINK("https://diaocthongthai.com/xa-my-thuan-tan-son/","Xã Mỹ Thuận")</f>
        <v>Xã Mỹ Thuận</v>
      </c>
    </row>
    <row r="3076" spans="1:7" x14ac:dyDescent="0.25">
      <c r="A3076" s="2">
        <v>3075</v>
      </c>
      <c r="B3076" s="3" t="s">
        <v>18</v>
      </c>
      <c r="C3076" s="4" t="str">
        <f t="shared" si="259"/>
        <v>Phú Thọ</v>
      </c>
      <c r="D3076" s="3" t="s">
        <v>245</v>
      </c>
      <c r="E3076" s="4" t="str">
        <f t="shared" si="261"/>
        <v>Huyện Tân Sơn</v>
      </c>
      <c r="F3076" s="3" t="s">
        <v>3840</v>
      </c>
      <c r="G3076" s="4" t="str">
        <f>HYPERLINK("https://diaocthongthai.com/xa-tan-son-tan-son/","Xã Tân Sơn")</f>
        <v>Xã Tân Sơn</v>
      </c>
    </row>
    <row r="3077" spans="1:7" x14ac:dyDescent="0.25">
      <c r="A3077" s="2">
        <v>3076</v>
      </c>
      <c r="B3077" s="3" t="s">
        <v>18</v>
      </c>
      <c r="C3077" s="4" t="str">
        <f t="shared" si="259"/>
        <v>Phú Thọ</v>
      </c>
      <c r="D3077" s="3" t="s">
        <v>245</v>
      </c>
      <c r="E3077" s="4" t="str">
        <f t="shared" si="261"/>
        <v>Huyện Tân Sơn</v>
      </c>
      <c r="F3077" s="3" t="s">
        <v>3841</v>
      </c>
      <c r="G3077" s="4" t="str">
        <f>HYPERLINK("https://diaocthongthai.com/xa-xuan-dai-tan-son/","Xã Xuân Đài")</f>
        <v>Xã Xuân Đài</v>
      </c>
    </row>
    <row r="3078" spans="1:7" x14ac:dyDescent="0.25">
      <c r="A3078" s="2">
        <v>3077</v>
      </c>
      <c r="B3078" s="3" t="s">
        <v>18</v>
      </c>
      <c r="C3078" s="4" t="str">
        <f t="shared" si="259"/>
        <v>Phú Thọ</v>
      </c>
      <c r="D3078" s="3" t="s">
        <v>245</v>
      </c>
      <c r="E3078" s="4" t="str">
        <f t="shared" si="261"/>
        <v>Huyện Tân Sơn</v>
      </c>
      <c r="F3078" s="3" t="s">
        <v>3842</v>
      </c>
      <c r="G3078" s="4" t="str">
        <f>HYPERLINK("https://diaocthongthai.com/xa-minh-dai-tan-son/","Xã Minh Đài")</f>
        <v>Xã Minh Đài</v>
      </c>
    </row>
    <row r="3079" spans="1:7" x14ac:dyDescent="0.25">
      <c r="A3079" s="2">
        <v>3078</v>
      </c>
      <c r="B3079" s="3" t="s">
        <v>18</v>
      </c>
      <c r="C3079" s="4" t="str">
        <f t="shared" si="259"/>
        <v>Phú Thọ</v>
      </c>
      <c r="D3079" s="3" t="s">
        <v>245</v>
      </c>
      <c r="E3079" s="4" t="str">
        <f t="shared" si="261"/>
        <v>Huyện Tân Sơn</v>
      </c>
      <c r="F3079" s="3" t="s">
        <v>3843</v>
      </c>
      <c r="G3079" s="4" t="str">
        <f>HYPERLINK("https://diaocthongthai.com/xa-van-luong-tan-son/","Xã Văn Luông")</f>
        <v>Xã Văn Luông</v>
      </c>
    </row>
    <row r="3080" spans="1:7" x14ac:dyDescent="0.25">
      <c r="A3080" s="2">
        <v>3079</v>
      </c>
      <c r="B3080" s="3" t="s">
        <v>18</v>
      </c>
      <c r="C3080" s="4" t="str">
        <f t="shared" si="259"/>
        <v>Phú Thọ</v>
      </c>
      <c r="D3080" s="3" t="s">
        <v>245</v>
      </c>
      <c r="E3080" s="4" t="str">
        <f t="shared" si="261"/>
        <v>Huyện Tân Sơn</v>
      </c>
      <c r="F3080" s="3" t="s">
        <v>3844</v>
      </c>
      <c r="G3080" s="4" t="str">
        <f>HYPERLINK("https://diaocthongthai.com/xa-xuan-son-tan-son/","Xã Xuân Sơn")</f>
        <v>Xã Xuân Sơn</v>
      </c>
    </row>
    <row r="3081" spans="1:7" x14ac:dyDescent="0.25">
      <c r="A3081" s="2">
        <v>3080</v>
      </c>
      <c r="B3081" s="3" t="s">
        <v>18</v>
      </c>
      <c r="C3081" s="4" t="str">
        <f t="shared" si="259"/>
        <v>Phú Thọ</v>
      </c>
      <c r="D3081" s="3" t="s">
        <v>245</v>
      </c>
      <c r="E3081" s="4" t="str">
        <f t="shared" si="261"/>
        <v>Huyện Tân Sơn</v>
      </c>
      <c r="F3081" s="3" t="s">
        <v>3845</v>
      </c>
      <c r="G3081" s="4" t="str">
        <f>HYPERLINK("https://diaocthongthai.com/xa-long-coc-tan-son/","Xã Long Cốc")</f>
        <v>Xã Long Cốc</v>
      </c>
    </row>
    <row r="3082" spans="1:7" x14ac:dyDescent="0.25">
      <c r="A3082" s="2">
        <v>3081</v>
      </c>
      <c r="B3082" s="3" t="s">
        <v>18</v>
      </c>
      <c r="C3082" s="4" t="str">
        <f t="shared" si="259"/>
        <v>Phú Thọ</v>
      </c>
      <c r="D3082" s="3" t="s">
        <v>245</v>
      </c>
      <c r="E3082" s="4" t="str">
        <f t="shared" si="261"/>
        <v>Huyện Tân Sơn</v>
      </c>
      <c r="F3082" s="3" t="s">
        <v>3846</v>
      </c>
      <c r="G3082" s="4" t="str">
        <f>HYPERLINK("https://diaocthongthai.com/xa-kim-thuong-tan-son/","Xã Kim Thượng")</f>
        <v>Xã Kim Thượng</v>
      </c>
    </row>
    <row r="3083" spans="1:7" x14ac:dyDescent="0.25">
      <c r="A3083" s="2">
        <v>3082</v>
      </c>
      <c r="B3083" s="3" t="s">
        <v>18</v>
      </c>
      <c r="C3083" s="4" t="str">
        <f t="shared" si="259"/>
        <v>Phú Thọ</v>
      </c>
      <c r="D3083" s="3" t="s">
        <v>245</v>
      </c>
      <c r="E3083" s="4" t="str">
        <f t="shared" si="261"/>
        <v>Huyện Tân Sơn</v>
      </c>
      <c r="F3083" s="3" t="s">
        <v>3847</v>
      </c>
      <c r="G3083" s="4" t="str">
        <f>HYPERLINK("https://diaocthongthai.com/xa-tam-thanh-tan-son/","Xã Tam Thanh")</f>
        <v>Xã Tam Thanh</v>
      </c>
    </row>
    <row r="3084" spans="1:7" x14ac:dyDescent="0.25">
      <c r="A3084" s="2">
        <v>3083</v>
      </c>
      <c r="B3084" s="3" t="s">
        <v>18</v>
      </c>
      <c r="C3084" s="4" t="str">
        <f t="shared" si="259"/>
        <v>Phú Thọ</v>
      </c>
      <c r="D3084" s="3" t="s">
        <v>245</v>
      </c>
      <c r="E3084" s="4" t="str">
        <f t="shared" si="261"/>
        <v>Huyện Tân Sơn</v>
      </c>
      <c r="F3084" s="3" t="s">
        <v>3848</v>
      </c>
      <c r="G3084" s="4" t="str">
        <f>HYPERLINK("https://diaocthongthai.com/xa-vinh-tien-tan-son/","Xã Vinh Tiền")</f>
        <v>Xã Vinh Tiền</v>
      </c>
    </row>
    <row r="3085" spans="1:7" x14ac:dyDescent="0.25">
      <c r="A3085" s="2">
        <v>3084</v>
      </c>
      <c r="B3085" s="3" t="s">
        <v>19</v>
      </c>
      <c r="C3085" s="4" t="str">
        <f t="shared" ref="C3085:C3116" si="262">HYPERLINK("https://diaocthongthai.com/ban-do-vinh-phuc/","Vĩnh Phúc")</f>
        <v>Vĩnh Phúc</v>
      </c>
      <c r="D3085" s="3" t="s">
        <v>246</v>
      </c>
      <c r="E3085" s="4" t="str">
        <f t="shared" ref="E3085:E3093" si="263">HYPERLINK("https://diaocthongthai.com/ban-do-tp-vinh-yen-vinh-phuc/","Thành phố Vĩnh Yên")</f>
        <v>Thành phố Vĩnh Yên</v>
      </c>
      <c r="F3085" s="3" t="s">
        <v>3849</v>
      </c>
      <c r="G3085" s="4" t="str">
        <f>HYPERLINK("https://diaocthongthai.com/phuong-tich-son-tp-vinh-yen/","Phường Tích Sơn")</f>
        <v>Phường Tích Sơn</v>
      </c>
    </row>
    <row r="3086" spans="1:7" x14ac:dyDescent="0.25">
      <c r="A3086" s="2">
        <v>3085</v>
      </c>
      <c r="B3086" s="3" t="s">
        <v>19</v>
      </c>
      <c r="C3086" s="4" t="str">
        <f t="shared" si="262"/>
        <v>Vĩnh Phúc</v>
      </c>
      <c r="D3086" s="3" t="s">
        <v>246</v>
      </c>
      <c r="E3086" s="4" t="str">
        <f t="shared" si="263"/>
        <v>Thành phố Vĩnh Yên</v>
      </c>
      <c r="F3086" s="3" t="s">
        <v>3850</v>
      </c>
      <c r="G3086" s="4" t="str">
        <f>HYPERLINK("https://diaocthongthai.com/phuong-lien-bao-tp-vinh-yen/","Phường Liên Bảo")</f>
        <v>Phường Liên Bảo</v>
      </c>
    </row>
    <row r="3087" spans="1:7" x14ac:dyDescent="0.25">
      <c r="A3087" s="2">
        <v>3086</v>
      </c>
      <c r="B3087" s="3" t="s">
        <v>19</v>
      </c>
      <c r="C3087" s="4" t="str">
        <f t="shared" si="262"/>
        <v>Vĩnh Phúc</v>
      </c>
      <c r="D3087" s="3" t="s">
        <v>246</v>
      </c>
      <c r="E3087" s="4" t="str">
        <f t="shared" si="263"/>
        <v>Thành phố Vĩnh Yên</v>
      </c>
      <c r="F3087" s="3" t="s">
        <v>3851</v>
      </c>
      <c r="G3087" s="4" t="str">
        <f>HYPERLINK("https://diaocthongthai.com/phuong-hoi-hop-tp-vinh-yen/","Phường Hội Hợp")</f>
        <v>Phường Hội Hợp</v>
      </c>
    </row>
    <row r="3088" spans="1:7" x14ac:dyDescent="0.25">
      <c r="A3088" s="2">
        <v>3087</v>
      </c>
      <c r="B3088" s="3" t="s">
        <v>19</v>
      </c>
      <c r="C3088" s="4" t="str">
        <f t="shared" si="262"/>
        <v>Vĩnh Phúc</v>
      </c>
      <c r="D3088" s="3" t="s">
        <v>246</v>
      </c>
      <c r="E3088" s="4" t="str">
        <f t="shared" si="263"/>
        <v>Thành phố Vĩnh Yên</v>
      </c>
      <c r="F3088" s="3" t="s">
        <v>3852</v>
      </c>
      <c r="G3088" s="4" t="str">
        <f>HYPERLINK("https://diaocthongthai.com/phuong-dong-da-tp-vinh-yen/","Phường Đống Đa")</f>
        <v>Phường Đống Đa</v>
      </c>
    </row>
    <row r="3089" spans="1:7" x14ac:dyDescent="0.25">
      <c r="A3089" s="2">
        <v>3088</v>
      </c>
      <c r="B3089" s="3" t="s">
        <v>19</v>
      </c>
      <c r="C3089" s="4" t="str">
        <f t="shared" si="262"/>
        <v>Vĩnh Phúc</v>
      </c>
      <c r="D3089" s="3" t="s">
        <v>246</v>
      </c>
      <c r="E3089" s="4" t="str">
        <f t="shared" si="263"/>
        <v>Thành phố Vĩnh Yên</v>
      </c>
      <c r="F3089" s="3" t="s">
        <v>3853</v>
      </c>
      <c r="G3089" s="4" t="str">
        <f>HYPERLINK("https://diaocthongthai.com/phuong-ngo-quyen-tp-vinh-yen/","Phường Ngô Quyền")</f>
        <v>Phường Ngô Quyền</v>
      </c>
    </row>
    <row r="3090" spans="1:7" x14ac:dyDescent="0.25">
      <c r="A3090" s="2">
        <v>3089</v>
      </c>
      <c r="B3090" s="3" t="s">
        <v>19</v>
      </c>
      <c r="C3090" s="4" t="str">
        <f t="shared" si="262"/>
        <v>Vĩnh Phúc</v>
      </c>
      <c r="D3090" s="3" t="s">
        <v>246</v>
      </c>
      <c r="E3090" s="4" t="str">
        <f t="shared" si="263"/>
        <v>Thành phố Vĩnh Yên</v>
      </c>
      <c r="F3090" s="3" t="s">
        <v>3854</v>
      </c>
      <c r="G3090" s="4" t="str">
        <f>HYPERLINK("https://diaocthongthai.com/phuong-dong-tam-tp-vinh-yen/","Phường Đồng Tâm")</f>
        <v>Phường Đồng Tâm</v>
      </c>
    </row>
    <row r="3091" spans="1:7" x14ac:dyDescent="0.25">
      <c r="A3091" s="2">
        <v>3090</v>
      </c>
      <c r="B3091" s="3" t="s">
        <v>19</v>
      </c>
      <c r="C3091" s="4" t="str">
        <f t="shared" si="262"/>
        <v>Vĩnh Phúc</v>
      </c>
      <c r="D3091" s="3" t="s">
        <v>246</v>
      </c>
      <c r="E3091" s="4" t="str">
        <f t="shared" si="263"/>
        <v>Thành phố Vĩnh Yên</v>
      </c>
      <c r="F3091" s="3" t="s">
        <v>3855</v>
      </c>
      <c r="G3091" s="4" t="str">
        <f>HYPERLINK("https://diaocthongthai.com/xa-dinh-trung-tp-vinh-yen/","Xã Định Trung")</f>
        <v>Xã Định Trung</v>
      </c>
    </row>
    <row r="3092" spans="1:7" x14ac:dyDescent="0.25">
      <c r="A3092" s="2">
        <v>3091</v>
      </c>
      <c r="B3092" s="3" t="s">
        <v>19</v>
      </c>
      <c r="C3092" s="4" t="str">
        <f t="shared" si="262"/>
        <v>Vĩnh Phúc</v>
      </c>
      <c r="D3092" s="3" t="s">
        <v>246</v>
      </c>
      <c r="E3092" s="4" t="str">
        <f t="shared" si="263"/>
        <v>Thành phố Vĩnh Yên</v>
      </c>
      <c r="F3092" s="3" t="s">
        <v>3856</v>
      </c>
      <c r="G3092" s="4" t="str">
        <f>HYPERLINK("https://diaocthongthai.com/phuong-khai-quang-tp-vinh-yen/","Phường Khai Quang")</f>
        <v>Phường Khai Quang</v>
      </c>
    </row>
    <row r="3093" spans="1:7" x14ac:dyDescent="0.25">
      <c r="A3093" s="2">
        <v>3092</v>
      </c>
      <c r="B3093" s="3" t="s">
        <v>19</v>
      </c>
      <c r="C3093" s="4" t="str">
        <f t="shared" si="262"/>
        <v>Vĩnh Phúc</v>
      </c>
      <c r="D3093" s="3" t="s">
        <v>246</v>
      </c>
      <c r="E3093" s="4" t="str">
        <f t="shared" si="263"/>
        <v>Thành phố Vĩnh Yên</v>
      </c>
      <c r="F3093" s="3" t="s">
        <v>3857</v>
      </c>
      <c r="G3093" s="4" t="str">
        <f>HYPERLINK("https://diaocthongthai.com/xa-thanh-tru-tp-vinh-yen/","Xã Thanh Trù")</f>
        <v>Xã Thanh Trù</v>
      </c>
    </row>
    <row r="3094" spans="1:7" x14ac:dyDescent="0.25">
      <c r="A3094" s="2">
        <v>3093</v>
      </c>
      <c r="B3094" s="3" t="s">
        <v>19</v>
      </c>
      <c r="C3094" s="4" t="str">
        <f t="shared" si="262"/>
        <v>Vĩnh Phúc</v>
      </c>
      <c r="D3094" s="3" t="s">
        <v>247</v>
      </c>
      <c r="E3094" s="4" t="str">
        <f t="shared" ref="E3094:E3103" si="264">HYPERLINK("https://diaocthongthai.com/ban-do-tp-phuc-yen-vinh-phuc/","Thành phố Phúc Yên")</f>
        <v>Thành phố Phúc Yên</v>
      </c>
      <c r="F3094" s="3" t="s">
        <v>3858</v>
      </c>
      <c r="G3094" s="4" t="str">
        <f>HYPERLINK("https://diaocthongthai.com/phuong-trung-trac-tp-phuc-yen/","Phường Trưng Trắc")</f>
        <v>Phường Trưng Trắc</v>
      </c>
    </row>
    <row r="3095" spans="1:7" x14ac:dyDescent="0.25">
      <c r="A3095" s="2">
        <v>3094</v>
      </c>
      <c r="B3095" s="3" t="s">
        <v>19</v>
      </c>
      <c r="C3095" s="4" t="str">
        <f t="shared" si="262"/>
        <v>Vĩnh Phúc</v>
      </c>
      <c r="D3095" s="3" t="s">
        <v>247</v>
      </c>
      <c r="E3095" s="4" t="str">
        <f t="shared" si="264"/>
        <v>Thành phố Phúc Yên</v>
      </c>
      <c r="F3095" s="3" t="s">
        <v>3859</v>
      </c>
      <c r="G3095" s="4" t="str">
        <f>HYPERLINK("https://diaocthongthai.com/phuong-hung-vuong-tp-phuc-yen/","Phường Hùng Vương")</f>
        <v>Phường Hùng Vương</v>
      </c>
    </row>
    <row r="3096" spans="1:7" x14ac:dyDescent="0.25">
      <c r="A3096" s="2">
        <v>3095</v>
      </c>
      <c r="B3096" s="3" t="s">
        <v>19</v>
      </c>
      <c r="C3096" s="4" t="str">
        <f t="shared" si="262"/>
        <v>Vĩnh Phúc</v>
      </c>
      <c r="D3096" s="3" t="s">
        <v>247</v>
      </c>
      <c r="E3096" s="4" t="str">
        <f t="shared" si="264"/>
        <v>Thành phố Phúc Yên</v>
      </c>
      <c r="F3096" s="3" t="s">
        <v>3860</v>
      </c>
      <c r="G3096" s="4" t="str">
        <f>HYPERLINK("https://diaocthongthai.com/phuong-trung-nhi-tp-phuc-yen/","Phường Trưng Nhị")</f>
        <v>Phường Trưng Nhị</v>
      </c>
    </row>
    <row r="3097" spans="1:7" x14ac:dyDescent="0.25">
      <c r="A3097" s="2">
        <v>3096</v>
      </c>
      <c r="B3097" s="3" t="s">
        <v>19</v>
      </c>
      <c r="C3097" s="4" t="str">
        <f t="shared" si="262"/>
        <v>Vĩnh Phúc</v>
      </c>
      <c r="D3097" s="3" t="s">
        <v>247</v>
      </c>
      <c r="E3097" s="4" t="str">
        <f t="shared" si="264"/>
        <v>Thành phố Phúc Yên</v>
      </c>
      <c r="F3097" s="3" t="s">
        <v>3861</v>
      </c>
      <c r="G3097" s="4" t="str">
        <f>HYPERLINK("https://diaocthongthai.com/phuong-phuc-thang-tp-phuc-yen/","Phường Phúc Thắng")</f>
        <v>Phường Phúc Thắng</v>
      </c>
    </row>
    <row r="3098" spans="1:7" x14ac:dyDescent="0.25">
      <c r="A3098" s="2">
        <v>3097</v>
      </c>
      <c r="B3098" s="3" t="s">
        <v>19</v>
      </c>
      <c r="C3098" s="4" t="str">
        <f t="shared" si="262"/>
        <v>Vĩnh Phúc</v>
      </c>
      <c r="D3098" s="3" t="s">
        <v>247</v>
      </c>
      <c r="E3098" s="4" t="str">
        <f t="shared" si="264"/>
        <v>Thành phố Phúc Yên</v>
      </c>
      <c r="F3098" s="3" t="s">
        <v>3862</v>
      </c>
      <c r="G3098" s="4" t="str">
        <f>HYPERLINK("https://diaocthongthai.com/phuong-xuan-hoa-tp-phuc-yen/","Phường Xuân Hoà")</f>
        <v>Phường Xuân Hoà</v>
      </c>
    </row>
    <row r="3099" spans="1:7" x14ac:dyDescent="0.25">
      <c r="A3099" s="2">
        <v>3098</v>
      </c>
      <c r="B3099" s="3" t="s">
        <v>19</v>
      </c>
      <c r="C3099" s="4" t="str">
        <f t="shared" si="262"/>
        <v>Vĩnh Phúc</v>
      </c>
      <c r="D3099" s="3" t="s">
        <v>247</v>
      </c>
      <c r="E3099" s="4" t="str">
        <f t="shared" si="264"/>
        <v>Thành phố Phúc Yên</v>
      </c>
      <c r="F3099" s="3" t="s">
        <v>3863</v>
      </c>
      <c r="G3099" s="4" t="str">
        <f>HYPERLINK("https://diaocthongthai.com/phuong-dong-xuan-tp-phuc-yen/","Phường Đồng Xuân")</f>
        <v>Phường Đồng Xuân</v>
      </c>
    </row>
    <row r="3100" spans="1:7" x14ac:dyDescent="0.25">
      <c r="A3100" s="2">
        <v>3099</v>
      </c>
      <c r="B3100" s="3" t="s">
        <v>19</v>
      </c>
      <c r="C3100" s="4" t="str">
        <f t="shared" si="262"/>
        <v>Vĩnh Phúc</v>
      </c>
      <c r="D3100" s="3" t="s">
        <v>247</v>
      </c>
      <c r="E3100" s="4" t="str">
        <f t="shared" si="264"/>
        <v>Thành phố Phúc Yên</v>
      </c>
      <c r="F3100" s="3" t="s">
        <v>3864</v>
      </c>
      <c r="G3100" s="4" t="str">
        <f>HYPERLINK("https://diaocthongthai.com/xa-ngoc-thanh-tp-phuc-yen/","Xã Ngọc Thanh")</f>
        <v>Xã Ngọc Thanh</v>
      </c>
    </row>
    <row r="3101" spans="1:7" x14ac:dyDescent="0.25">
      <c r="A3101" s="2">
        <v>3100</v>
      </c>
      <c r="B3101" s="3" t="s">
        <v>19</v>
      </c>
      <c r="C3101" s="4" t="str">
        <f t="shared" si="262"/>
        <v>Vĩnh Phúc</v>
      </c>
      <c r="D3101" s="3" t="s">
        <v>247</v>
      </c>
      <c r="E3101" s="4" t="str">
        <f t="shared" si="264"/>
        <v>Thành phố Phúc Yên</v>
      </c>
      <c r="F3101" s="3" t="s">
        <v>3865</v>
      </c>
      <c r="G3101" s="4" t="str">
        <f>HYPERLINK("https://diaocthongthai.com/xa-cao-minh-tp-phuc-yen/","Xã Cao Minh")</f>
        <v>Xã Cao Minh</v>
      </c>
    </row>
    <row r="3102" spans="1:7" x14ac:dyDescent="0.25">
      <c r="A3102" s="2">
        <v>3101</v>
      </c>
      <c r="B3102" s="3" t="s">
        <v>19</v>
      </c>
      <c r="C3102" s="4" t="str">
        <f t="shared" si="262"/>
        <v>Vĩnh Phúc</v>
      </c>
      <c r="D3102" s="3" t="s">
        <v>247</v>
      </c>
      <c r="E3102" s="4" t="str">
        <f t="shared" si="264"/>
        <v>Thành phố Phúc Yên</v>
      </c>
      <c r="F3102" s="3" t="s">
        <v>3866</v>
      </c>
      <c r="G3102" s="4" t="str">
        <f>HYPERLINK("https://diaocthongthai.com/phuong-nam-viem-tp-phuc-yen/","Phường Nam Viêm")</f>
        <v>Phường Nam Viêm</v>
      </c>
    </row>
    <row r="3103" spans="1:7" x14ac:dyDescent="0.25">
      <c r="A3103" s="2">
        <v>3102</v>
      </c>
      <c r="B3103" s="3" t="s">
        <v>19</v>
      </c>
      <c r="C3103" s="4" t="str">
        <f t="shared" si="262"/>
        <v>Vĩnh Phúc</v>
      </c>
      <c r="D3103" s="3" t="s">
        <v>247</v>
      </c>
      <c r="E3103" s="4" t="str">
        <f t="shared" si="264"/>
        <v>Thành phố Phúc Yên</v>
      </c>
      <c r="F3103" s="3" t="s">
        <v>3867</v>
      </c>
      <c r="G3103" s="4" t="str">
        <f>HYPERLINK("https://diaocthongthai.com/phuong-tien-chau-tp-phuc-yen/","Phường Tiền Châu")</f>
        <v>Phường Tiền Châu</v>
      </c>
    </row>
    <row r="3104" spans="1:7" x14ac:dyDescent="0.25">
      <c r="A3104" s="2">
        <v>3103</v>
      </c>
      <c r="B3104" s="3" t="s">
        <v>19</v>
      </c>
      <c r="C3104" s="4" t="str">
        <f t="shared" si="262"/>
        <v>Vĩnh Phúc</v>
      </c>
      <c r="D3104" s="3" t="s">
        <v>248</v>
      </c>
      <c r="E3104" s="4" t="str">
        <f t="shared" ref="E3104:E3123" si="265">HYPERLINK("https://diaocthongthai.com/ban-do-huyen-lap-thach-vinh-phuc/","Huyện Lập Thạch")</f>
        <v>Huyện Lập Thạch</v>
      </c>
      <c r="F3104" s="3" t="s">
        <v>3868</v>
      </c>
      <c r="G3104" s="4" t="str">
        <f>HYPERLINK("https://diaocthongthai.com/thi-tran-lap-thach-lap-thach/","Thị trấn Lập Thạch")</f>
        <v>Thị trấn Lập Thạch</v>
      </c>
    </row>
    <row r="3105" spans="1:7" x14ac:dyDescent="0.25">
      <c r="A3105" s="2">
        <v>3104</v>
      </c>
      <c r="B3105" s="3" t="s">
        <v>19</v>
      </c>
      <c r="C3105" s="4" t="str">
        <f t="shared" si="262"/>
        <v>Vĩnh Phúc</v>
      </c>
      <c r="D3105" s="3" t="s">
        <v>248</v>
      </c>
      <c r="E3105" s="4" t="str">
        <f t="shared" si="265"/>
        <v>Huyện Lập Thạch</v>
      </c>
      <c r="F3105" s="3" t="s">
        <v>3869</v>
      </c>
      <c r="G3105" s="4" t="str">
        <f>HYPERLINK("https://diaocthongthai.com/xa-quang-son-lap-thach/","Xã Quang Sơn")</f>
        <v>Xã Quang Sơn</v>
      </c>
    </row>
    <row r="3106" spans="1:7" x14ac:dyDescent="0.25">
      <c r="A3106" s="2">
        <v>3105</v>
      </c>
      <c r="B3106" s="3" t="s">
        <v>19</v>
      </c>
      <c r="C3106" s="4" t="str">
        <f t="shared" si="262"/>
        <v>Vĩnh Phúc</v>
      </c>
      <c r="D3106" s="3" t="s">
        <v>248</v>
      </c>
      <c r="E3106" s="4" t="str">
        <f t="shared" si="265"/>
        <v>Huyện Lập Thạch</v>
      </c>
      <c r="F3106" s="3" t="s">
        <v>3870</v>
      </c>
      <c r="G3106" s="4" t="str">
        <f>HYPERLINK("https://diaocthongthai.com/xa-ngoc-my-lap-thach/","Xã Ngọc Mỹ")</f>
        <v>Xã Ngọc Mỹ</v>
      </c>
    </row>
    <row r="3107" spans="1:7" x14ac:dyDescent="0.25">
      <c r="A3107" s="2">
        <v>3106</v>
      </c>
      <c r="B3107" s="3" t="s">
        <v>19</v>
      </c>
      <c r="C3107" s="4" t="str">
        <f t="shared" si="262"/>
        <v>Vĩnh Phúc</v>
      </c>
      <c r="D3107" s="3" t="s">
        <v>248</v>
      </c>
      <c r="E3107" s="4" t="str">
        <f t="shared" si="265"/>
        <v>Huyện Lập Thạch</v>
      </c>
      <c r="F3107" s="3" t="s">
        <v>3871</v>
      </c>
      <c r="G3107" s="4" t="str">
        <f>HYPERLINK("https://diaocthongthai.com/xa-hop-ly-lap-thach/","Xã Hợp Lý")</f>
        <v>Xã Hợp Lý</v>
      </c>
    </row>
    <row r="3108" spans="1:7" x14ac:dyDescent="0.25">
      <c r="A3108" s="2">
        <v>3107</v>
      </c>
      <c r="B3108" s="3" t="s">
        <v>19</v>
      </c>
      <c r="C3108" s="4" t="str">
        <f t="shared" si="262"/>
        <v>Vĩnh Phúc</v>
      </c>
      <c r="D3108" s="3" t="s">
        <v>248</v>
      </c>
      <c r="E3108" s="4" t="str">
        <f t="shared" si="265"/>
        <v>Huyện Lập Thạch</v>
      </c>
      <c r="F3108" s="3" t="s">
        <v>3872</v>
      </c>
      <c r="G3108" s="4" t="str">
        <f>HYPERLINK("https://diaocthongthai.com/xa-bac-binh-lap-thach/","Xã Bắc Bình")</f>
        <v>Xã Bắc Bình</v>
      </c>
    </row>
    <row r="3109" spans="1:7" x14ac:dyDescent="0.25">
      <c r="A3109" s="2">
        <v>3108</v>
      </c>
      <c r="B3109" s="3" t="s">
        <v>19</v>
      </c>
      <c r="C3109" s="4" t="str">
        <f t="shared" si="262"/>
        <v>Vĩnh Phúc</v>
      </c>
      <c r="D3109" s="3" t="s">
        <v>248</v>
      </c>
      <c r="E3109" s="4" t="str">
        <f t="shared" si="265"/>
        <v>Huyện Lập Thạch</v>
      </c>
      <c r="F3109" s="3" t="s">
        <v>3873</v>
      </c>
      <c r="G3109" s="4" t="str">
        <f>HYPERLINK("https://diaocthongthai.com/xa-thai-hoa-lap-thach/","Xã Thái Hòa")</f>
        <v>Xã Thái Hòa</v>
      </c>
    </row>
    <row r="3110" spans="1:7" x14ac:dyDescent="0.25">
      <c r="A3110" s="2">
        <v>3109</v>
      </c>
      <c r="B3110" s="3" t="s">
        <v>19</v>
      </c>
      <c r="C3110" s="4" t="str">
        <f t="shared" si="262"/>
        <v>Vĩnh Phúc</v>
      </c>
      <c r="D3110" s="3" t="s">
        <v>248</v>
      </c>
      <c r="E3110" s="4" t="str">
        <f t="shared" si="265"/>
        <v>Huyện Lập Thạch</v>
      </c>
      <c r="F3110" s="3" t="s">
        <v>3874</v>
      </c>
      <c r="G3110" s="4" t="str">
        <f>HYPERLINK("https://diaocthongthai.com/thi-tran-hoa-son-lap-thach/","Thị trấn Hoa Sơn")</f>
        <v>Thị trấn Hoa Sơn</v>
      </c>
    </row>
    <row r="3111" spans="1:7" x14ac:dyDescent="0.25">
      <c r="A3111" s="2">
        <v>3110</v>
      </c>
      <c r="B3111" s="3" t="s">
        <v>19</v>
      </c>
      <c r="C3111" s="4" t="str">
        <f t="shared" si="262"/>
        <v>Vĩnh Phúc</v>
      </c>
      <c r="D3111" s="3" t="s">
        <v>248</v>
      </c>
      <c r="E3111" s="4" t="str">
        <f t="shared" si="265"/>
        <v>Huyện Lập Thạch</v>
      </c>
      <c r="F3111" s="3" t="s">
        <v>3875</v>
      </c>
      <c r="G3111" s="4" t="str">
        <f>HYPERLINK("https://diaocthongthai.com/xa-lien-son-lap-thach/","Xã Liễn Sơn")</f>
        <v>Xã Liễn Sơn</v>
      </c>
    </row>
    <row r="3112" spans="1:7" x14ac:dyDescent="0.25">
      <c r="A3112" s="2">
        <v>3111</v>
      </c>
      <c r="B3112" s="3" t="s">
        <v>19</v>
      </c>
      <c r="C3112" s="4" t="str">
        <f t="shared" si="262"/>
        <v>Vĩnh Phúc</v>
      </c>
      <c r="D3112" s="3" t="s">
        <v>248</v>
      </c>
      <c r="E3112" s="4" t="str">
        <f t="shared" si="265"/>
        <v>Huyện Lập Thạch</v>
      </c>
      <c r="F3112" s="3" t="s">
        <v>3876</v>
      </c>
      <c r="G3112" s="4" t="str">
        <f>HYPERLINK("https://diaocthongthai.com/xa-xuan-hoa-lap-thach/","Xã Xuân Hòa")</f>
        <v>Xã Xuân Hòa</v>
      </c>
    </row>
    <row r="3113" spans="1:7" x14ac:dyDescent="0.25">
      <c r="A3113" s="2">
        <v>3112</v>
      </c>
      <c r="B3113" s="3" t="s">
        <v>19</v>
      </c>
      <c r="C3113" s="4" t="str">
        <f t="shared" si="262"/>
        <v>Vĩnh Phúc</v>
      </c>
      <c r="D3113" s="3" t="s">
        <v>248</v>
      </c>
      <c r="E3113" s="4" t="str">
        <f t="shared" si="265"/>
        <v>Huyện Lập Thạch</v>
      </c>
      <c r="F3113" s="3" t="s">
        <v>3877</v>
      </c>
      <c r="G3113" s="4" t="str">
        <f>HYPERLINK("https://diaocthongthai.com/xa-van-truc-lap-thach/","Xã Vân Trục")</f>
        <v>Xã Vân Trục</v>
      </c>
    </row>
    <row r="3114" spans="1:7" x14ac:dyDescent="0.25">
      <c r="A3114" s="2">
        <v>3113</v>
      </c>
      <c r="B3114" s="3" t="s">
        <v>19</v>
      </c>
      <c r="C3114" s="4" t="str">
        <f t="shared" si="262"/>
        <v>Vĩnh Phúc</v>
      </c>
      <c r="D3114" s="3" t="s">
        <v>248</v>
      </c>
      <c r="E3114" s="4" t="str">
        <f t="shared" si="265"/>
        <v>Huyện Lập Thạch</v>
      </c>
      <c r="F3114" s="3" t="s">
        <v>3878</v>
      </c>
      <c r="G3114" s="4" t="str">
        <f>HYPERLINK("https://diaocthongthai.com/xa-lien-hoa-lap-thach/","Xã Liên Hòa")</f>
        <v>Xã Liên Hòa</v>
      </c>
    </row>
    <row r="3115" spans="1:7" x14ac:dyDescent="0.25">
      <c r="A3115" s="2">
        <v>3114</v>
      </c>
      <c r="B3115" s="3" t="s">
        <v>19</v>
      </c>
      <c r="C3115" s="4" t="str">
        <f t="shared" si="262"/>
        <v>Vĩnh Phúc</v>
      </c>
      <c r="D3115" s="3" t="s">
        <v>248</v>
      </c>
      <c r="E3115" s="4" t="str">
        <f t="shared" si="265"/>
        <v>Huyện Lập Thạch</v>
      </c>
      <c r="F3115" s="3" t="s">
        <v>3879</v>
      </c>
      <c r="G3115" s="4" t="str">
        <f>HYPERLINK("https://diaocthongthai.com/xa-tu-du-lap-thach/","Xã Tử Du")</f>
        <v>Xã Tử Du</v>
      </c>
    </row>
    <row r="3116" spans="1:7" x14ac:dyDescent="0.25">
      <c r="A3116" s="2">
        <v>3115</v>
      </c>
      <c r="B3116" s="3" t="s">
        <v>19</v>
      </c>
      <c r="C3116" s="4" t="str">
        <f t="shared" si="262"/>
        <v>Vĩnh Phúc</v>
      </c>
      <c r="D3116" s="3" t="s">
        <v>248</v>
      </c>
      <c r="E3116" s="4" t="str">
        <f t="shared" si="265"/>
        <v>Huyện Lập Thạch</v>
      </c>
      <c r="F3116" s="3" t="s">
        <v>3880</v>
      </c>
      <c r="G3116" s="4" t="str">
        <f>HYPERLINK("https://diaocthongthai.com/xa-ban-gian-lap-thach/","Xã Bàn Giản")</f>
        <v>Xã Bàn Giản</v>
      </c>
    </row>
    <row r="3117" spans="1:7" x14ac:dyDescent="0.25">
      <c r="A3117" s="2">
        <v>3116</v>
      </c>
      <c r="B3117" s="3" t="s">
        <v>19</v>
      </c>
      <c r="C3117" s="4" t="str">
        <f t="shared" ref="C3117:C3148" si="266">HYPERLINK("https://diaocthongthai.com/ban-do-vinh-phuc/","Vĩnh Phúc")</f>
        <v>Vĩnh Phúc</v>
      </c>
      <c r="D3117" s="3" t="s">
        <v>248</v>
      </c>
      <c r="E3117" s="4" t="str">
        <f t="shared" si="265"/>
        <v>Huyện Lập Thạch</v>
      </c>
      <c r="F3117" s="3" t="s">
        <v>3881</v>
      </c>
      <c r="G3117" s="4" t="str">
        <f>HYPERLINK("https://diaocthongthai.com/xa-xuan-loi-lap-thach/","Xã Xuân Lôi")</f>
        <v>Xã Xuân Lôi</v>
      </c>
    </row>
    <row r="3118" spans="1:7" x14ac:dyDescent="0.25">
      <c r="A3118" s="2">
        <v>3117</v>
      </c>
      <c r="B3118" s="3" t="s">
        <v>19</v>
      </c>
      <c r="C3118" s="4" t="str">
        <f t="shared" si="266"/>
        <v>Vĩnh Phúc</v>
      </c>
      <c r="D3118" s="3" t="s">
        <v>248</v>
      </c>
      <c r="E3118" s="4" t="str">
        <f t="shared" si="265"/>
        <v>Huyện Lập Thạch</v>
      </c>
      <c r="F3118" s="3" t="s">
        <v>3882</v>
      </c>
      <c r="G3118" s="4" t="str">
        <f>HYPERLINK("https://diaocthongthai.com/xa-dong-ich-lap-thach/","Xã Đồng Ích")</f>
        <v>Xã Đồng Ích</v>
      </c>
    </row>
    <row r="3119" spans="1:7" x14ac:dyDescent="0.25">
      <c r="A3119" s="2">
        <v>3118</v>
      </c>
      <c r="B3119" s="3" t="s">
        <v>19</v>
      </c>
      <c r="C3119" s="4" t="str">
        <f t="shared" si="266"/>
        <v>Vĩnh Phúc</v>
      </c>
      <c r="D3119" s="3" t="s">
        <v>248</v>
      </c>
      <c r="E3119" s="4" t="str">
        <f t="shared" si="265"/>
        <v>Huyện Lập Thạch</v>
      </c>
      <c r="F3119" s="3" t="s">
        <v>3883</v>
      </c>
      <c r="G3119" s="4" t="str">
        <f>HYPERLINK("https://diaocthongthai.com/xa-tien-lu-lap-thach/","Xã Tiên Lữ")</f>
        <v>Xã Tiên Lữ</v>
      </c>
    </row>
    <row r="3120" spans="1:7" x14ac:dyDescent="0.25">
      <c r="A3120" s="2">
        <v>3119</v>
      </c>
      <c r="B3120" s="3" t="s">
        <v>19</v>
      </c>
      <c r="C3120" s="4" t="str">
        <f t="shared" si="266"/>
        <v>Vĩnh Phúc</v>
      </c>
      <c r="D3120" s="3" t="s">
        <v>248</v>
      </c>
      <c r="E3120" s="4" t="str">
        <f t="shared" si="265"/>
        <v>Huyện Lập Thạch</v>
      </c>
      <c r="F3120" s="3" t="s">
        <v>3884</v>
      </c>
      <c r="G3120" s="4" t="str">
        <f>HYPERLINK("https://diaocthongthai.com/xa-van-quan-lap-thach/","Xã Văn Quán")</f>
        <v>Xã Văn Quán</v>
      </c>
    </row>
    <row r="3121" spans="1:7" x14ac:dyDescent="0.25">
      <c r="A3121" s="2">
        <v>3120</v>
      </c>
      <c r="B3121" s="3" t="s">
        <v>19</v>
      </c>
      <c r="C3121" s="4" t="str">
        <f t="shared" si="266"/>
        <v>Vĩnh Phúc</v>
      </c>
      <c r="D3121" s="3" t="s">
        <v>248</v>
      </c>
      <c r="E3121" s="4" t="str">
        <f t="shared" si="265"/>
        <v>Huyện Lập Thạch</v>
      </c>
      <c r="F3121" s="3" t="s">
        <v>3885</v>
      </c>
      <c r="G3121" s="4" t="str">
        <f>HYPERLINK("https://diaocthongthai.com/xa-dinh-chu-lap-thach/","Xã Đình Chu")</f>
        <v>Xã Đình Chu</v>
      </c>
    </row>
    <row r="3122" spans="1:7" x14ac:dyDescent="0.25">
      <c r="A3122" s="2">
        <v>3121</v>
      </c>
      <c r="B3122" s="3" t="s">
        <v>19</v>
      </c>
      <c r="C3122" s="4" t="str">
        <f t="shared" si="266"/>
        <v>Vĩnh Phúc</v>
      </c>
      <c r="D3122" s="3" t="s">
        <v>248</v>
      </c>
      <c r="E3122" s="4" t="str">
        <f t="shared" si="265"/>
        <v>Huyện Lập Thạch</v>
      </c>
      <c r="F3122" s="3" t="s">
        <v>3886</v>
      </c>
      <c r="G3122" s="4" t="str">
        <f>HYPERLINK("https://diaocthongthai.com/xa-trieu-de-lap-thach/","Xã Triệu Đề")</f>
        <v>Xã Triệu Đề</v>
      </c>
    </row>
    <row r="3123" spans="1:7" x14ac:dyDescent="0.25">
      <c r="A3123" s="2">
        <v>3122</v>
      </c>
      <c r="B3123" s="3" t="s">
        <v>19</v>
      </c>
      <c r="C3123" s="4" t="str">
        <f t="shared" si="266"/>
        <v>Vĩnh Phúc</v>
      </c>
      <c r="D3123" s="3" t="s">
        <v>248</v>
      </c>
      <c r="E3123" s="4" t="str">
        <f t="shared" si="265"/>
        <v>Huyện Lập Thạch</v>
      </c>
      <c r="F3123" s="3" t="s">
        <v>3887</v>
      </c>
      <c r="G3123" s="4" t="str">
        <f>HYPERLINK("https://diaocthongthai.com/xa-son-dong-lap-thach/","Xã Sơn Đông")</f>
        <v>Xã Sơn Đông</v>
      </c>
    </row>
    <row r="3124" spans="1:7" x14ac:dyDescent="0.25">
      <c r="A3124" s="2">
        <v>3123</v>
      </c>
      <c r="B3124" s="3" t="s">
        <v>19</v>
      </c>
      <c r="C3124" s="4" t="str">
        <f t="shared" si="266"/>
        <v>Vĩnh Phúc</v>
      </c>
      <c r="D3124" s="3" t="s">
        <v>249</v>
      </c>
      <c r="E3124" s="4" t="str">
        <f t="shared" ref="E3124:E3136" si="267">HYPERLINK("https://diaocthongthai.com/ban-do-huyen-tam-duong-vinh-phuc/","Huyện Tam Dương")</f>
        <v>Huyện Tam Dương</v>
      </c>
      <c r="F3124" s="3" t="s">
        <v>3888</v>
      </c>
      <c r="G3124" s="4" t="str">
        <f>HYPERLINK("https://diaocthongthai.com/thi-tran-hop-hoa-tam-duong-vinh-phuc/","Thị trấn Hợp Hòa")</f>
        <v>Thị trấn Hợp Hòa</v>
      </c>
    </row>
    <row r="3125" spans="1:7" x14ac:dyDescent="0.25">
      <c r="A3125" s="2">
        <v>3124</v>
      </c>
      <c r="B3125" s="3" t="s">
        <v>19</v>
      </c>
      <c r="C3125" s="4" t="str">
        <f t="shared" si="266"/>
        <v>Vĩnh Phúc</v>
      </c>
      <c r="D3125" s="3" t="s">
        <v>249</v>
      </c>
      <c r="E3125" s="4" t="str">
        <f t="shared" si="267"/>
        <v>Huyện Tam Dương</v>
      </c>
      <c r="F3125" s="3" t="s">
        <v>3889</v>
      </c>
      <c r="G3125" s="4" t="str">
        <f>HYPERLINK("https://diaocthongthai.com/xa-hoang-hoa-tam-duong-vinh-phuc/","Xã Hoàng Hoa")</f>
        <v>Xã Hoàng Hoa</v>
      </c>
    </row>
    <row r="3126" spans="1:7" x14ac:dyDescent="0.25">
      <c r="A3126" s="2">
        <v>3125</v>
      </c>
      <c r="B3126" s="3" t="s">
        <v>19</v>
      </c>
      <c r="C3126" s="4" t="str">
        <f t="shared" si="266"/>
        <v>Vĩnh Phúc</v>
      </c>
      <c r="D3126" s="3" t="s">
        <v>249</v>
      </c>
      <c r="E3126" s="4" t="str">
        <f t="shared" si="267"/>
        <v>Huyện Tam Dương</v>
      </c>
      <c r="F3126" s="3" t="s">
        <v>3890</v>
      </c>
      <c r="G3126" s="4" t="str">
        <f>HYPERLINK("https://diaocthongthai.com/xa-dong-tinh-tam-duong-vinh-phuc/","Xã Đồng Tĩnh")</f>
        <v>Xã Đồng Tĩnh</v>
      </c>
    </row>
    <row r="3127" spans="1:7" x14ac:dyDescent="0.25">
      <c r="A3127" s="2">
        <v>3126</v>
      </c>
      <c r="B3127" s="3" t="s">
        <v>19</v>
      </c>
      <c r="C3127" s="4" t="str">
        <f t="shared" si="266"/>
        <v>Vĩnh Phúc</v>
      </c>
      <c r="D3127" s="3" t="s">
        <v>249</v>
      </c>
      <c r="E3127" s="4" t="str">
        <f t="shared" si="267"/>
        <v>Huyện Tam Dương</v>
      </c>
      <c r="F3127" s="3" t="s">
        <v>3891</v>
      </c>
      <c r="G3127" s="4" t="str">
        <f>HYPERLINK("https://diaocthongthai.com/xa-kim-long-tam-duong-vinh-phuc/","Xã Kim Long")</f>
        <v>Xã Kim Long</v>
      </c>
    </row>
    <row r="3128" spans="1:7" x14ac:dyDescent="0.25">
      <c r="A3128" s="2">
        <v>3127</v>
      </c>
      <c r="B3128" s="3" t="s">
        <v>19</v>
      </c>
      <c r="C3128" s="4" t="str">
        <f t="shared" si="266"/>
        <v>Vĩnh Phúc</v>
      </c>
      <c r="D3128" s="3" t="s">
        <v>249</v>
      </c>
      <c r="E3128" s="4" t="str">
        <f t="shared" si="267"/>
        <v>Huyện Tam Dương</v>
      </c>
      <c r="F3128" s="3" t="s">
        <v>3892</v>
      </c>
      <c r="G3128" s="4" t="str">
        <f>HYPERLINK("https://diaocthongthai.com/xa-huong-dao-tam-duong-vinh-phuc/","Xã Hướng Đạo")</f>
        <v>Xã Hướng Đạo</v>
      </c>
    </row>
    <row r="3129" spans="1:7" x14ac:dyDescent="0.25">
      <c r="A3129" s="2">
        <v>3128</v>
      </c>
      <c r="B3129" s="3" t="s">
        <v>19</v>
      </c>
      <c r="C3129" s="4" t="str">
        <f t="shared" si="266"/>
        <v>Vĩnh Phúc</v>
      </c>
      <c r="D3129" s="3" t="s">
        <v>249</v>
      </c>
      <c r="E3129" s="4" t="str">
        <f t="shared" si="267"/>
        <v>Huyện Tam Dương</v>
      </c>
      <c r="F3129" s="3" t="s">
        <v>3893</v>
      </c>
      <c r="G3129" s="4" t="str">
        <f>HYPERLINK("https://diaocthongthai.com/xa-dao-tu-tam-duong-vinh-phuc/","Xã Đạo Tú")</f>
        <v>Xã Đạo Tú</v>
      </c>
    </row>
    <row r="3130" spans="1:7" x14ac:dyDescent="0.25">
      <c r="A3130" s="2">
        <v>3129</v>
      </c>
      <c r="B3130" s="3" t="s">
        <v>19</v>
      </c>
      <c r="C3130" s="4" t="str">
        <f t="shared" si="266"/>
        <v>Vĩnh Phúc</v>
      </c>
      <c r="D3130" s="3" t="s">
        <v>249</v>
      </c>
      <c r="E3130" s="4" t="str">
        <f t="shared" si="267"/>
        <v>Huyện Tam Dương</v>
      </c>
      <c r="F3130" s="3" t="s">
        <v>3894</v>
      </c>
      <c r="G3130" s="4" t="str">
        <f>HYPERLINK("https://diaocthongthai.com/xa-an-hoa-tam-duong-vinh-phuc/","Xã An Hòa")</f>
        <v>Xã An Hòa</v>
      </c>
    </row>
    <row r="3131" spans="1:7" x14ac:dyDescent="0.25">
      <c r="A3131" s="2">
        <v>3130</v>
      </c>
      <c r="B3131" s="3" t="s">
        <v>19</v>
      </c>
      <c r="C3131" s="4" t="str">
        <f t="shared" si="266"/>
        <v>Vĩnh Phúc</v>
      </c>
      <c r="D3131" s="3" t="s">
        <v>249</v>
      </c>
      <c r="E3131" s="4" t="str">
        <f t="shared" si="267"/>
        <v>Huyện Tam Dương</v>
      </c>
      <c r="F3131" s="3" t="s">
        <v>3895</v>
      </c>
      <c r="G3131" s="4" t="str">
        <f>HYPERLINK("https://diaocthongthai.com/xa-thanh-van-tam-duong-vinh-phuc/","Xã Thanh Vân")</f>
        <v>Xã Thanh Vân</v>
      </c>
    </row>
    <row r="3132" spans="1:7" x14ac:dyDescent="0.25">
      <c r="A3132" s="2">
        <v>3131</v>
      </c>
      <c r="B3132" s="3" t="s">
        <v>19</v>
      </c>
      <c r="C3132" s="4" t="str">
        <f t="shared" si="266"/>
        <v>Vĩnh Phúc</v>
      </c>
      <c r="D3132" s="3" t="s">
        <v>249</v>
      </c>
      <c r="E3132" s="4" t="str">
        <f t="shared" si="267"/>
        <v>Huyện Tam Dương</v>
      </c>
      <c r="F3132" s="3" t="s">
        <v>3896</v>
      </c>
      <c r="G3132" s="4" t="str">
        <f>HYPERLINK("https://diaocthongthai.com/xa-duy-phien-tam-duong-vinh-phuc/","Xã Duy Phiên")</f>
        <v>Xã Duy Phiên</v>
      </c>
    </row>
    <row r="3133" spans="1:7" x14ac:dyDescent="0.25">
      <c r="A3133" s="2">
        <v>3132</v>
      </c>
      <c r="B3133" s="3" t="s">
        <v>19</v>
      </c>
      <c r="C3133" s="4" t="str">
        <f t="shared" si="266"/>
        <v>Vĩnh Phúc</v>
      </c>
      <c r="D3133" s="3" t="s">
        <v>249</v>
      </c>
      <c r="E3133" s="4" t="str">
        <f t="shared" si="267"/>
        <v>Huyện Tam Dương</v>
      </c>
      <c r="F3133" s="3" t="s">
        <v>3897</v>
      </c>
      <c r="G3133" s="4" t="str">
        <f>HYPERLINK("https://diaocthongthai.com/xa-hoang-dan-tam-duong-vinh-phuc/","Xã Hoàng Đan")</f>
        <v>Xã Hoàng Đan</v>
      </c>
    </row>
    <row r="3134" spans="1:7" x14ac:dyDescent="0.25">
      <c r="A3134" s="2">
        <v>3133</v>
      </c>
      <c r="B3134" s="3" t="s">
        <v>19</v>
      </c>
      <c r="C3134" s="4" t="str">
        <f t="shared" si="266"/>
        <v>Vĩnh Phúc</v>
      </c>
      <c r="D3134" s="3" t="s">
        <v>249</v>
      </c>
      <c r="E3134" s="4" t="str">
        <f t="shared" si="267"/>
        <v>Huyện Tam Dương</v>
      </c>
      <c r="F3134" s="3" t="s">
        <v>3898</v>
      </c>
      <c r="G3134" s="4" t="str">
        <f>HYPERLINK("https://diaocthongthai.com/xa-hoang-lau-tam-duong-vinh-phuc/","Xã Hoàng Lâu")</f>
        <v>Xã Hoàng Lâu</v>
      </c>
    </row>
    <row r="3135" spans="1:7" x14ac:dyDescent="0.25">
      <c r="A3135" s="2">
        <v>3134</v>
      </c>
      <c r="B3135" s="3" t="s">
        <v>19</v>
      </c>
      <c r="C3135" s="4" t="str">
        <f t="shared" si="266"/>
        <v>Vĩnh Phúc</v>
      </c>
      <c r="D3135" s="3" t="s">
        <v>249</v>
      </c>
      <c r="E3135" s="4" t="str">
        <f t="shared" si="267"/>
        <v>Huyện Tam Dương</v>
      </c>
      <c r="F3135" s="3" t="s">
        <v>3899</v>
      </c>
      <c r="G3135" s="4" t="str">
        <f>HYPERLINK("https://diaocthongthai.com/xa-van-hoi-tam-duong-vinh-phuc/","Xã Vân Hội")</f>
        <v>Xã Vân Hội</v>
      </c>
    </row>
    <row r="3136" spans="1:7" x14ac:dyDescent="0.25">
      <c r="A3136" s="2">
        <v>3135</v>
      </c>
      <c r="B3136" s="3" t="s">
        <v>19</v>
      </c>
      <c r="C3136" s="4" t="str">
        <f t="shared" si="266"/>
        <v>Vĩnh Phúc</v>
      </c>
      <c r="D3136" s="3" t="s">
        <v>249</v>
      </c>
      <c r="E3136" s="4" t="str">
        <f t="shared" si="267"/>
        <v>Huyện Tam Dương</v>
      </c>
      <c r="F3136" s="3" t="s">
        <v>3900</v>
      </c>
      <c r="G3136" s="4" t="str">
        <f>HYPERLINK("https://diaocthongthai.com/xa-hop-thinh-tam-duong-vinh-phuc/","Xã Hợp Thịnh")</f>
        <v>Xã Hợp Thịnh</v>
      </c>
    </row>
    <row r="3137" spans="1:7" x14ac:dyDescent="0.25">
      <c r="A3137" s="2">
        <v>3136</v>
      </c>
      <c r="B3137" s="3" t="s">
        <v>19</v>
      </c>
      <c r="C3137" s="4" t="str">
        <f t="shared" si="266"/>
        <v>Vĩnh Phúc</v>
      </c>
      <c r="D3137" s="3" t="s">
        <v>250</v>
      </c>
      <c r="E3137" s="4" t="str">
        <f t="shared" ref="E3137:E3145" si="268">HYPERLINK("https://diaocthongthai.com/ban-do-huyen-tam-dao-vinh-phuc/","Huyện Tam Đảo")</f>
        <v>Huyện Tam Đảo</v>
      </c>
      <c r="F3137" s="3" t="s">
        <v>3901</v>
      </c>
      <c r="G3137" s="4" t="str">
        <f>HYPERLINK("https://diaocthongthai.com/thi-tran-tam-dao-tam-dao/","Thị trấn Tam Đảo")</f>
        <v>Thị trấn Tam Đảo</v>
      </c>
    </row>
    <row r="3138" spans="1:7" x14ac:dyDescent="0.25">
      <c r="A3138" s="2">
        <v>3137</v>
      </c>
      <c r="B3138" s="3" t="s">
        <v>19</v>
      </c>
      <c r="C3138" s="4" t="str">
        <f t="shared" si="266"/>
        <v>Vĩnh Phúc</v>
      </c>
      <c r="D3138" s="3" t="s">
        <v>250</v>
      </c>
      <c r="E3138" s="4" t="str">
        <f t="shared" si="268"/>
        <v>Huyện Tam Đảo</v>
      </c>
      <c r="F3138" s="3" t="s">
        <v>3902</v>
      </c>
      <c r="G3138" s="4" t="str">
        <f>HYPERLINK("https://diaocthongthai.com/thi-tran-hop-chau-tam-dao/","Thị trấn Hợp Châu")</f>
        <v>Thị trấn Hợp Châu</v>
      </c>
    </row>
    <row r="3139" spans="1:7" x14ac:dyDescent="0.25">
      <c r="A3139" s="2">
        <v>3138</v>
      </c>
      <c r="B3139" s="3" t="s">
        <v>19</v>
      </c>
      <c r="C3139" s="4" t="str">
        <f t="shared" si="266"/>
        <v>Vĩnh Phúc</v>
      </c>
      <c r="D3139" s="3" t="s">
        <v>250</v>
      </c>
      <c r="E3139" s="4" t="str">
        <f t="shared" si="268"/>
        <v>Huyện Tam Đảo</v>
      </c>
      <c r="F3139" s="3" t="s">
        <v>3903</v>
      </c>
      <c r="G3139" s="4" t="str">
        <f>HYPERLINK("https://diaocthongthai.com/xa-dao-tru-tam-dao/","Xã Đạo Trù")</f>
        <v>Xã Đạo Trù</v>
      </c>
    </row>
    <row r="3140" spans="1:7" x14ac:dyDescent="0.25">
      <c r="A3140" s="2">
        <v>3139</v>
      </c>
      <c r="B3140" s="3" t="s">
        <v>19</v>
      </c>
      <c r="C3140" s="4" t="str">
        <f t="shared" si="266"/>
        <v>Vĩnh Phúc</v>
      </c>
      <c r="D3140" s="3" t="s">
        <v>250</v>
      </c>
      <c r="E3140" s="4" t="str">
        <f t="shared" si="268"/>
        <v>Huyện Tam Đảo</v>
      </c>
      <c r="F3140" s="3" t="s">
        <v>3904</v>
      </c>
      <c r="G3140" s="4" t="str">
        <f>HYPERLINK("https://diaocthongthai.com/xa-yen-duong-tam-dao/","Xã Yên Dương")</f>
        <v>Xã Yên Dương</v>
      </c>
    </row>
    <row r="3141" spans="1:7" x14ac:dyDescent="0.25">
      <c r="A3141" s="2">
        <v>3140</v>
      </c>
      <c r="B3141" s="3" t="s">
        <v>19</v>
      </c>
      <c r="C3141" s="4" t="str">
        <f t="shared" si="266"/>
        <v>Vĩnh Phúc</v>
      </c>
      <c r="D3141" s="3" t="s">
        <v>250</v>
      </c>
      <c r="E3141" s="4" t="str">
        <f t="shared" si="268"/>
        <v>Huyện Tam Đảo</v>
      </c>
      <c r="F3141" s="3" t="s">
        <v>3905</v>
      </c>
      <c r="G3141" s="4" t="str">
        <f>HYPERLINK("https://diaocthongthai.com/xa-bo-ly-tam-dao/","Xã Bồ Lý")</f>
        <v>Xã Bồ Lý</v>
      </c>
    </row>
    <row r="3142" spans="1:7" x14ac:dyDescent="0.25">
      <c r="A3142" s="2">
        <v>3141</v>
      </c>
      <c r="B3142" s="3" t="s">
        <v>19</v>
      </c>
      <c r="C3142" s="4" t="str">
        <f t="shared" si="266"/>
        <v>Vĩnh Phúc</v>
      </c>
      <c r="D3142" s="3" t="s">
        <v>250</v>
      </c>
      <c r="E3142" s="4" t="str">
        <f t="shared" si="268"/>
        <v>Huyện Tam Đảo</v>
      </c>
      <c r="F3142" s="3" t="s">
        <v>3906</v>
      </c>
      <c r="G3142" s="4" t="str">
        <f>HYPERLINK("https://diaocthongthai.com/thi-tran-dai-dinh-tam-dao/","Thị trấn Đại Đình")</f>
        <v>Thị trấn Đại Đình</v>
      </c>
    </row>
    <row r="3143" spans="1:7" x14ac:dyDescent="0.25">
      <c r="A3143" s="2">
        <v>3142</v>
      </c>
      <c r="B3143" s="3" t="s">
        <v>19</v>
      </c>
      <c r="C3143" s="4" t="str">
        <f t="shared" si="266"/>
        <v>Vĩnh Phúc</v>
      </c>
      <c r="D3143" s="3" t="s">
        <v>250</v>
      </c>
      <c r="E3143" s="4" t="str">
        <f t="shared" si="268"/>
        <v>Huyện Tam Đảo</v>
      </c>
      <c r="F3143" s="3" t="s">
        <v>3907</v>
      </c>
      <c r="G3143" s="4" t="str">
        <f>HYPERLINK("https://diaocthongthai.com/xa-tam-quan-tam-dao/","Xã Tam Quan")</f>
        <v>Xã Tam Quan</v>
      </c>
    </row>
    <row r="3144" spans="1:7" x14ac:dyDescent="0.25">
      <c r="A3144" s="2">
        <v>3143</v>
      </c>
      <c r="B3144" s="3" t="s">
        <v>19</v>
      </c>
      <c r="C3144" s="4" t="str">
        <f t="shared" si="266"/>
        <v>Vĩnh Phúc</v>
      </c>
      <c r="D3144" s="3" t="s">
        <v>250</v>
      </c>
      <c r="E3144" s="4" t="str">
        <f t="shared" si="268"/>
        <v>Huyện Tam Đảo</v>
      </c>
      <c r="F3144" s="3" t="s">
        <v>3908</v>
      </c>
      <c r="G3144" s="4" t="str">
        <f>HYPERLINK("https://diaocthongthai.com/xa-ho-son-tam-dao/","Xã Hồ Sơn")</f>
        <v>Xã Hồ Sơn</v>
      </c>
    </row>
    <row r="3145" spans="1:7" x14ac:dyDescent="0.25">
      <c r="A3145" s="2">
        <v>3144</v>
      </c>
      <c r="B3145" s="3" t="s">
        <v>19</v>
      </c>
      <c r="C3145" s="4" t="str">
        <f t="shared" si="266"/>
        <v>Vĩnh Phúc</v>
      </c>
      <c r="D3145" s="3" t="s">
        <v>250</v>
      </c>
      <c r="E3145" s="4" t="str">
        <f t="shared" si="268"/>
        <v>Huyện Tam Đảo</v>
      </c>
      <c r="F3145" s="3" t="s">
        <v>3909</v>
      </c>
      <c r="G3145" s="4" t="str">
        <f>HYPERLINK("https://diaocthongthai.com/xa-minh-quang-tam-dao/","Xã Minh Quang")</f>
        <v>Xã Minh Quang</v>
      </c>
    </row>
    <row r="3146" spans="1:7" x14ac:dyDescent="0.25">
      <c r="A3146" s="2">
        <v>3145</v>
      </c>
      <c r="B3146" s="3" t="s">
        <v>19</v>
      </c>
      <c r="C3146" s="4" t="str">
        <f t="shared" si="266"/>
        <v>Vĩnh Phúc</v>
      </c>
      <c r="D3146" s="3" t="s">
        <v>251</v>
      </c>
      <c r="E3146" s="4" t="str">
        <f t="shared" ref="E3146:E3158" si="269">HYPERLINK("https://diaocthongthai.com/ban-do-huyen-binh-xuyen-vinh-phuc/","Huyện Bình Xuyên")</f>
        <v>Huyện Bình Xuyên</v>
      </c>
      <c r="F3146" s="3" t="s">
        <v>3910</v>
      </c>
      <c r="G3146" s="4" t="str">
        <f>HYPERLINK("https://diaocthongthai.com/thi-tran-huong-canh-binh-xuyen/","Thị trấn Hương Canh")</f>
        <v>Thị trấn Hương Canh</v>
      </c>
    </row>
    <row r="3147" spans="1:7" x14ac:dyDescent="0.25">
      <c r="A3147" s="2">
        <v>3146</v>
      </c>
      <c r="B3147" s="3" t="s">
        <v>19</v>
      </c>
      <c r="C3147" s="4" t="str">
        <f t="shared" si="266"/>
        <v>Vĩnh Phúc</v>
      </c>
      <c r="D3147" s="3" t="s">
        <v>251</v>
      </c>
      <c r="E3147" s="4" t="str">
        <f t="shared" si="269"/>
        <v>Huyện Bình Xuyên</v>
      </c>
      <c r="F3147" s="3" t="s">
        <v>3911</v>
      </c>
      <c r="G3147" s="4" t="str">
        <f>HYPERLINK("https://diaocthongthai.com/thi-tran-gia-khanh-binh-xuyen/","Thị trấn Gia Khánh")</f>
        <v>Thị trấn Gia Khánh</v>
      </c>
    </row>
    <row r="3148" spans="1:7" x14ac:dyDescent="0.25">
      <c r="A3148" s="2">
        <v>3147</v>
      </c>
      <c r="B3148" s="3" t="s">
        <v>19</v>
      </c>
      <c r="C3148" s="4" t="str">
        <f t="shared" si="266"/>
        <v>Vĩnh Phúc</v>
      </c>
      <c r="D3148" s="3" t="s">
        <v>251</v>
      </c>
      <c r="E3148" s="4" t="str">
        <f t="shared" si="269"/>
        <v>Huyện Bình Xuyên</v>
      </c>
      <c r="F3148" s="3" t="s">
        <v>3912</v>
      </c>
      <c r="G3148" s="4" t="str">
        <f>HYPERLINK("https://diaocthongthai.com/xa-trung-my-binh-xuyen/","Xã Trung Mỹ")</f>
        <v>Xã Trung Mỹ</v>
      </c>
    </row>
    <row r="3149" spans="1:7" x14ac:dyDescent="0.25">
      <c r="A3149" s="2">
        <v>3148</v>
      </c>
      <c r="B3149" s="3" t="s">
        <v>19</v>
      </c>
      <c r="C3149" s="4" t="str">
        <f t="shared" ref="C3149:C3180" si="270">HYPERLINK("https://diaocthongthai.com/ban-do-vinh-phuc/","Vĩnh Phúc")</f>
        <v>Vĩnh Phúc</v>
      </c>
      <c r="D3149" s="3" t="s">
        <v>251</v>
      </c>
      <c r="E3149" s="4" t="str">
        <f t="shared" si="269"/>
        <v>Huyện Bình Xuyên</v>
      </c>
      <c r="F3149" s="3" t="s">
        <v>3913</v>
      </c>
      <c r="G3149" s="4" t="str">
        <f>HYPERLINK("https://diaocthongthai.com/thi-tran-ba-hien-binh-xuyen/","Thị trấn Bá Hiến")</f>
        <v>Thị trấn Bá Hiến</v>
      </c>
    </row>
    <row r="3150" spans="1:7" x14ac:dyDescent="0.25">
      <c r="A3150" s="2">
        <v>3149</v>
      </c>
      <c r="B3150" s="3" t="s">
        <v>19</v>
      </c>
      <c r="C3150" s="4" t="str">
        <f t="shared" si="270"/>
        <v>Vĩnh Phúc</v>
      </c>
      <c r="D3150" s="3" t="s">
        <v>251</v>
      </c>
      <c r="E3150" s="4" t="str">
        <f t="shared" si="269"/>
        <v>Huyện Bình Xuyên</v>
      </c>
      <c r="F3150" s="3" t="s">
        <v>3914</v>
      </c>
      <c r="G3150" s="4" t="str">
        <f>HYPERLINK("https://diaocthongthai.com/xa-thien-ke-binh-xuyen/","Xã Thiện Kế")</f>
        <v>Xã Thiện Kế</v>
      </c>
    </row>
    <row r="3151" spans="1:7" x14ac:dyDescent="0.25">
      <c r="A3151" s="2">
        <v>3150</v>
      </c>
      <c r="B3151" s="3" t="s">
        <v>19</v>
      </c>
      <c r="C3151" s="4" t="str">
        <f t="shared" si="270"/>
        <v>Vĩnh Phúc</v>
      </c>
      <c r="D3151" s="3" t="s">
        <v>251</v>
      </c>
      <c r="E3151" s="4" t="str">
        <f t="shared" si="269"/>
        <v>Huyện Bình Xuyên</v>
      </c>
      <c r="F3151" s="3" t="s">
        <v>3915</v>
      </c>
      <c r="G3151" s="4" t="str">
        <f>HYPERLINK("https://diaocthongthai.com/xa-huong-son-binh-xuyen/","Xã Hương Sơn")</f>
        <v>Xã Hương Sơn</v>
      </c>
    </row>
    <row r="3152" spans="1:7" x14ac:dyDescent="0.25">
      <c r="A3152" s="2">
        <v>3151</v>
      </c>
      <c r="B3152" s="3" t="s">
        <v>19</v>
      </c>
      <c r="C3152" s="4" t="str">
        <f t="shared" si="270"/>
        <v>Vĩnh Phúc</v>
      </c>
      <c r="D3152" s="3" t="s">
        <v>251</v>
      </c>
      <c r="E3152" s="4" t="str">
        <f t="shared" si="269"/>
        <v>Huyện Bình Xuyên</v>
      </c>
      <c r="F3152" s="3" t="s">
        <v>3916</v>
      </c>
      <c r="G3152" s="4" t="str">
        <f>HYPERLINK("https://diaocthongthai.com/xa-tam-hop-binh-xuyen/","Xã Tam Hợp")</f>
        <v>Xã Tam Hợp</v>
      </c>
    </row>
    <row r="3153" spans="1:7" x14ac:dyDescent="0.25">
      <c r="A3153" s="2">
        <v>3152</v>
      </c>
      <c r="B3153" s="3" t="s">
        <v>19</v>
      </c>
      <c r="C3153" s="4" t="str">
        <f t="shared" si="270"/>
        <v>Vĩnh Phúc</v>
      </c>
      <c r="D3153" s="3" t="s">
        <v>251</v>
      </c>
      <c r="E3153" s="4" t="str">
        <f t="shared" si="269"/>
        <v>Huyện Bình Xuyên</v>
      </c>
      <c r="F3153" s="3" t="s">
        <v>3917</v>
      </c>
      <c r="G3153" s="4" t="str">
        <f>HYPERLINK("https://diaocthongthai.com/xa-quat-luu-binh-xuyen/","Xã Quất Lưu")</f>
        <v>Xã Quất Lưu</v>
      </c>
    </row>
    <row r="3154" spans="1:7" x14ac:dyDescent="0.25">
      <c r="A3154" s="2">
        <v>3153</v>
      </c>
      <c r="B3154" s="3" t="s">
        <v>19</v>
      </c>
      <c r="C3154" s="4" t="str">
        <f t="shared" si="270"/>
        <v>Vĩnh Phúc</v>
      </c>
      <c r="D3154" s="3" t="s">
        <v>251</v>
      </c>
      <c r="E3154" s="4" t="str">
        <f t="shared" si="269"/>
        <v>Huyện Bình Xuyên</v>
      </c>
      <c r="F3154" s="3" t="s">
        <v>3918</v>
      </c>
      <c r="G3154" s="4" t="str">
        <f>HYPERLINK("https://diaocthongthai.com/xa-son-loi-binh-xuyen/","Xã Sơn Lôi")</f>
        <v>Xã Sơn Lôi</v>
      </c>
    </row>
    <row r="3155" spans="1:7" x14ac:dyDescent="0.25">
      <c r="A3155" s="2">
        <v>3154</v>
      </c>
      <c r="B3155" s="3" t="s">
        <v>19</v>
      </c>
      <c r="C3155" s="4" t="str">
        <f t="shared" si="270"/>
        <v>Vĩnh Phúc</v>
      </c>
      <c r="D3155" s="3" t="s">
        <v>251</v>
      </c>
      <c r="E3155" s="4" t="str">
        <f t="shared" si="269"/>
        <v>Huyện Bình Xuyên</v>
      </c>
      <c r="F3155" s="3" t="s">
        <v>3919</v>
      </c>
      <c r="G3155" s="4" t="str">
        <f>HYPERLINK("https://diaocthongthai.com/thi-tran-dao-duc-binh-xuyen/","Thị trấn Đạo Đức")</f>
        <v>Thị trấn Đạo Đức</v>
      </c>
    </row>
    <row r="3156" spans="1:7" x14ac:dyDescent="0.25">
      <c r="A3156" s="2">
        <v>3155</v>
      </c>
      <c r="B3156" s="3" t="s">
        <v>19</v>
      </c>
      <c r="C3156" s="4" t="str">
        <f t="shared" si="270"/>
        <v>Vĩnh Phúc</v>
      </c>
      <c r="D3156" s="3" t="s">
        <v>251</v>
      </c>
      <c r="E3156" s="4" t="str">
        <f t="shared" si="269"/>
        <v>Huyện Bình Xuyên</v>
      </c>
      <c r="F3156" s="3" t="s">
        <v>3920</v>
      </c>
      <c r="G3156" s="4" t="str">
        <f>HYPERLINK("https://diaocthongthai.com/xa-tan-phong-binh-xuyen/","Xã Tân Phong")</f>
        <v>Xã Tân Phong</v>
      </c>
    </row>
    <row r="3157" spans="1:7" x14ac:dyDescent="0.25">
      <c r="A3157" s="2">
        <v>3156</v>
      </c>
      <c r="B3157" s="3" t="s">
        <v>19</v>
      </c>
      <c r="C3157" s="4" t="str">
        <f t="shared" si="270"/>
        <v>Vĩnh Phúc</v>
      </c>
      <c r="D3157" s="3" t="s">
        <v>251</v>
      </c>
      <c r="E3157" s="4" t="str">
        <f t="shared" si="269"/>
        <v>Huyện Bình Xuyên</v>
      </c>
      <c r="F3157" s="3" t="s">
        <v>3921</v>
      </c>
      <c r="G3157" s="4" t="str">
        <f>HYPERLINK("https://diaocthongthai.com/thi-tran-thanh-lang-binh-xuyen/","Thị trấn Thanh Lãng")</f>
        <v>Thị trấn Thanh Lãng</v>
      </c>
    </row>
    <row r="3158" spans="1:7" x14ac:dyDescent="0.25">
      <c r="A3158" s="2">
        <v>3157</v>
      </c>
      <c r="B3158" s="3" t="s">
        <v>19</v>
      </c>
      <c r="C3158" s="4" t="str">
        <f t="shared" si="270"/>
        <v>Vĩnh Phúc</v>
      </c>
      <c r="D3158" s="3" t="s">
        <v>251</v>
      </c>
      <c r="E3158" s="4" t="str">
        <f t="shared" si="269"/>
        <v>Huyện Bình Xuyên</v>
      </c>
      <c r="F3158" s="3" t="s">
        <v>3922</v>
      </c>
      <c r="G3158" s="4" t="str">
        <f>HYPERLINK("https://diaocthongthai.com/xa-phu-xuan-binh-xuyen/","Xã Phú Xuân")</f>
        <v>Xã Phú Xuân</v>
      </c>
    </row>
    <row r="3159" spans="1:7" x14ac:dyDescent="0.25">
      <c r="A3159" s="2">
        <v>3158</v>
      </c>
      <c r="B3159" s="3" t="s">
        <v>19</v>
      </c>
      <c r="C3159" s="4" t="str">
        <f t="shared" si="270"/>
        <v>Vĩnh Phúc</v>
      </c>
      <c r="D3159" s="3" t="s">
        <v>252</v>
      </c>
      <c r="E3159" s="4" t="str">
        <f t="shared" ref="E3159:E3175" si="271">HYPERLINK("https://diaocthongthai.com/ban-do-huyen-yen-lac-vinh-phuc/","Huyện Yên Lạc")</f>
        <v>Huyện Yên Lạc</v>
      </c>
      <c r="F3159" s="3" t="s">
        <v>3923</v>
      </c>
      <c r="G3159" s="4" t="str">
        <f>HYPERLINK("https://diaocthongthai.com/thi-tran-yen-lac-yen-lac/","Thị trấn Yên Lạc")</f>
        <v>Thị trấn Yên Lạc</v>
      </c>
    </row>
    <row r="3160" spans="1:7" x14ac:dyDescent="0.25">
      <c r="A3160" s="2">
        <v>3159</v>
      </c>
      <c r="B3160" s="3" t="s">
        <v>19</v>
      </c>
      <c r="C3160" s="4" t="str">
        <f t="shared" si="270"/>
        <v>Vĩnh Phúc</v>
      </c>
      <c r="D3160" s="3" t="s">
        <v>252</v>
      </c>
      <c r="E3160" s="4" t="str">
        <f t="shared" si="271"/>
        <v>Huyện Yên Lạc</v>
      </c>
      <c r="F3160" s="3" t="s">
        <v>3924</v>
      </c>
      <c r="G3160" s="4" t="str">
        <f>HYPERLINK("https://diaocthongthai.com/xa-dong-cuong-yen-lac/","Xã Đồng Cương")</f>
        <v>Xã Đồng Cương</v>
      </c>
    </row>
    <row r="3161" spans="1:7" x14ac:dyDescent="0.25">
      <c r="A3161" s="2">
        <v>3160</v>
      </c>
      <c r="B3161" s="3" t="s">
        <v>19</v>
      </c>
      <c r="C3161" s="4" t="str">
        <f t="shared" si="270"/>
        <v>Vĩnh Phúc</v>
      </c>
      <c r="D3161" s="3" t="s">
        <v>252</v>
      </c>
      <c r="E3161" s="4" t="str">
        <f t="shared" si="271"/>
        <v>Huyện Yên Lạc</v>
      </c>
      <c r="F3161" s="3" t="s">
        <v>3925</v>
      </c>
      <c r="G3161" s="4" t="str">
        <f>HYPERLINK("https://diaocthongthai.com/xa-dong-van-yen-lac/","Xã Đồng Văn")</f>
        <v>Xã Đồng Văn</v>
      </c>
    </row>
    <row r="3162" spans="1:7" x14ac:dyDescent="0.25">
      <c r="A3162" s="2">
        <v>3161</v>
      </c>
      <c r="B3162" s="3" t="s">
        <v>19</v>
      </c>
      <c r="C3162" s="4" t="str">
        <f t="shared" si="270"/>
        <v>Vĩnh Phúc</v>
      </c>
      <c r="D3162" s="3" t="s">
        <v>252</v>
      </c>
      <c r="E3162" s="4" t="str">
        <f t="shared" si="271"/>
        <v>Huyện Yên Lạc</v>
      </c>
      <c r="F3162" s="3" t="s">
        <v>3926</v>
      </c>
      <c r="G3162" s="4" t="str">
        <f>HYPERLINK("https://diaocthongthai.com/xa-binh-dinh-yen-lac/","Xã Bình Định")</f>
        <v>Xã Bình Định</v>
      </c>
    </row>
    <row r="3163" spans="1:7" x14ac:dyDescent="0.25">
      <c r="A3163" s="2">
        <v>3162</v>
      </c>
      <c r="B3163" s="3" t="s">
        <v>19</v>
      </c>
      <c r="C3163" s="4" t="str">
        <f t="shared" si="270"/>
        <v>Vĩnh Phúc</v>
      </c>
      <c r="D3163" s="3" t="s">
        <v>252</v>
      </c>
      <c r="E3163" s="4" t="str">
        <f t="shared" si="271"/>
        <v>Huyện Yên Lạc</v>
      </c>
      <c r="F3163" s="3" t="s">
        <v>3927</v>
      </c>
      <c r="G3163" s="4" t="str">
        <f>HYPERLINK("https://diaocthongthai.com/xa-trung-nguyen-yen-lac/","Xã Trung Nguyên")</f>
        <v>Xã Trung Nguyên</v>
      </c>
    </row>
    <row r="3164" spans="1:7" x14ac:dyDescent="0.25">
      <c r="A3164" s="2">
        <v>3163</v>
      </c>
      <c r="B3164" s="3" t="s">
        <v>19</v>
      </c>
      <c r="C3164" s="4" t="str">
        <f t="shared" si="270"/>
        <v>Vĩnh Phúc</v>
      </c>
      <c r="D3164" s="3" t="s">
        <v>252</v>
      </c>
      <c r="E3164" s="4" t="str">
        <f t="shared" si="271"/>
        <v>Huyện Yên Lạc</v>
      </c>
      <c r="F3164" s="3" t="s">
        <v>3928</v>
      </c>
      <c r="G3164" s="4" t="str">
        <f>HYPERLINK("https://diaocthongthai.com/xa-te-lo-yen-lac/","Xã Tề Lỗ")</f>
        <v>Xã Tề Lỗ</v>
      </c>
    </row>
    <row r="3165" spans="1:7" x14ac:dyDescent="0.25">
      <c r="A3165" s="2">
        <v>3164</v>
      </c>
      <c r="B3165" s="3" t="s">
        <v>19</v>
      </c>
      <c r="C3165" s="4" t="str">
        <f t="shared" si="270"/>
        <v>Vĩnh Phúc</v>
      </c>
      <c r="D3165" s="3" t="s">
        <v>252</v>
      </c>
      <c r="E3165" s="4" t="str">
        <f t="shared" si="271"/>
        <v>Huyện Yên Lạc</v>
      </c>
      <c r="F3165" s="3" t="s">
        <v>3929</v>
      </c>
      <c r="G3165" s="4" t="str">
        <f>HYPERLINK("https://diaocthongthai.com/xa-tam-hong-yen-lac/","Xã Tam Hồng")</f>
        <v>Xã Tam Hồng</v>
      </c>
    </row>
    <row r="3166" spans="1:7" x14ac:dyDescent="0.25">
      <c r="A3166" s="2">
        <v>3165</v>
      </c>
      <c r="B3166" s="3" t="s">
        <v>19</v>
      </c>
      <c r="C3166" s="4" t="str">
        <f t="shared" si="270"/>
        <v>Vĩnh Phúc</v>
      </c>
      <c r="D3166" s="3" t="s">
        <v>252</v>
      </c>
      <c r="E3166" s="4" t="str">
        <f t="shared" si="271"/>
        <v>Huyện Yên Lạc</v>
      </c>
      <c r="F3166" s="3" t="s">
        <v>3930</v>
      </c>
      <c r="G3166" s="4" t="str">
        <f>HYPERLINK("https://diaocthongthai.com/xa-yen-dong-yen-lac/","Xã Yên Đồng")</f>
        <v>Xã Yên Đồng</v>
      </c>
    </row>
    <row r="3167" spans="1:7" x14ac:dyDescent="0.25">
      <c r="A3167" s="2">
        <v>3166</v>
      </c>
      <c r="B3167" s="3" t="s">
        <v>19</v>
      </c>
      <c r="C3167" s="4" t="str">
        <f t="shared" si="270"/>
        <v>Vĩnh Phúc</v>
      </c>
      <c r="D3167" s="3" t="s">
        <v>252</v>
      </c>
      <c r="E3167" s="4" t="str">
        <f t="shared" si="271"/>
        <v>Huyện Yên Lạc</v>
      </c>
      <c r="F3167" s="3" t="s">
        <v>3931</v>
      </c>
      <c r="G3167" s="4" t="str">
        <f>HYPERLINK("https://diaocthongthai.com/xa-van-tien-yen-lac/","Xã Văn Tiến")</f>
        <v>Xã Văn Tiến</v>
      </c>
    </row>
    <row r="3168" spans="1:7" x14ac:dyDescent="0.25">
      <c r="A3168" s="2">
        <v>3167</v>
      </c>
      <c r="B3168" s="3" t="s">
        <v>19</v>
      </c>
      <c r="C3168" s="4" t="str">
        <f t="shared" si="270"/>
        <v>Vĩnh Phúc</v>
      </c>
      <c r="D3168" s="3" t="s">
        <v>252</v>
      </c>
      <c r="E3168" s="4" t="str">
        <f t="shared" si="271"/>
        <v>Huyện Yên Lạc</v>
      </c>
      <c r="F3168" s="3" t="s">
        <v>3932</v>
      </c>
      <c r="G3168" s="4" t="str">
        <f>HYPERLINK("https://diaocthongthai.com/xa-nguyet-duc-yen-lac/","Xã Nguyệt Đức")</f>
        <v>Xã Nguyệt Đức</v>
      </c>
    </row>
    <row r="3169" spans="1:7" x14ac:dyDescent="0.25">
      <c r="A3169" s="2">
        <v>3168</v>
      </c>
      <c r="B3169" s="3" t="s">
        <v>19</v>
      </c>
      <c r="C3169" s="4" t="str">
        <f t="shared" si="270"/>
        <v>Vĩnh Phúc</v>
      </c>
      <c r="D3169" s="3" t="s">
        <v>252</v>
      </c>
      <c r="E3169" s="4" t="str">
        <f t="shared" si="271"/>
        <v>Huyện Yên Lạc</v>
      </c>
      <c r="F3169" s="3" t="s">
        <v>3933</v>
      </c>
      <c r="G3169" s="4" t="str">
        <f>HYPERLINK("https://diaocthongthai.com/xa-yen-phuong-yen-lac/","Xã Yên Phương")</f>
        <v>Xã Yên Phương</v>
      </c>
    </row>
    <row r="3170" spans="1:7" x14ac:dyDescent="0.25">
      <c r="A3170" s="2">
        <v>3169</v>
      </c>
      <c r="B3170" s="3" t="s">
        <v>19</v>
      </c>
      <c r="C3170" s="4" t="str">
        <f t="shared" si="270"/>
        <v>Vĩnh Phúc</v>
      </c>
      <c r="D3170" s="3" t="s">
        <v>252</v>
      </c>
      <c r="E3170" s="4" t="str">
        <f t="shared" si="271"/>
        <v>Huyện Yên Lạc</v>
      </c>
      <c r="F3170" s="3" t="s">
        <v>3934</v>
      </c>
      <c r="G3170" s="4" t="str">
        <f>HYPERLINK("https://diaocthongthai.com/xa-hong-phuong-yen-lac/","Xã Hồng Phương")</f>
        <v>Xã Hồng Phương</v>
      </c>
    </row>
    <row r="3171" spans="1:7" x14ac:dyDescent="0.25">
      <c r="A3171" s="2">
        <v>3170</v>
      </c>
      <c r="B3171" s="3" t="s">
        <v>19</v>
      </c>
      <c r="C3171" s="4" t="str">
        <f t="shared" si="270"/>
        <v>Vĩnh Phúc</v>
      </c>
      <c r="D3171" s="3" t="s">
        <v>252</v>
      </c>
      <c r="E3171" s="4" t="str">
        <f t="shared" si="271"/>
        <v>Huyện Yên Lạc</v>
      </c>
      <c r="F3171" s="3" t="s">
        <v>3935</v>
      </c>
      <c r="G3171" s="4" t="str">
        <f>HYPERLINK("https://diaocthongthai.com/xa-trung-kien-yen-lac/","Xã Trung Kiên")</f>
        <v>Xã Trung Kiên</v>
      </c>
    </row>
    <row r="3172" spans="1:7" x14ac:dyDescent="0.25">
      <c r="A3172" s="2">
        <v>3171</v>
      </c>
      <c r="B3172" s="3" t="s">
        <v>19</v>
      </c>
      <c r="C3172" s="4" t="str">
        <f t="shared" si="270"/>
        <v>Vĩnh Phúc</v>
      </c>
      <c r="D3172" s="3" t="s">
        <v>252</v>
      </c>
      <c r="E3172" s="4" t="str">
        <f t="shared" si="271"/>
        <v>Huyện Yên Lạc</v>
      </c>
      <c r="F3172" s="3" t="s">
        <v>3936</v>
      </c>
      <c r="G3172" s="4" t="str">
        <f>HYPERLINK("https://diaocthongthai.com/xa-lien-chau-yen-lac/","Xã Liên Châu")</f>
        <v>Xã Liên Châu</v>
      </c>
    </row>
    <row r="3173" spans="1:7" x14ac:dyDescent="0.25">
      <c r="A3173" s="2">
        <v>3172</v>
      </c>
      <c r="B3173" s="3" t="s">
        <v>19</v>
      </c>
      <c r="C3173" s="4" t="str">
        <f t="shared" si="270"/>
        <v>Vĩnh Phúc</v>
      </c>
      <c r="D3173" s="3" t="s">
        <v>252</v>
      </c>
      <c r="E3173" s="4" t="str">
        <f t="shared" si="271"/>
        <v>Huyện Yên Lạc</v>
      </c>
      <c r="F3173" s="3" t="s">
        <v>3937</v>
      </c>
      <c r="G3173" s="4" t="str">
        <f>HYPERLINK("https://diaocthongthai.com/xa-dai-tu-yen-lac/","Xã Đại Tự")</f>
        <v>Xã Đại Tự</v>
      </c>
    </row>
    <row r="3174" spans="1:7" x14ac:dyDescent="0.25">
      <c r="A3174" s="2">
        <v>3173</v>
      </c>
      <c r="B3174" s="3" t="s">
        <v>19</v>
      </c>
      <c r="C3174" s="4" t="str">
        <f t="shared" si="270"/>
        <v>Vĩnh Phúc</v>
      </c>
      <c r="D3174" s="3" t="s">
        <v>252</v>
      </c>
      <c r="E3174" s="4" t="str">
        <f t="shared" si="271"/>
        <v>Huyện Yên Lạc</v>
      </c>
      <c r="F3174" s="3" t="s">
        <v>3938</v>
      </c>
      <c r="G3174" s="4" t="str">
        <f>HYPERLINK("https://diaocthongthai.com/xa-hong-chau-yen-lac/","Xã Hồng Châu")</f>
        <v>Xã Hồng Châu</v>
      </c>
    </row>
    <row r="3175" spans="1:7" x14ac:dyDescent="0.25">
      <c r="A3175" s="2">
        <v>3174</v>
      </c>
      <c r="B3175" s="3" t="s">
        <v>19</v>
      </c>
      <c r="C3175" s="4" t="str">
        <f t="shared" si="270"/>
        <v>Vĩnh Phúc</v>
      </c>
      <c r="D3175" s="3" t="s">
        <v>252</v>
      </c>
      <c r="E3175" s="4" t="str">
        <f t="shared" si="271"/>
        <v>Huyện Yên Lạc</v>
      </c>
      <c r="F3175" s="3" t="s">
        <v>3939</v>
      </c>
      <c r="G3175" s="4" t="str">
        <f>HYPERLINK("https://diaocthongthai.com/xa-trung-ha-yen-lac/","Xã Trung Hà")</f>
        <v>Xã Trung Hà</v>
      </c>
    </row>
    <row r="3176" spans="1:7" x14ac:dyDescent="0.25">
      <c r="A3176" s="2">
        <v>3175</v>
      </c>
      <c r="B3176" s="3" t="s">
        <v>19</v>
      </c>
      <c r="C3176" s="4" t="str">
        <f t="shared" si="270"/>
        <v>Vĩnh Phúc</v>
      </c>
      <c r="D3176" s="3" t="s">
        <v>253</v>
      </c>
      <c r="E3176" s="4" t="str">
        <f t="shared" ref="E3176:E3203" si="272">HYPERLINK("https://diaocthongthai.com/ban-do-huyen-vinh-tuong-vinh-phuc/","Huyện Vĩnh Tường")</f>
        <v>Huyện Vĩnh Tường</v>
      </c>
      <c r="F3176" s="3" t="s">
        <v>3940</v>
      </c>
      <c r="G3176" s="4" t="str">
        <f>HYPERLINK("https://diaocthongthai.com/thi-tran-vinh-tuong-vinh-tuong/","Thị trấn Vĩnh Tường")</f>
        <v>Thị trấn Vĩnh Tường</v>
      </c>
    </row>
    <row r="3177" spans="1:7" x14ac:dyDescent="0.25">
      <c r="A3177" s="2">
        <v>3176</v>
      </c>
      <c r="B3177" s="3" t="s">
        <v>19</v>
      </c>
      <c r="C3177" s="4" t="str">
        <f t="shared" si="270"/>
        <v>Vĩnh Phúc</v>
      </c>
      <c r="D3177" s="3" t="s">
        <v>253</v>
      </c>
      <c r="E3177" s="4" t="str">
        <f t="shared" si="272"/>
        <v>Huyện Vĩnh Tường</v>
      </c>
      <c r="F3177" s="3" t="s">
        <v>3941</v>
      </c>
      <c r="G3177" s="4" t="str">
        <f>HYPERLINK("https://diaocthongthai.com/xa-kim-xa-vinh-tuong/","Xã Kim Xá")</f>
        <v>Xã Kim Xá</v>
      </c>
    </row>
    <row r="3178" spans="1:7" x14ac:dyDescent="0.25">
      <c r="A3178" s="2">
        <v>3177</v>
      </c>
      <c r="B3178" s="3" t="s">
        <v>19</v>
      </c>
      <c r="C3178" s="4" t="str">
        <f t="shared" si="270"/>
        <v>Vĩnh Phúc</v>
      </c>
      <c r="D3178" s="3" t="s">
        <v>253</v>
      </c>
      <c r="E3178" s="4" t="str">
        <f t="shared" si="272"/>
        <v>Huyện Vĩnh Tường</v>
      </c>
      <c r="F3178" s="3" t="s">
        <v>3942</v>
      </c>
      <c r="G3178" s="4" t="str">
        <f>HYPERLINK("https://diaocthongthai.com/xa-yen-binh-vinh-tuong/","Xã Yên Bình")</f>
        <v>Xã Yên Bình</v>
      </c>
    </row>
    <row r="3179" spans="1:7" x14ac:dyDescent="0.25">
      <c r="A3179" s="2">
        <v>3178</v>
      </c>
      <c r="B3179" s="3" t="s">
        <v>19</v>
      </c>
      <c r="C3179" s="4" t="str">
        <f t="shared" si="270"/>
        <v>Vĩnh Phúc</v>
      </c>
      <c r="D3179" s="3" t="s">
        <v>253</v>
      </c>
      <c r="E3179" s="4" t="str">
        <f t="shared" si="272"/>
        <v>Huyện Vĩnh Tường</v>
      </c>
      <c r="F3179" s="3" t="s">
        <v>3943</v>
      </c>
      <c r="G3179" s="4" t="str">
        <f>HYPERLINK("https://diaocthongthai.com/xa-chan-hung-vinh-tuong/","Xã Chấn Hưng")</f>
        <v>Xã Chấn Hưng</v>
      </c>
    </row>
    <row r="3180" spans="1:7" x14ac:dyDescent="0.25">
      <c r="A3180" s="2">
        <v>3179</v>
      </c>
      <c r="B3180" s="3" t="s">
        <v>19</v>
      </c>
      <c r="C3180" s="4" t="str">
        <f t="shared" si="270"/>
        <v>Vĩnh Phúc</v>
      </c>
      <c r="D3180" s="3" t="s">
        <v>253</v>
      </c>
      <c r="E3180" s="4" t="str">
        <f t="shared" si="272"/>
        <v>Huyện Vĩnh Tường</v>
      </c>
      <c r="F3180" s="3" t="s">
        <v>3944</v>
      </c>
      <c r="G3180" s="4" t="str">
        <f>HYPERLINK("https://diaocthongthai.com/xa-nghia-hung-vinh-tuong/","Xã Nghĩa Hưng")</f>
        <v>Xã Nghĩa Hưng</v>
      </c>
    </row>
    <row r="3181" spans="1:7" x14ac:dyDescent="0.25">
      <c r="A3181" s="2">
        <v>3180</v>
      </c>
      <c r="B3181" s="3" t="s">
        <v>19</v>
      </c>
      <c r="C3181" s="4" t="str">
        <f t="shared" ref="C3181:C3212" si="273">HYPERLINK("https://diaocthongthai.com/ban-do-vinh-phuc/","Vĩnh Phúc")</f>
        <v>Vĩnh Phúc</v>
      </c>
      <c r="D3181" s="3" t="s">
        <v>253</v>
      </c>
      <c r="E3181" s="4" t="str">
        <f t="shared" si="272"/>
        <v>Huyện Vĩnh Tường</v>
      </c>
      <c r="F3181" s="3" t="s">
        <v>3945</v>
      </c>
      <c r="G3181" s="4" t="str">
        <f>HYPERLINK("https://diaocthongthai.com/xa-yen-lap-vinh-tuong/","Xã Yên Lập")</f>
        <v>Xã Yên Lập</v>
      </c>
    </row>
    <row r="3182" spans="1:7" x14ac:dyDescent="0.25">
      <c r="A3182" s="2">
        <v>3181</v>
      </c>
      <c r="B3182" s="3" t="s">
        <v>19</v>
      </c>
      <c r="C3182" s="4" t="str">
        <f t="shared" si="273"/>
        <v>Vĩnh Phúc</v>
      </c>
      <c r="D3182" s="3" t="s">
        <v>253</v>
      </c>
      <c r="E3182" s="4" t="str">
        <f t="shared" si="272"/>
        <v>Huyện Vĩnh Tường</v>
      </c>
      <c r="F3182" s="3" t="s">
        <v>3946</v>
      </c>
      <c r="G3182" s="4" t="str">
        <f>HYPERLINK("https://diaocthongthai.com/xa-viet-xuan-vinh-tuong/","Xã Việt Xuân")</f>
        <v>Xã Việt Xuân</v>
      </c>
    </row>
    <row r="3183" spans="1:7" x14ac:dyDescent="0.25">
      <c r="A3183" s="2">
        <v>3182</v>
      </c>
      <c r="B3183" s="3" t="s">
        <v>19</v>
      </c>
      <c r="C3183" s="4" t="str">
        <f t="shared" si="273"/>
        <v>Vĩnh Phúc</v>
      </c>
      <c r="D3183" s="3" t="s">
        <v>253</v>
      </c>
      <c r="E3183" s="4" t="str">
        <f t="shared" si="272"/>
        <v>Huyện Vĩnh Tường</v>
      </c>
      <c r="F3183" s="3" t="s">
        <v>3947</v>
      </c>
      <c r="G3183" s="4" t="str">
        <f>HYPERLINK("https://diaocthongthai.com/xa-bo-sao-vinh-tuong/","Xã Bồ Sao")</f>
        <v>Xã Bồ Sao</v>
      </c>
    </row>
    <row r="3184" spans="1:7" x14ac:dyDescent="0.25">
      <c r="A3184" s="2">
        <v>3183</v>
      </c>
      <c r="B3184" s="3" t="s">
        <v>19</v>
      </c>
      <c r="C3184" s="4" t="str">
        <f t="shared" si="273"/>
        <v>Vĩnh Phúc</v>
      </c>
      <c r="D3184" s="3" t="s">
        <v>253</v>
      </c>
      <c r="E3184" s="4" t="str">
        <f t="shared" si="272"/>
        <v>Huyện Vĩnh Tường</v>
      </c>
      <c r="F3184" s="3" t="s">
        <v>3948</v>
      </c>
      <c r="G3184" s="4" t="str">
        <f>HYPERLINK("https://diaocthongthai.com/xa-dai-dong-vinh-tuong/","Xã Đại Đồng")</f>
        <v>Xã Đại Đồng</v>
      </c>
    </row>
    <row r="3185" spans="1:7" x14ac:dyDescent="0.25">
      <c r="A3185" s="2">
        <v>3184</v>
      </c>
      <c r="B3185" s="3" t="s">
        <v>19</v>
      </c>
      <c r="C3185" s="4" t="str">
        <f t="shared" si="273"/>
        <v>Vĩnh Phúc</v>
      </c>
      <c r="D3185" s="3" t="s">
        <v>253</v>
      </c>
      <c r="E3185" s="4" t="str">
        <f t="shared" si="272"/>
        <v>Huyện Vĩnh Tường</v>
      </c>
      <c r="F3185" s="3" t="s">
        <v>3949</v>
      </c>
      <c r="G3185" s="4" t="str">
        <f>HYPERLINK("https://diaocthongthai.com/xa-tan-tien-vinh-tuong/","Xã Tân Tiến")</f>
        <v>Xã Tân Tiến</v>
      </c>
    </row>
    <row r="3186" spans="1:7" x14ac:dyDescent="0.25">
      <c r="A3186" s="2">
        <v>3185</v>
      </c>
      <c r="B3186" s="3" t="s">
        <v>19</v>
      </c>
      <c r="C3186" s="4" t="str">
        <f t="shared" si="273"/>
        <v>Vĩnh Phúc</v>
      </c>
      <c r="D3186" s="3" t="s">
        <v>253</v>
      </c>
      <c r="E3186" s="4" t="str">
        <f t="shared" si="272"/>
        <v>Huyện Vĩnh Tường</v>
      </c>
      <c r="F3186" s="3" t="s">
        <v>3950</v>
      </c>
      <c r="G3186" s="4" t="str">
        <f>HYPERLINK("https://diaocthongthai.com/xa-lung-hoa-vinh-tuong/","Xã Lũng Hoà")</f>
        <v>Xã Lũng Hoà</v>
      </c>
    </row>
    <row r="3187" spans="1:7" x14ac:dyDescent="0.25">
      <c r="A3187" s="2">
        <v>3186</v>
      </c>
      <c r="B3187" s="3" t="s">
        <v>19</v>
      </c>
      <c r="C3187" s="4" t="str">
        <f t="shared" si="273"/>
        <v>Vĩnh Phúc</v>
      </c>
      <c r="D3187" s="3" t="s">
        <v>253</v>
      </c>
      <c r="E3187" s="4" t="str">
        <f t="shared" si="272"/>
        <v>Huyện Vĩnh Tường</v>
      </c>
      <c r="F3187" s="3" t="s">
        <v>3951</v>
      </c>
      <c r="G3187" s="4" t="str">
        <f>HYPERLINK("https://diaocthongthai.com/xa-cao-dai-vinh-tuong/","Xã Cao Đại")</f>
        <v>Xã Cao Đại</v>
      </c>
    </row>
    <row r="3188" spans="1:7" x14ac:dyDescent="0.25">
      <c r="A3188" s="2">
        <v>3187</v>
      </c>
      <c r="B3188" s="3" t="s">
        <v>19</v>
      </c>
      <c r="C3188" s="4" t="str">
        <f t="shared" si="273"/>
        <v>Vĩnh Phúc</v>
      </c>
      <c r="D3188" s="3" t="s">
        <v>253</v>
      </c>
      <c r="E3188" s="4" t="str">
        <f t="shared" si="272"/>
        <v>Huyện Vĩnh Tường</v>
      </c>
      <c r="F3188" s="3" t="s">
        <v>3952</v>
      </c>
      <c r="G3188" s="4" t="str">
        <f>HYPERLINK("https://diaocthongthai.com/thi-tran-tho-tang-vinh-tuong/","Thị Trấn Thổ Tang")</f>
        <v>Thị Trấn Thổ Tang</v>
      </c>
    </row>
    <row r="3189" spans="1:7" x14ac:dyDescent="0.25">
      <c r="A3189" s="2">
        <v>3188</v>
      </c>
      <c r="B3189" s="3" t="s">
        <v>19</v>
      </c>
      <c r="C3189" s="4" t="str">
        <f t="shared" si="273"/>
        <v>Vĩnh Phúc</v>
      </c>
      <c r="D3189" s="3" t="s">
        <v>253</v>
      </c>
      <c r="E3189" s="4" t="str">
        <f t="shared" si="272"/>
        <v>Huyện Vĩnh Tường</v>
      </c>
      <c r="F3189" s="3" t="s">
        <v>3953</v>
      </c>
      <c r="G3189" s="4" t="str">
        <f>HYPERLINK("https://diaocthongthai.com/xa-vinh-son-vinh-tuong/","Xã Vĩnh Sơn")</f>
        <v>Xã Vĩnh Sơn</v>
      </c>
    </row>
    <row r="3190" spans="1:7" x14ac:dyDescent="0.25">
      <c r="A3190" s="2">
        <v>3189</v>
      </c>
      <c r="B3190" s="3" t="s">
        <v>19</v>
      </c>
      <c r="C3190" s="4" t="str">
        <f t="shared" si="273"/>
        <v>Vĩnh Phúc</v>
      </c>
      <c r="D3190" s="3" t="s">
        <v>253</v>
      </c>
      <c r="E3190" s="4" t="str">
        <f t="shared" si="272"/>
        <v>Huyện Vĩnh Tường</v>
      </c>
      <c r="F3190" s="3" t="s">
        <v>3954</v>
      </c>
      <c r="G3190" s="4" t="str">
        <f>HYPERLINK("https://diaocthongthai.com/xa-binh-duong-vinh-tuong/","Xã Bình Dương")</f>
        <v>Xã Bình Dương</v>
      </c>
    </row>
    <row r="3191" spans="1:7" x14ac:dyDescent="0.25">
      <c r="A3191" s="2">
        <v>3190</v>
      </c>
      <c r="B3191" s="3" t="s">
        <v>19</v>
      </c>
      <c r="C3191" s="4" t="str">
        <f t="shared" si="273"/>
        <v>Vĩnh Phúc</v>
      </c>
      <c r="D3191" s="3" t="s">
        <v>253</v>
      </c>
      <c r="E3191" s="4" t="str">
        <f t="shared" si="272"/>
        <v>Huyện Vĩnh Tường</v>
      </c>
      <c r="F3191" s="3" t="s">
        <v>3955</v>
      </c>
      <c r="G3191" s="4" t="str">
        <f>HYPERLINK("https://diaocthongthai.com/xa-tan-phu-vinh-tuong/","Xã Tân Phú")</f>
        <v>Xã Tân Phú</v>
      </c>
    </row>
    <row r="3192" spans="1:7" x14ac:dyDescent="0.25">
      <c r="A3192" s="2">
        <v>3191</v>
      </c>
      <c r="B3192" s="3" t="s">
        <v>19</v>
      </c>
      <c r="C3192" s="4" t="str">
        <f t="shared" si="273"/>
        <v>Vĩnh Phúc</v>
      </c>
      <c r="D3192" s="3" t="s">
        <v>253</v>
      </c>
      <c r="E3192" s="4" t="str">
        <f t="shared" si="272"/>
        <v>Huyện Vĩnh Tường</v>
      </c>
      <c r="F3192" s="3" t="s">
        <v>3956</v>
      </c>
      <c r="G3192" s="4" t="str">
        <f>HYPERLINK("https://diaocthongthai.com/xa-thuong-trung-vinh-tuong/","Xã Thượng Trưng")</f>
        <v>Xã Thượng Trưng</v>
      </c>
    </row>
    <row r="3193" spans="1:7" x14ac:dyDescent="0.25">
      <c r="A3193" s="2">
        <v>3192</v>
      </c>
      <c r="B3193" s="3" t="s">
        <v>19</v>
      </c>
      <c r="C3193" s="4" t="str">
        <f t="shared" si="273"/>
        <v>Vĩnh Phúc</v>
      </c>
      <c r="D3193" s="3" t="s">
        <v>253</v>
      </c>
      <c r="E3193" s="4" t="str">
        <f t="shared" si="272"/>
        <v>Huyện Vĩnh Tường</v>
      </c>
      <c r="F3193" s="3" t="s">
        <v>3957</v>
      </c>
      <c r="G3193" s="4" t="str">
        <f>HYPERLINK("https://diaocthongthai.com/xa-vu-di-vinh-tuong/","Xã Vũ Di")</f>
        <v>Xã Vũ Di</v>
      </c>
    </row>
    <row r="3194" spans="1:7" x14ac:dyDescent="0.25">
      <c r="A3194" s="2">
        <v>3193</v>
      </c>
      <c r="B3194" s="3" t="s">
        <v>19</v>
      </c>
      <c r="C3194" s="4" t="str">
        <f t="shared" si="273"/>
        <v>Vĩnh Phúc</v>
      </c>
      <c r="D3194" s="3" t="s">
        <v>253</v>
      </c>
      <c r="E3194" s="4" t="str">
        <f t="shared" si="272"/>
        <v>Huyện Vĩnh Tường</v>
      </c>
      <c r="F3194" s="3" t="s">
        <v>3958</v>
      </c>
      <c r="G3194" s="4" t="str">
        <f>HYPERLINK("https://diaocthongthai.com/xa-ly-nhan-vinh-tuong/","Xã Lý Nhân")</f>
        <v>Xã Lý Nhân</v>
      </c>
    </row>
    <row r="3195" spans="1:7" x14ac:dyDescent="0.25">
      <c r="A3195" s="2">
        <v>3194</v>
      </c>
      <c r="B3195" s="3" t="s">
        <v>19</v>
      </c>
      <c r="C3195" s="4" t="str">
        <f t="shared" si="273"/>
        <v>Vĩnh Phúc</v>
      </c>
      <c r="D3195" s="3" t="s">
        <v>253</v>
      </c>
      <c r="E3195" s="4" t="str">
        <f t="shared" si="272"/>
        <v>Huyện Vĩnh Tường</v>
      </c>
      <c r="F3195" s="3" t="s">
        <v>3959</v>
      </c>
      <c r="G3195" s="4" t="str">
        <f>HYPERLINK("https://diaocthongthai.com/xa-tuan-chinh-vinh-tuong/","Xã Tuân Chính")</f>
        <v>Xã Tuân Chính</v>
      </c>
    </row>
    <row r="3196" spans="1:7" x14ac:dyDescent="0.25">
      <c r="A3196" s="2">
        <v>3195</v>
      </c>
      <c r="B3196" s="3" t="s">
        <v>19</v>
      </c>
      <c r="C3196" s="4" t="str">
        <f t="shared" si="273"/>
        <v>Vĩnh Phúc</v>
      </c>
      <c r="D3196" s="3" t="s">
        <v>253</v>
      </c>
      <c r="E3196" s="4" t="str">
        <f t="shared" si="272"/>
        <v>Huyện Vĩnh Tường</v>
      </c>
      <c r="F3196" s="3" t="s">
        <v>3960</v>
      </c>
      <c r="G3196" s="4" t="str">
        <f>HYPERLINK("https://diaocthongthai.com/xa-van-xuan-vinh-tuong/","Xã Vân Xuân")</f>
        <v>Xã Vân Xuân</v>
      </c>
    </row>
    <row r="3197" spans="1:7" x14ac:dyDescent="0.25">
      <c r="A3197" s="2">
        <v>3196</v>
      </c>
      <c r="B3197" s="3" t="s">
        <v>19</v>
      </c>
      <c r="C3197" s="4" t="str">
        <f t="shared" si="273"/>
        <v>Vĩnh Phúc</v>
      </c>
      <c r="D3197" s="3" t="s">
        <v>253</v>
      </c>
      <c r="E3197" s="4" t="str">
        <f t="shared" si="272"/>
        <v>Huyện Vĩnh Tường</v>
      </c>
      <c r="F3197" s="3" t="s">
        <v>3961</v>
      </c>
      <c r="G3197" s="4" t="str">
        <f>HYPERLINK("https://diaocthongthai.com/xa-tam-phuc-vinh-tuong/","Xã Tam Phúc")</f>
        <v>Xã Tam Phúc</v>
      </c>
    </row>
    <row r="3198" spans="1:7" x14ac:dyDescent="0.25">
      <c r="A3198" s="2">
        <v>3197</v>
      </c>
      <c r="B3198" s="3" t="s">
        <v>19</v>
      </c>
      <c r="C3198" s="4" t="str">
        <f t="shared" si="273"/>
        <v>Vĩnh Phúc</v>
      </c>
      <c r="D3198" s="3" t="s">
        <v>253</v>
      </c>
      <c r="E3198" s="4" t="str">
        <f t="shared" si="272"/>
        <v>Huyện Vĩnh Tường</v>
      </c>
      <c r="F3198" s="3" t="s">
        <v>3962</v>
      </c>
      <c r="G3198" s="4" t="str">
        <f>HYPERLINK("https://diaocthongthai.com/thi-tran-tu-trung-vinh-tuong/","Thị trấn Tứ Trưng")</f>
        <v>Thị trấn Tứ Trưng</v>
      </c>
    </row>
    <row r="3199" spans="1:7" x14ac:dyDescent="0.25">
      <c r="A3199" s="2">
        <v>3198</v>
      </c>
      <c r="B3199" s="3" t="s">
        <v>19</v>
      </c>
      <c r="C3199" s="4" t="str">
        <f t="shared" si="273"/>
        <v>Vĩnh Phúc</v>
      </c>
      <c r="D3199" s="3" t="s">
        <v>253</v>
      </c>
      <c r="E3199" s="4" t="str">
        <f t="shared" si="272"/>
        <v>Huyện Vĩnh Tường</v>
      </c>
      <c r="F3199" s="3" t="s">
        <v>3963</v>
      </c>
      <c r="G3199" s="4" t="str">
        <f>HYPERLINK("https://diaocthongthai.com/xa-ngu-kien-vinh-tuong/","Xã Ngũ Kiên")</f>
        <v>Xã Ngũ Kiên</v>
      </c>
    </row>
    <row r="3200" spans="1:7" x14ac:dyDescent="0.25">
      <c r="A3200" s="2">
        <v>3199</v>
      </c>
      <c r="B3200" s="3" t="s">
        <v>19</v>
      </c>
      <c r="C3200" s="4" t="str">
        <f t="shared" si="273"/>
        <v>Vĩnh Phúc</v>
      </c>
      <c r="D3200" s="3" t="s">
        <v>253</v>
      </c>
      <c r="E3200" s="4" t="str">
        <f t="shared" si="272"/>
        <v>Huyện Vĩnh Tường</v>
      </c>
      <c r="F3200" s="3" t="s">
        <v>3964</v>
      </c>
      <c r="G3200" s="4" t="str">
        <f>HYPERLINK("https://diaocthongthai.com/xa-an-tuong-vinh-tuong/","Xã An Tường")</f>
        <v>Xã An Tường</v>
      </c>
    </row>
    <row r="3201" spans="1:7" x14ac:dyDescent="0.25">
      <c r="A3201" s="2">
        <v>3200</v>
      </c>
      <c r="B3201" s="3" t="s">
        <v>19</v>
      </c>
      <c r="C3201" s="4" t="str">
        <f t="shared" si="273"/>
        <v>Vĩnh Phúc</v>
      </c>
      <c r="D3201" s="3" t="s">
        <v>253</v>
      </c>
      <c r="E3201" s="4" t="str">
        <f t="shared" si="272"/>
        <v>Huyện Vĩnh Tường</v>
      </c>
      <c r="F3201" s="3" t="s">
        <v>3965</v>
      </c>
      <c r="G3201" s="4" t="str">
        <f>HYPERLINK("https://diaocthongthai.com/xa-vinh-thinh-vinh-tuong/","Xã Vĩnh Thịnh")</f>
        <v>Xã Vĩnh Thịnh</v>
      </c>
    </row>
    <row r="3202" spans="1:7" x14ac:dyDescent="0.25">
      <c r="A3202" s="2">
        <v>3201</v>
      </c>
      <c r="B3202" s="3" t="s">
        <v>19</v>
      </c>
      <c r="C3202" s="4" t="str">
        <f t="shared" si="273"/>
        <v>Vĩnh Phúc</v>
      </c>
      <c r="D3202" s="3" t="s">
        <v>253</v>
      </c>
      <c r="E3202" s="4" t="str">
        <f t="shared" si="272"/>
        <v>Huyện Vĩnh Tường</v>
      </c>
      <c r="F3202" s="3" t="s">
        <v>3966</v>
      </c>
      <c r="G3202" s="4" t="str">
        <f>HYPERLINK("https://diaocthongthai.com/xa-phu-da-vinh-tuong/","Xã Phú Đa")</f>
        <v>Xã Phú Đa</v>
      </c>
    </row>
    <row r="3203" spans="1:7" x14ac:dyDescent="0.25">
      <c r="A3203" s="2">
        <v>3202</v>
      </c>
      <c r="B3203" s="3" t="s">
        <v>19</v>
      </c>
      <c r="C3203" s="4" t="str">
        <f t="shared" si="273"/>
        <v>Vĩnh Phúc</v>
      </c>
      <c r="D3203" s="3" t="s">
        <v>253</v>
      </c>
      <c r="E3203" s="4" t="str">
        <f t="shared" si="272"/>
        <v>Huyện Vĩnh Tường</v>
      </c>
      <c r="F3203" s="3" t="s">
        <v>3967</v>
      </c>
      <c r="G3203" s="4" t="str">
        <f>HYPERLINK("https://diaocthongthai.com/xa-vinh-ninh-vinh-tuong/","Xã Vĩnh Ninh")</f>
        <v>Xã Vĩnh Ninh</v>
      </c>
    </row>
    <row r="3204" spans="1:7" x14ac:dyDescent="0.25">
      <c r="A3204" s="2">
        <v>3203</v>
      </c>
      <c r="B3204" s="3" t="s">
        <v>19</v>
      </c>
      <c r="C3204" s="4" t="str">
        <f t="shared" si="273"/>
        <v>Vĩnh Phúc</v>
      </c>
      <c r="D3204" s="3" t="s">
        <v>254</v>
      </c>
      <c r="E3204" s="4" t="str">
        <f t="shared" ref="E3204:E3220" si="274">HYPERLINK("https://diaocthongthai.com/ban-do-huyen-song-lo-vinh-phuc/","Huyện Sông Lô")</f>
        <v>Huyện Sông Lô</v>
      </c>
      <c r="F3204" s="3" t="s">
        <v>3968</v>
      </c>
      <c r="G3204" s="4" t="str">
        <f>HYPERLINK("https://diaocthongthai.com/xa-lang-cong-song-lo/","Xã Lãng Công")</f>
        <v>Xã Lãng Công</v>
      </c>
    </row>
    <row r="3205" spans="1:7" x14ac:dyDescent="0.25">
      <c r="A3205" s="2">
        <v>3204</v>
      </c>
      <c r="B3205" s="3" t="s">
        <v>19</v>
      </c>
      <c r="C3205" s="4" t="str">
        <f t="shared" si="273"/>
        <v>Vĩnh Phúc</v>
      </c>
      <c r="D3205" s="3" t="s">
        <v>254</v>
      </c>
      <c r="E3205" s="4" t="str">
        <f t="shared" si="274"/>
        <v>Huyện Sông Lô</v>
      </c>
      <c r="F3205" s="3" t="s">
        <v>3969</v>
      </c>
      <c r="G3205" s="4" t="str">
        <f>HYPERLINK("https://diaocthongthai.com/xa-quang-yen-song-lo/","Xã Quang Yên")</f>
        <v>Xã Quang Yên</v>
      </c>
    </row>
    <row r="3206" spans="1:7" x14ac:dyDescent="0.25">
      <c r="A3206" s="2">
        <v>3205</v>
      </c>
      <c r="B3206" s="3" t="s">
        <v>19</v>
      </c>
      <c r="C3206" s="4" t="str">
        <f t="shared" si="273"/>
        <v>Vĩnh Phúc</v>
      </c>
      <c r="D3206" s="3" t="s">
        <v>254</v>
      </c>
      <c r="E3206" s="4" t="str">
        <f t="shared" si="274"/>
        <v>Huyện Sông Lô</v>
      </c>
      <c r="F3206" s="3" t="s">
        <v>3970</v>
      </c>
      <c r="G3206" s="4" t="str">
        <f>HYPERLINK("https://diaocthongthai.com/xa-bach-luu-song-lo/","Xã Bạch Lưu")</f>
        <v>Xã Bạch Lưu</v>
      </c>
    </row>
    <row r="3207" spans="1:7" x14ac:dyDescent="0.25">
      <c r="A3207" s="2">
        <v>3206</v>
      </c>
      <c r="B3207" s="3" t="s">
        <v>19</v>
      </c>
      <c r="C3207" s="4" t="str">
        <f t="shared" si="273"/>
        <v>Vĩnh Phúc</v>
      </c>
      <c r="D3207" s="3" t="s">
        <v>254</v>
      </c>
      <c r="E3207" s="4" t="str">
        <f t="shared" si="274"/>
        <v>Huyện Sông Lô</v>
      </c>
      <c r="F3207" s="3" t="s">
        <v>3971</v>
      </c>
      <c r="G3207" s="4" t="str">
        <f>HYPERLINK("https://diaocthongthai.com/xa-hai-luu-song-lo/","Xã Hải Lựu")</f>
        <v>Xã Hải Lựu</v>
      </c>
    </row>
    <row r="3208" spans="1:7" x14ac:dyDescent="0.25">
      <c r="A3208" s="2">
        <v>3207</v>
      </c>
      <c r="B3208" s="3" t="s">
        <v>19</v>
      </c>
      <c r="C3208" s="4" t="str">
        <f t="shared" si="273"/>
        <v>Vĩnh Phúc</v>
      </c>
      <c r="D3208" s="3" t="s">
        <v>254</v>
      </c>
      <c r="E3208" s="4" t="str">
        <f t="shared" si="274"/>
        <v>Huyện Sông Lô</v>
      </c>
      <c r="F3208" s="3" t="s">
        <v>3972</v>
      </c>
      <c r="G3208" s="4" t="str">
        <f>HYPERLINK("https://diaocthongthai.com/xa-dong-que-song-lo/","Xã Đồng Quế")</f>
        <v>Xã Đồng Quế</v>
      </c>
    </row>
    <row r="3209" spans="1:7" x14ac:dyDescent="0.25">
      <c r="A3209" s="2">
        <v>3208</v>
      </c>
      <c r="B3209" s="3" t="s">
        <v>19</v>
      </c>
      <c r="C3209" s="4" t="str">
        <f t="shared" si="273"/>
        <v>Vĩnh Phúc</v>
      </c>
      <c r="D3209" s="3" t="s">
        <v>254</v>
      </c>
      <c r="E3209" s="4" t="str">
        <f t="shared" si="274"/>
        <v>Huyện Sông Lô</v>
      </c>
      <c r="F3209" s="3" t="s">
        <v>3973</v>
      </c>
      <c r="G3209" s="4" t="str">
        <f>HYPERLINK("https://diaocthongthai.com/xa-nhan-dao-song-lo/","Xã Nhân Đạo")</f>
        <v>Xã Nhân Đạo</v>
      </c>
    </row>
    <row r="3210" spans="1:7" x14ac:dyDescent="0.25">
      <c r="A3210" s="2">
        <v>3209</v>
      </c>
      <c r="B3210" s="3" t="s">
        <v>19</v>
      </c>
      <c r="C3210" s="4" t="str">
        <f t="shared" si="273"/>
        <v>Vĩnh Phúc</v>
      </c>
      <c r="D3210" s="3" t="s">
        <v>254</v>
      </c>
      <c r="E3210" s="4" t="str">
        <f t="shared" si="274"/>
        <v>Huyện Sông Lô</v>
      </c>
      <c r="F3210" s="3" t="s">
        <v>3974</v>
      </c>
      <c r="G3210" s="4" t="str">
        <f>HYPERLINK("https://diaocthongthai.com/xa-don-nhan-song-lo/","Xã Đôn Nhân")</f>
        <v>Xã Đôn Nhân</v>
      </c>
    </row>
    <row r="3211" spans="1:7" x14ac:dyDescent="0.25">
      <c r="A3211" s="2">
        <v>3210</v>
      </c>
      <c r="B3211" s="3" t="s">
        <v>19</v>
      </c>
      <c r="C3211" s="4" t="str">
        <f t="shared" si="273"/>
        <v>Vĩnh Phúc</v>
      </c>
      <c r="D3211" s="3" t="s">
        <v>254</v>
      </c>
      <c r="E3211" s="4" t="str">
        <f t="shared" si="274"/>
        <v>Huyện Sông Lô</v>
      </c>
      <c r="F3211" s="3" t="s">
        <v>3975</v>
      </c>
      <c r="G3211" s="4" t="str">
        <f>HYPERLINK("https://diaocthongthai.com/xa-phuong-khoan-song-lo/","Xã Phương Khoan")</f>
        <v>Xã Phương Khoan</v>
      </c>
    </row>
    <row r="3212" spans="1:7" x14ac:dyDescent="0.25">
      <c r="A3212" s="2">
        <v>3211</v>
      </c>
      <c r="B3212" s="3" t="s">
        <v>19</v>
      </c>
      <c r="C3212" s="4" t="str">
        <f t="shared" si="273"/>
        <v>Vĩnh Phúc</v>
      </c>
      <c r="D3212" s="3" t="s">
        <v>254</v>
      </c>
      <c r="E3212" s="4" t="str">
        <f t="shared" si="274"/>
        <v>Huyện Sông Lô</v>
      </c>
      <c r="F3212" s="3" t="s">
        <v>3976</v>
      </c>
      <c r="G3212" s="4" t="str">
        <f>HYPERLINK("https://diaocthongthai.com/xa-tan-lap-song-lo/","Xã Tân Lập")</f>
        <v>Xã Tân Lập</v>
      </c>
    </row>
    <row r="3213" spans="1:7" x14ac:dyDescent="0.25">
      <c r="A3213" s="2">
        <v>3212</v>
      </c>
      <c r="B3213" s="3" t="s">
        <v>19</v>
      </c>
      <c r="C3213" s="4" t="str">
        <f t="shared" ref="C3213:C3220" si="275">HYPERLINK("https://diaocthongthai.com/ban-do-vinh-phuc/","Vĩnh Phúc")</f>
        <v>Vĩnh Phúc</v>
      </c>
      <c r="D3213" s="3" t="s">
        <v>254</v>
      </c>
      <c r="E3213" s="4" t="str">
        <f t="shared" si="274"/>
        <v>Huyện Sông Lô</v>
      </c>
      <c r="F3213" s="3" t="s">
        <v>3977</v>
      </c>
      <c r="G3213" s="4" t="str">
        <f>HYPERLINK("https://diaocthongthai.com/xa-nhao-son-song-lo/","Xã Nhạo Sơn")</f>
        <v>Xã Nhạo Sơn</v>
      </c>
    </row>
    <row r="3214" spans="1:7" x14ac:dyDescent="0.25">
      <c r="A3214" s="2">
        <v>3213</v>
      </c>
      <c r="B3214" s="3" t="s">
        <v>19</v>
      </c>
      <c r="C3214" s="4" t="str">
        <f t="shared" si="275"/>
        <v>Vĩnh Phúc</v>
      </c>
      <c r="D3214" s="3" t="s">
        <v>254</v>
      </c>
      <c r="E3214" s="4" t="str">
        <f t="shared" si="274"/>
        <v>Huyện Sông Lô</v>
      </c>
      <c r="F3214" s="3" t="s">
        <v>3978</v>
      </c>
      <c r="G3214" s="4" t="str">
        <f>HYPERLINK("https://diaocthongthai.com/thi-tran-tam-son-song-lo/","Thị trấn Tam Sơn")</f>
        <v>Thị trấn Tam Sơn</v>
      </c>
    </row>
    <row r="3215" spans="1:7" x14ac:dyDescent="0.25">
      <c r="A3215" s="2">
        <v>3214</v>
      </c>
      <c r="B3215" s="3" t="s">
        <v>19</v>
      </c>
      <c r="C3215" s="4" t="str">
        <f t="shared" si="275"/>
        <v>Vĩnh Phúc</v>
      </c>
      <c r="D3215" s="3" t="s">
        <v>254</v>
      </c>
      <c r="E3215" s="4" t="str">
        <f t="shared" si="274"/>
        <v>Huyện Sông Lô</v>
      </c>
      <c r="F3215" s="3" t="s">
        <v>3979</v>
      </c>
      <c r="G3215" s="4" t="str">
        <f>HYPERLINK("https://diaocthongthai.com/xa-nhu-thuy-song-lo/","Xã Như Thụy")</f>
        <v>Xã Như Thụy</v>
      </c>
    </row>
    <row r="3216" spans="1:7" x14ac:dyDescent="0.25">
      <c r="A3216" s="2">
        <v>3215</v>
      </c>
      <c r="B3216" s="3" t="s">
        <v>19</v>
      </c>
      <c r="C3216" s="4" t="str">
        <f t="shared" si="275"/>
        <v>Vĩnh Phúc</v>
      </c>
      <c r="D3216" s="3" t="s">
        <v>254</v>
      </c>
      <c r="E3216" s="4" t="str">
        <f t="shared" si="274"/>
        <v>Huyện Sông Lô</v>
      </c>
      <c r="F3216" s="3" t="s">
        <v>3980</v>
      </c>
      <c r="G3216" s="4" t="str">
        <f>HYPERLINK("https://diaocthongthai.com/xa-yen-thach-song-lo/","Xã Yên Thạch")</f>
        <v>Xã Yên Thạch</v>
      </c>
    </row>
    <row r="3217" spans="1:7" x14ac:dyDescent="0.25">
      <c r="A3217" s="2">
        <v>3216</v>
      </c>
      <c r="B3217" s="3" t="s">
        <v>19</v>
      </c>
      <c r="C3217" s="4" t="str">
        <f t="shared" si="275"/>
        <v>Vĩnh Phúc</v>
      </c>
      <c r="D3217" s="3" t="s">
        <v>254</v>
      </c>
      <c r="E3217" s="4" t="str">
        <f t="shared" si="274"/>
        <v>Huyện Sông Lô</v>
      </c>
      <c r="F3217" s="3" t="s">
        <v>3981</v>
      </c>
      <c r="G3217" s="4" t="str">
        <f>HYPERLINK("https://diaocthongthai.com/xa-dong-thinh-song-lo/","Xã Đồng Thịnh")</f>
        <v>Xã Đồng Thịnh</v>
      </c>
    </row>
    <row r="3218" spans="1:7" x14ac:dyDescent="0.25">
      <c r="A3218" s="2">
        <v>3217</v>
      </c>
      <c r="B3218" s="3" t="s">
        <v>19</v>
      </c>
      <c r="C3218" s="4" t="str">
        <f t="shared" si="275"/>
        <v>Vĩnh Phúc</v>
      </c>
      <c r="D3218" s="3" t="s">
        <v>254</v>
      </c>
      <c r="E3218" s="4" t="str">
        <f t="shared" si="274"/>
        <v>Huyện Sông Lô</v>
      </c>
      <c r="F3218" s="3" t="s">
        <v>3982</v>
      </c>
      <c r="G3218" s="4" t="str">
        <f>HYPERLINK("https://diaocthongthai.com/xa-tu-yen-song-lo/","Xã Tứ Yên")</f>
        <v>Xã Tứ Yên</v>
      </c>
    </row>
    <row r="3219" spans="1:7" x14ac:dyDescent="0.25">
      <c r="A3219" s="2">
        <v>3218</v>
      </c>
      <c r="B3219" s="3" t="s">
        <v>19</v>
      </c>
      <c r="C3219" s="4" t="str">
        <f t="shared" si="275"/>
        <v>Vĩnh Phúc</v>
      </c>
      <c r="D3219" s="3" t="s">
        <v>254</v>
      </c>
      <c r="E3219" s="4" t="str">
        <f t="shared" si="274"/>
        <v>Huyện Sông Lô</v>
      </c>
      <c r="F3219" s="3" t="s">
        <v>3983</v>
      </c>
      <c r="G3219" s="4" t="str">
        <f>HYPERLINK("https://diaocthongthai.com/xa-duc-bac-song-lo/","Xã Đức Bác")</f>
        <v>Xã Đức Bác</v>
      </c>
    </row>
    <row r="3220" spans="1:7" x14ac:dyDescent="0.25">
      <c r="A3220" s="2">
        <v>3219</v>
      </c>
      <c r="B3220" s="3" t="s">
        <v>19</v>
      </c>
      <c r="C3220" s="4" t="str">
        <f t="shared" si="275"/>
        <v>Vĩnh Phúc</v>
      </c>
      <c r="D3220" s="3" t="s">
        <v>254</v>
      </c>
      <c r="E3220" s="4" t="str">
        <f t="shared" si="274"/>
        <v>Huyện Sông Lô</v>
      </c>
      <c r="F3220" s="3" t="s">
        <v>3984</v>
      </c>
      <c r="G3220" s="4" t="str">
        <f>HYPERLINK("https://diaocthongthai.com/xa-cao-phong-song-lo/","Xã Cao Phong")</f>
        <v>Xã Cao Phong</v>
      </c>
    </row>
    <row r="3221" spans="1:7" x14ac:dyDescent="0.25">
      <c r="A3221" s="2">
        <v>3220</v>
      </c>
      <c r="B3221" s="3" t="s">
        <v>20</v>
      </c>
      <c r="C3221" s="4" t="str">
        <f t="shared" ref="C3221:C3252" si="276">HYPERLINK("https://diaocthongthai.com/ban-do-bac-ninh/","Bắc Ninh")</f>
        <v>Bắc Ninh</v>
      </c>
      <c r="D3221" s="3" t="s">
        <v>255</v>
      </c>
      <c r="E3221" s="4" t="str">
        <f t="shared" ref="E3221:E3239" si="277">HYPERLINK("https://diaocthongthai.com/ban-do-tp-bac-ninh-bac-ninh/","Thành phố Bắc Ninh")</f>
        <v>Thành phố Bắc Ninh</v>
      </c>
      <c r="F3221" s="3" t="s">
        <v>3985</v>
      </c>
      <c r="G3221" s="4" t="str">
        <f>HYPERLINK("https://diaocthongthai.com/phuong-vu-ninh-tp-bac-ninh/","Phường Vũ Ninh")</f>
        <v>Phường Vũ Ninh</v>
      </c>
    </row>
    <row r="3222" spans="1:7" x14ac:dyDescent="0.25">
      <c r="A3222" s="2">
        <v>3221</v>
      </c>
      <c r="B3222" s="3" t="s">
        <v>20</v>
      </c>
      <c r="C3222" s="4" t="str">
        <f t="shared" si="276"/>
        <v>Bắc Ninh</v>
      </c>
      <c r="D3222" s="3" t="s">
        <v>255</v>
      </c>
      <c r="E3222" s="4" t="str">
        <f t="shared" si="277"/>
        <v>Thành phố Bắc Ninh</v>
      </c>
      <c r="F3222" s="3" t="s">
        <v>3986</v>
      </c>
      <c r="G3222" s="4" t="str">
        <f>HYPERLINK("https://diaocthongthai.com/phuong-dap-cau-tp-bac-ninh/","Phường Đáp Cầu")</f>
        <v>Phường Đáp Cầu</v>
      </c>
    </row>
    <row r="3223" spans="1:7" x14ac:dyDescent="0.25">
      <c r="A3223" s="2">
        <v>3222</v>
      </c>
      <c r="B3223" s="3" t="s">
        <v>20</v>
      </c>
      <c r="C3223" s="4" t="str">
        <f t="shared" si="276"/>
        <v>Bắc Ninh</v>
      </c>
      <c r="D3223" s="3" t="s">
        <v>255</v>
      </c>
      <c r="E3223" s="4" t="str">
        <f t="shared" si="277"/>
        <v>Thành phố Bắc Ninh</v>
      </c>
      <c r="F3223" s="3" t="s">
        <v>3987</v>
      </c>
      <c r="G3223" s="4" t="str">
        <f>HYPERLINK("https://diaocthongthai.com/phuong-thi-cau-tp-bac-ninh/","Phường Thị Cầu")</f>
        <v>Phường Thị Cầu</v>
      </c>
    </row>
    <row r="3224" spans="1:7" x14ac:dyDescent="0.25">
      <c r="A3224" s="2">
        <v>3223</v>
      </c>
      <c r="B3224" s="3" t="s">
        <v>20</v>
      </c>
      <c r="C3224" s="4" t="str">
        <f t="shared" si="276"/>
        <v>Bắc Ninh</v>
      </c>
      <c r="D3224" s="3" t="s">
        <v>255</v>
      </c>
      <c r="E3224" s="4" t="str">
        <f t="shared" si="277"/>
        <v>Thành phố Bắc Ninh</v>
      </c>
      <c r="F3224" s="3" t="s">
        <v>3988</v>
      </c>
      <c r="G3224" s="4" t="str">
        <f>HYPERLINK("https://diaocthongthai.com/phuong-kinh-bac-tp-bac-ninh/","Phường Kinh Bắc")</f>
        <v>Phường Kinh Bắc</v>
      </c>
    </row>
    <row r="3225" spans="1:7" x14ac:dyDescent="0.25">
      <c r="A3225" s="2">
        <v>3224</v>
      </c>
      <c r="B3225" s="3" t="s">
        <v>20</v>
      </c>
      <c r="C3225" s="4" t="str">
        <f t="shared" si="276"/>
        <v>Bắc Ninh</v>
      </c>
      <c r="D3225" s="3" t="s">
        <v>255</v>
      </c>
      <c r="E3225" s="4" t="str">
        <f t="shared" si="277"/>
        <v>Thành phố Bắc Ninh</v>
      </c>
      <c r="F3225" s="3" t="s">
        <v>3989</v>
      </c>
      <c r="G3225" s="4" t="str">
        <f>HYPERLINK("https://diaocthongthai.com/phuong-ve-an-tp-bac-ninh/","Phường Vệ An")</f>
        <v>Phường Vệ An</v>
      </c>
    </row>
    <row r="3226" spans="1:7" x14ac:dyDescent="0.25">
      <c r="A3226" s="2">
        <v>3225</v>
      </c>
      <c r="B3226" s="3" t="s">
        <v>20</v>
      </c>
      <c r="C3226" s="4" t="str">
        <f t="shared" si="276"/>
        <v>Bắc Ninh</v>
      </c>
      <c r="D3226" s="3" t="s">
        <v>255</v>
      </c>
      <c r="E3226" s="4" t="str">
        <f t="shared" si="277"/>
        <v>Thành phố Bắc Ninh</v>
      </c>
      <c r="F3226" s="3" t="s">
        <v>3990</v>
      </c>
      <c r="G3226" s="4" t="str">
        <f>HYPERLINK("https://diaocthongthai.com/phuong-tien-an-tp-bac-ninh/","Phường Tiền An")</f>
        <v>Phường Tiền An</v>
      </c>
    </row>
    <row r="3227" spans="1:7" x14ac:dyDescent="0.25">
      <c r="A3227" s="2">
        <v>3226</v>
      </c>
      <c r="B3227" s="3" t="s">
        <v>20</v>
      </c>
      <c r="C3227" s="4" t="str">
        <f t="shared" si="276"/>
        <v>Bắc Ninh</v>
      </c>
      <c r="D3227" s="3" t="s">
        <v>255</v>
      </c>
      <c r="E3227" s="4" t="str">
        <f t="shared" si="277"/>
        <v>Thành phố Bắc Ninh</v>
      </c>
      <c r="F3227" s="3" t="s">
        <v>3991</v>
      </c>
      <c r="G3227" s="4" t="str">
        <f>HYPERLINK("https://diaocthongthai.com/phuong-dai-phuc-tp-bac-ninh/","Phường Đại Phúc")</f>
        <v>Phường Đại Phúc</v>
      </c>
    </row>
    <row r="3228" spans="1:7" x14ac:dyDescent="0.25">
      <c r="A3228" s="2">
        <v>3227</v>
      </c>
      <c r="B3228" s="3" t="s">
        <v>20</v>
      </c>
      <c r="C3228" s="4" t="str">
        <f t="shared" si="276"/>
        <v>Bắc Ninh</v>
      </c>
      <c r="D3228" s="3" t="s">
        <v>255</v>
      </c>
      <c r="E3228" s="4" t="str">
        <f t="shared" si="277"/>
        <v>Thành phố Bắc Ninh</v>
      </c>
      <c r="F3228" s="3" t="s">
        <v>3992</v>
      </c>
      <c r="G3228" s="4" t="str">
        <f>HYPERLINK("https://diaocthongthai.com/phuong-ninh-xa-tp-bac-ninh/","Phường Ninh Xá")</f>
        <v>Phường Ninh Xá</v>
      </c>
    </row>
    <row r="3229" spans="1:7" x14ac:dyDescent="0.25">
      <c r="A3229" s="2">
        <v>3228</v>
      </c>
      <c r="B3229" s="3" t="s">
        <v>20</v>
      </c>
      <c r="C3229" s="4" t="str">
        <f t="shared" si="276"/>
        <v>Bắc Ninh</v>
      </c>
      <c r="D3229" s="3" t="s">
        <v>255</v>
      </c>
      <c r="E3229" s="4" t="str">
        <f t="shared" si="277"/>
        <v>Thành phố Bắc Ninh</v>
      </c>
      <c r="F3229" s="3" t="s">
        <v>3993</v>
      </c>
      <c r="G3229" s="4" t="str">
        <f>HYPERLINK("https://diaocthongthai.com/phuong-suoi-hoa-tp-bac-ninh/","Phường Suối Hoa")</f>
        <v>Phường Suối Hoa</v>
      </c>
    </row>
    <row r="3230" spans="1:7" x14ac:dyDescent="0.25">
      <c r="A3230" s="2">
        <v>3229</v>
      </c>
      <c r="B3230" s="3" t="s">
        <v>20</v>
      </c>
      <c r="C3230" s="4" t="str">
        <f t="shared" si="276"/>
        <v>Bắc Ninh</v>
      </c>
      <c r="D3230" s="3" t="s">
        <v>255</v>
      </c>
      <c r="E3230" s="4" t="str">
        <f t="shared" si="277"/>
        <v>Thành phố Bắc Ninh</v>
      </c>
      <c r="F3230" s="3" t="s">
        <v>3994</v>
      </c>
      <c r="G3230" s="4" t="str">
        <f>HYPERLINK("https://diaocthongthai.com/phuong-vo-cuong-tp-bac-ninh/","Phường Võ Cường")</f>
        <v>Phường Võ Cường</v>
      </c>
    </row>
    <row r="3231" spans="1:7" x14ac:dyDescent="0.25">
      <c r="A3231" s="2">
        <v>3230</v>
      </c>
      <c r="B3231" s="3" t="s">
        <v>20</v>
      </c>
      <c r="C3231" s="4" t="str">
        <f t="shared" si="276"/>
        <v>Bắc Ninh</v>
      </c>
      <c r="D3231" s="3" t="s">
        <v>255</v>
      </c>
      <c r="E3231" s="4" t="str">
        <f t="shared" si="277"/>
        <v>Thành phố Bắc Ninh</v>
      </c>
      <c r="F3231" s="3" t="s">
        <v>3995</v>
      </c>
      <c r="G3231" s="4" t="str">
        <f>HYPERLINK("https://diaocthongthai.com/phuong-hoa-long-tp-bac-ninh/","Phường Hòa Long")</f>
        <v>Phường Hòa Long</v>
      </c>
    </row>
    <row r="3232" spans="1:7" x14ac:dyDescent="0.25">
      <c r="A3232" s="2">
        <v>3231</v>
      </c>
      <c r="B3232" s="3" t="s">
        <v>20</v>
      </c>
      <c r="C3232" s="4" t="str">
        <f t="shared" si="276"/>
        <v>Bắc Ninh</v>
      </c>
      <c r="D3232" s="3" t="s">
        <v>255</v>
      </c>
      <c r="E3232" s="4" t="str">
        <f t="shared" si="277"/>
        <v>Thành phố Bắc Ninh</v>
      </c>
      <c r="F3232" s="3" t="s">
        <v>3996</v>
      </c>
      <c r="G3232" s="4" t="str">
        <f>HYPERLINK("https://diaocthongthai.com/phuong-van-an-tp-bac-ninh/","Phường Vạn An")</f>
        <v>Phường Vạn An</v>
      </c>
    </row>
    <row r="3233" spans="1:7" x14ac:dyDescent="0.25">
      <c r="A3233" s="2">
        <v>3232</v>
      </c>
      <c r="B3233" s="3" t="s">
        <v>20</v>
      </c>
      <c r="C3233" s="4" t="str">
        <f t="shared" si="276"/>
        <v>Bắc Ninh</v>
      </c>
      <c r="D3233" s="3" t="s">
        <v>255</v>
      </c>
      <c r="E3233" s="4" t="str">
        <f t="shared" si="277"/>
        <v>Thành phố Bắc Ninh</v>
      </c>
      <c r="F3233" s="3" t="s">
        <v>3997</v>
      </c>
      <c r="G3233" s="4" t="str">
        <f>HYPERLINK("https://diaocthongthai.com/phuong-khuc-xuyen-tp-bac-ninh/","Phường Khúc Xuyên")</f>
        <v>Phường Khúc Xuyên</v>
      </c>
    </row>
    <row r="3234" spans="1:7" x14ac:dyDescent="0.25">
      <c r="A3234" s="2">
        <v>3233</v>
      </c>
      <c r="B3234" s="3" t="s">
        <v>20</v>
      </c>
      <c r="C3234" s="4" t="str">
        <f t="shared" si="276"/>
        <v>Bắc Ninh</v>
      </c>
      <c r="D3234" s="3" t="s">
        <v>255</v>
      </c>
      <c r="E3234" s="4" t="str">
        <f t="shared" si="277"/>
        <v>Thành phố Bắc Ninh</v>
      </c>
      <c r="F3234" s="3" t="s">
        <v>3998</v>
      </c>
      <c r="G3234" s="4" t="str">
        <f>HYPERLINK("https://diaocthongthai.com/phuong-phong-khe-tp-bac-ninh/","Phường Phong Khê")</f>
        <v>Phường Phong Khê</v>
      </c>
    </row>
    <row r="3235" spans="1:7" x14ac:dyDescent="0.25">
      <c r="A3235" s="2">
        <v>3234</v>
      </c>
      <c r="B3235" s="3" t="s">
        <v>20</v>
      </c>
      <c r="C3235" s="4" t="str">
        <f t="shared" si="276"/>
        <v>Bắc Ninh</v>
      </c>
      <c r="D3235" s="3" t="s">
        <v>255</v>
      </c>
      <c r="E3235" s="4" t="str">
        <f t="shared" si="277"/>
        <v>Thành phố Bắc Ninh</v>
      </c>
      <c r="F3235" s="3" t="s">
        <v>3999</v>
      </c>
      <c r="G3235" s="4" t="str">
        <f>HYPERLINK("https://diaocthongthai.com/phuong-kim-chan-tp-bac-ninh/","Phường Kim Chân")</f>
        <v>Phường Kim Chân</v>
      </c>
    </row>
    <row r="3236" spans="1:7" x14ac:dyDescent="0.25">
      <c r="A3236" s="2">
        <v>3235</v>
      </c>
      <c r="B3236" s="3" t="s">
        <v>20</v>
      </c>
      <c r="C3236" s="4" t="str">
        <f t="shared" si="276"/>
        <v>Bắc Ninh</v>
      </c>
      <c r="D3236" s="3" t="s">
        <v>255</v>
      </c>
      <c r="E3236" s="4" t="str">
        <f t="shared" si="277"/>
        <v>Thành phố Bắc Ninh</v>
      </c>
      <c r="F3236" s="3" t="s">
        <v>4000</v>
      </c>
      <c r="G3236" s="4" t="str">
        <f>HYPERLINK("https://diaocthongthai.com/phuong-van-duong-tp-bac-ninh/","Phường Vân Dương")</f>
        <v>Phường Vân Dương</v>
      </c>
    </row>
    <row r="3237" spans="1:7" x14ac:dyDescent="0.25">
      <c r="A3237" s="2">
        <v>3236</v>
      </c>
      <c r="B3237" s="3" t="s">
        <v>20</v>
      </c>
      <c r="C3237" s="4" t="str">
        <f t="shared" si="276"/>
        <v>Bắc Ninh</v>
      </c>
      <c r="D3237" s="3" t="s">
        <v>255</v>
      </c>
      <c r="E3237" s="4" t="str">
        <f t="shared" si="277"/>
        <v>Thành phố Bắc Ninh</v>
      </c>
      <c r="F3237" s="3" t="s">
        <v>4001</v>
      </c>
      <c r="G3237" s="4" t="str">
        <f>HYPERLINK("https://diaocthongthai.com/phuong-nam-son-tp-bac-ninh/","Phường Nam Sơn")</f>
        <v>Phường Nam Sơn</v>
      </c>
    </row>
    <row r="3238" spans="1:7" x14ac:dyDescent="0.25">
      <c r="A3238" s="2">
        <v>3237</v>
      </c>
      <c r="B3238" s="3" t="s">
        <v>20</v>
      </c>
      <c r="C3238" s="4" t="str">
        <f t="shared" si="276"/>
        <v>Bắc Ninh</v>
      </c>
      <c r="D3238" s="3" t="s">
        <v>255</v>
      </c>
      <c r="E3238" s="4" t="str">
        <f t="shared" si="277"/>
        <v>Thành phố Bắc Ninh</v>
      </c>
      <c r="F3238" s="3" t="s">
        <v>4002</v>
      </c>
      <c r="G3238" s="4" t="str">
        <f>HYPERLINK("https://diaocthongthai.com/phuong-khac-niem-tp-bac-ninh/","Phường Khắc Niệm")</f>
        <v>Phường Khắc Niệm</v>
      </c>
    </row>
    <row r="3239" spans="1:7" x14ac:dyDescent="0.25">
      <c r="A3239" s="2">
        <v>3238</v>
      </c>
      <c r="B3239" s="3" t="s">
        <v>20</v>
      </c>
      <c r="C3239" s="4" t="str">
        <f t="shared" si="276"/>
        <v>Bắc Ninh</v>
      </c>
      <c r="D3239" s="3" t="s">
        <v>255</v>
      </c>
      <c r="E3239" s="4" t="str">
        <f t="shared" si="277"/>
        <v>Thành phố Bắc Ninh</v>
      </c>
      <c r="F3239" s="3" t="s">
        <v>4003</v>
      </c>
      <c r="G3239" s="4" t="str">
        <f>HYPERLINK("https://diaocthongthai.com/phuong-hap-linh-tp-bac-ninh/","Phường Hạp Lĩnh")</f>
        <v>Phường Hạp Lĩnh</v>
      </c>
    </row>
    <row r="3240" spans="1:7" x14ac:dyDescent="0.25">
      <c r="A3240" s="2">
        <v>3239</v>
      </c>
      <c r="B3240" s="3" t="s">
        <v>20</v>
      </c>
      <c r="C3240" s="4" t="str">
        <f t="shared" si="276"/>
        <v>Bắc Ninh</v>
      </c>
      <c r="D3240" s="3" t="s">
        <v>256</v>
      </c>
      <c r="E3240" s="4" t="str">
        <f t="shared" ref="E3240:E3253" si="278">HYPERLINK("https://diaocthongthai.com/ban-do-huyen-yen-phong-bac-ninh/","Huyện Yên Phong")</f>
        <v>Huyện Yên Phong</v>
      </c>
      <c r="F3240" s="3" t="s">
        <v>4004</v>
      </c>
      <c r="G3240" s="4" t="str">
        <f>HYPERLINK("https://diaocthongthai.com/thi-tran-cho-yen-phong/","Thị trấn Chờ")</f>
        <v>Thị trấn Chờ</v>
      </c>
    </row>
    <row r="3241" spans="1:7" x14ac:dyDescent="0.25">
      <c r="A3241" s="2">
        <v>3240</v>
      </c>
      <c r="B3241" s="3" t="s">
        <v>20</v>
      </c>
      <c r="C3241" s="4" t="str">
        <f t="shared" si="276"/>
        <v>Bắc Ninh</v>
      </c>
      <c r="D3241" s="3" t="s">
        <v>256</v>
      </c>
      <c r="E3241" s="4" t="str">
        <f t="shared" si="278"/>
        <v>Huyện Yên Phong</v>
      </c>
      <c r="F3241" s="3" t="s">
        <v>4005</v>
      </c>
      <c r="G3241" s="4" t="str">
        <f>HYPERLINK("https://diaocthongthai.com/xa-dung-liet-yen-phong/","Xã Dũng Liệt")</f>
        <v>Xã Dũng Liệt</v>
      </c>
    </row>
    <row r="3242" spans="1:7" x14ac:dyDescent="0.25">
      <c r="A3242" s="2">
        <v>3241</v>
      </c>
      <c r="B3242" s="3" t="s">
        <v>20</v>
      </c>
      <c r="C3242" s="4" t="str">
        <f t="shared" si="276"/>
        <v>Bắc Ninh</v>
      </c>
      <c r="D3242" s="3" t="s">
        <v>256</v>
      </c>
      <c r="E3242" s="4" t="str">
        <f t="shared" si="278"/>
        <v>Huyện Yên Phong</v>
      </c>
      <c r="F3242" s="3" t="s">
        <v>4006</v>
      </c>
      <c r="G3242" s="4" t="str">
        <f>HYPERLINK("https://diaocthongthai.com/xa-tam-da-yen-phong/","Xã Tam Đa")</f>
        <v>Xã Tam Đa</v>
      </c>
    </row>
    <row r="3243" spans="1:7" x14ac:dyDescent="0.25">
      <c r="A3243" s="2">
        <v>3242</v>
      </c>
      <c r="B3243" s="3" t="s">
        <v>20</v>
      </c>
      <c r="C3243" s="4" t="str">
        <f t="shared" si="276"/>
        <v>Bắc Ninh</v>
      </c>
      <c r="D3243" s="3" t="s">
        <v>256</v>
      </c>
      <c r="E3243" s="4" t="str">
        <f t="shared" si="278"/>
        <v>Huyện Yên Phong</v>
      </c>
      <c r="F3243" s="3" t="s">
        <v>4007</v>
      </c>
      <c r="G3243" s="4" t="str">
        <f>HYPERLINK("https://diaocthongthai.com/xa-tam-giang-yen-phong/","Xã Tam Giang")</f>
        <v>Xã Tam Giang</v>
      </c>
    </row>
    <row r="3244" spans="1:7" x14ac:dyDescent="0.25">
      <c r="A3244" s="2">
        <v>3243</v>
      </c>
      <c r="B3244" s="3" t="s">
        <v>20</v>
      </c>
      <c r="C3244" s="4" t="str">
        <f t="shared" si="276"/>
        <v>Bắc Ninh</v>
      </c>
      <c r="D3244" s="3" t="s">
        <v>256</v>
      </c>
      <c r="E3244" s="4" t="str">
        <f t="shared" si="278"/>
        <v>Huyện Yên Phong</v>
      </c>
      <c r="F3244" s="3" t="s">
        <v>4008</v>
      </c>
      <c r="G3244" s="4" t="str">
        <f>HYPERLINK("https://diaocthongthai.com/xa-yen-trung-yen-phong/","Xã Yên Trung")</f>
        <v>Xã Yên Trung</v>
      </c>
    </row>
    <row r="3245" spans="1:7" x14ac:dyDescent="0.25">
      <c r="A3245" s="2">
        <v>3244</v>
      </c>
      <c r="B3245" s="3" t="s">
        <v>20</v>
      </c>
      <c r="C3245" s="4" t="str">
        <f t="shared" si="276"/>
        <v>Bắc Ninh</v>
      </c>
      <c r="D3245" s="3" t="s">
        <v>256</v>
      </c>
      <c r="E3245" s="4" t="str">
        <f t="shared" si="278"/>
        <v>Huyện Yên Phong</v>
      </c>
      <c r="F3245" s="3" t="s">
        <v>4009</v>
      </c>
      <c r="G3245" s="4" t="str">
        <f>HYPERLINK("https://diaocthongthai.com/xa-thuy-hoa-yen-phong/","Xã Thụy Hòa")</f>
        <v>Xã Thụy Hòa</v>
      </c>
    </row>
    <row r="3246" spans="1:7" x14ac:dyDescent="0.25">
      <c r="A3246" s="2">
        <v>3245</v>
      </c>
      <c r="B3246" s="3" t="s">
        <v>20</v>
      </c>
      <c r="C3246" s="4" t="str">
        <f t="shared" si="276"/>
        <v>Bắc Ninh</v>
      </c>
      <c r="D3246" s="3" t="s">
        <v>256</v>
      </c>
      <c r="E3246" s="4" t="str">
        <f t="shared" si="278"/>
        <v>Huyện Yên Phong</v>
      </c>
      <c r="F3246" s="3" t="s">
        <v>4010</v>
      </c>
      <c r="G3246" s="4" t="str">
        <f>HYPERLINK("https://diaocthongthai.com/xa-hoa-tien-yen-phong/","Xã Hòa Tiến")</f>
        <v>Xã Hòa Tiến</v>
      </c>
    </row>
    <row r="3247" spans="1:7" x14ac:dyDescent="0.25">
      <c r="A3247" s="2">
        <v>3246</v>
      </c>
      <c r="B3247" s="3" t="s">
        <v>20</v>
      </c>
      <c r="C3247" s="4" t="str">
        <f t="shared" si="276"/>
        <v>Bắc Ninh</v>
      </c>
      <c r="D3247" s="3" t="s">
        <v>256</v>
      </c>
      <c r="E3247" s="4" t="str">
        <f t="shared" si="278"/>
        <v>Huyện Yên Phong</v>
      </c>
      <c r="F3247" s="3" t="s">
        <v>4011</v>
      </c>
      <c r="G3247" s="4" t="str">
        <f>HYPERLINK("https://diaocthongthai.com/xa-dong-tien-yen-phong/","Xã Đông Tiến")</f>
        <v>Xã Đông Tiến</v>
      </c>
    </row>
    <row r="3248" spans="1:7" x14ac:dyDescent="0.25">
      <c r="A3248" s="2">
        <v>3247</v>
      </c>
      <c r="B3248" s="3" t="s">
        <v>20</v>
      </c>
      <c r="C3248" s="4" t="str">
        <f t="shared" si="276"/>
        <v>Bắc Ninh</v>
      </c>
      <c r="D3248" s="3" t="s">
        <v>256</v>
      </c>
      <c r="E3248" s="4" t="str">
        <f t="shared" si="278"/>
        <v>Huyện Yên Phong</v>
      </c>
      <c r="F3248" s="3" t="s">
        <v>4012</v>
      </c>
      <c r="G3248" s="4" t="str">
        <f>HYPERLINK("https://diaocthongthai.com/xa-yen-phu-yen-phong/","Xã Yên Phụ")</f>
        <v>Xã Yên Phụ</v>
      </c>
    </row>
    <row r="3249" spans="1:7" x14ac:dyDescent="0.25">
      <c r="A3249" s="2">
        <v>3248</v>
      </c>
      <c r="B3249" s="3" t="s">
        <v>20</v>
      </c>
      <c r="C3249" s="4" t="str">
        <f t="shared" si="276"/>
        <v>Bắc Ninh</v>
      </c>
      <c r="D3249" s="3" t="s">
        <v>256</v>
      </c>
      <c r="E3249" s="4" t="str">
        <f t="shared" si="278"/>
        <v>Huyện Yên Phong</v>
      </c>
      <c r="F3249" s="3" t="s">
        <v>4013</v>
      </c>
      <c r="G3249" s="4" t="str">
        <f>HYPERLINK("https://diaocthongthai.com/xa-trung-nghia-yen-phong/","Xã Trung Nghĩa")</f>
        <v>Xã Trung Nghĩa</v>
      </c>
    </row>
    <row r="3250" spans="1:7" x14ac:dyDescent="0.25">
      <c r="A3250" s="2">
        <v>3249</v>
      </c>
      <c r="B3250" s="3" t="s">
        <v>20</v>
      </c>
      <c r="C3250" s="4" t="str">
        <f t="shared" si="276"/>
        <v>Bắc Ninh</v>
      </c>
      <c r="D3250" s="3" t="s">
        <v>256</v>
      </c>
      <c r="E3250" s="4" t="str">
        <f t="shared" si="278"/>
        <v>Huyện Yên Phong</v>
      </c>
      <c r="F3250" s="3" t="s">
        <v>4014</v>
      </c>
      <c r="G3250" s="4" t="str">
        <f>HYPERLINK("https://diaocthongthai.com/xa-dong-phong-yen-phong/","Xã Đông Phong")</f>
        <v>Xã Đông Phong</v>
      </c>
    </row>
    <row r="3251" spans="1:7" x14ac:dyDescent="0.25">
      <c r="A3251" s="2">
        <v>3250</v>
      </c>
      <c r="B3251" s="3" t="s">
        <v>20</v>
      </c>
      <c r="C3251" s="4" t="str">
        <f t="shared" si="276"/>
        <v>Bắc Ninh</v>
      </c>
      <c r="D3251" s="3" t="s">
        <v>256</v>
      </c>
      <c r="E3251" s="4" t="str">
        <f t="shared" si="278"/>
        <v>Huyện Yên Phong</v>
      </c>
      <c r="F3251" s="3" t="s">
        <v>4015</v>
      </c>
      <c r="G3251" s="4" t="str">
        <f>HYPERLINK("https://diaocthongthai.com/xa-long-chau-yen-phong/","Xã Long Châu")</f>
        <v>Xã Long Châu</v>
      </c>
    </row>
    <row r="3252" spans="1:7" x14ac:dyDescent="0.25">
      <c r="A3252" s="2">
        <v>3251</v>
      </c>
      <c r="B3252" s="3" t="s">
        <v>20</v>
      </c>
      <c r="C3252" s="4" t="str">
        <f t="shared" si="276"/>
        <v>Bắc Ninh</v>
      </c>
      <c r="D3252" s="3" t="s">
        <v>256</v>
      </c>
      <c r="E3252" s="4" t="str">
        <f t="shared" si="278"/>
        <v>Huyện Yên Phong</v>
      </c>
      <c r="F3252" s="3" t="s">
        <v>4016</v>
      </c>
      <c r="G3252" s="4" t="str">
        <f>HYPERLINK("https://diaocthongthai.com/xa-van-mon-yen-phong/","Xã Văn Môn")</f>
        <v>Xã Văn Môn</v>
      </c>
    </row>
    <row r="3253" spans="1:7" x14ac:dyDescent="0.25">
      <c r="A3253" s="2">
        <v>3252</v>
      </c>
      <c r="B3253" s="3" t="s">
        <v>20</v>
      </c>
      <c r="C3253" s="4" t="str">
        <f t="shared" ref="C3253:C3284" si="279">HYPERLINK("https://diaocthongthai.com/ban-do-bac-ninh/","Bắc Ninh")</f>
        <v>Bắc Ninh</v>
      </c>
      <c r="D3253" s="3" t="s">
        <v>256</v>
      </c>
      <c r="E3253" s="4" t="str">
        <f t="shared" si="278"/>
        <v>Huyện Yên Phong</v>
      </c>
      <c r="F3253" s="3" t="s">
        <v>4017</v>
      </c>
      <c r="G3253" s="4" t="str">
        <f>HYPERLINK("https://diaocthongthai.com/xa-dong-tho-yen-phong/","Xã Đông Thọ")</f>
        <v>Xã Đông Thọ</v>
      </c>
    </row>
    <row r="3254" spans="1:7" x14ac:dyDescent="0.25">
      <c r="A3254" s="2">
        <v>3253</v>
      </c>
      <c r="B3254" s="3" t="s">
        <v>20</v>
      </c>
      <c r="C3254" s="4" t="str">
        <f t="shared" si="279"/>
        <v>Bắc Ninh</v>
      </c>
      <c r="D3254" s="3" t="s">
        <v>257</v>
      </c>
      <c r="E3254" s="4" t="str">
        <f t="shared" ref="E3254:E3274" si="280">HYPERLINK("https://diaocthongthai.com/ban-do-huyen-que-vo-bac-ninh/","Huyện Quế Võ")</f>
        <v>Huyện Quế Võ</v>
      </c>
      <c r="F3254" s="3" t="s">
        <v>4018</v>
      </c>
      <c r="G3254" s="4" t="str">
        <f>HYPERLINK("https://diaocthongthai.com/thi-tran-pho-moi-que-vo/","Thị trấn Phố Mới")</f>
        <v>Thị trấn Phố Mới</v>
      </c>
    </row>
    <row r="3255" spans="1:7" x14ac:dyDescent="0.25">
      <c r="A3255" s="2">
        <v>3254</v>
      </c>
      <c r="B3255" s="3" t="s">
        <v>20</v>
      </c>
      <c r="C3255" s="4" t="str">
        <f t="shared" si="279"/>
        <v>Bắc Ninh</v>
      </c>
      <c r="D3255" s="3" t="s">
        <v>257</v>
      </c>
      <c r="E3255" s="4" t="str">
        <f t="shared" si="280"/>
        <v>Huyện Quế Võ</v>
      </c>
      <c r="F3255" s="3" t="s">
        <v>4019</v>
      </c>
      <c r="G3255" s="4" t="str">
        <f>HYPERLINK("https://diaocthongthai.com/xa-viet-thong-que-vo/","Xã Việt Thống")</f>
        <v>Xã Việt Thống</v>
      </c>
    </row>
    <row r="3256" spans="1:7" x14ac:dyDescent="0.25">
      <c r="A3256" s="2">
        <v>3255</v>
      </c>
      <c r="B3256" s="3" t="s">
        <v>20</v>
      </c>
      <c r="C3256" s="4" t="str">
        <f t="shared" si="279"/>
        <v>Bắc Ninh</v>
      </c>
      <c r="D3256" s="3" t="s">
        <v>257</v>
      </c>
      <c r="E3256" s="4" t="str">
        <f t="shared" si="280"/>
        <v>Huyện Quế Võ</v>
      </c>
      <c r="F3256" s="3" t="s">
        <v>4020</v>
      </c>
      <c r="G3256" s="4" t="str">
        <f>HYPERLINK("https://diaocthongthai.com/xa-dai-xuan-que-vo/","Xã Đại Xuân")</f>
        <v>Xã Đại Xuân</v>
      </c>
    </row>
    <row r="3257" spans="1:7" x14ac:dyDescent="0.25">
      <c r="A3257" s="2">
        <v>3256</v>
      </c>
      <c r="B3257" s="3" t="s">
        <v>20</v>
      </c>
      <c r="C3257" s="4" t="str">
        <f t="shared" si="279"/>
        <v>Bắc Ninh</v>
      </c>
      <c r="D3257" s="3" t="s">
        <v>257</v>
      </c>
      <c r="E3257" s="4" t="str">
        <f t="shared" si="280"/>
        <v>Huyện Quế Võ</v>
      </c>
      <c r="F3257" s="3" t="s">
        <v>4021</v>
      </c>
      <c r="G3257" s="4" t="str">
        <f>HYPERLINK("https://diaocthongthai.com/xa-nhan-hoa-que-vo/","Xã Nhân Hòa")</f>
        <v>Xã Nhân Hòa</v>
      </c>
    </row>
    <row r="3258" spans="1:7" x14ac:dyDescent="0.25">
      <c r="A3258" s="2">
        <v>3257</v>
      </c>
      <c r="B3258" s="3" t="s">
        <v>20</v>
      </c>
      <c r="C3258" s="4" t="str">
        <f t="shared" si="279"/>
        <v>Bắc Ninh</v>
      </c>
      <c r="D3258" s="3" t="s">
        <v>257</v>
      </c>
      <c r="E3258" s="4" t="str">
        <f t="shared" si="280"/>
        <v>Huyện Quế Võ</v>
      </c>
      <c r="F3258" s="3" t="s">
        <v>4022</v>
      </c>
      <c r="G3258" s="4" t="str">
        <f>HYPERLINK("https://diaocthongthai.com/xa-bang-an-que-vo/","Xã Bằng An")</f>
        <v>Xã Bằng An</v>
      </c>
    </row>
    <row r="3259" spans="1:7" x14ac:dyDescent="0.25">
      <c r="A3259" s="2">
        <v>3258</v>
      </c>
      <c r="B3259" s="3" t="s">
        <v>20</v>
      </c>
      <c r="C3259" s="4" t="str">
        <f t="shared" si="279"/>
        <v>Bắc Ninh</v>
      </c>
      <c r="D3259" s="3" t="s">
        <v>257</v>
      </c>
      <c r="E3259" s="4" t="str">
        <f t="shared" si="280"/>
        <v>Huyện Quế Võ</v>
      </c>
      <c r="F3259" s="3" t="s">
        <v>4023</v>
      </c>
      <c r="G3259" s="4" t="str">
        <f>HYPERLINK("https://diaocthongthai.com/xa-phuong-lieu-que-vo/","Xã Phương Liễu")</f>
        <v>Xã Phương Liễu</v>
      </c>
    </row>
    <row r="3260" spans="1:7" x14ac:dyDescent="0.25">
      <c r="A3260" s="2">
        <v>3259</v>
      </c>
      <c r="B3260" s="3" t="s">
        <v>20</v>
      </c>
      <c r="C3260" s="4" t="str">
        <f t="shared" si="279"/>
        <v>Bắc Ninh</v>
      </c>
      <c r="D3260" s="3" t="s">
        <v>257</v>
      </c>
      <c r="E3260" s="4" t="str">
        <f t="shared" si="280"/>
        <v>Huyện Quế Võ</v>
      </c>
      <c r="F3260" s="3" t="s">
        <v>4024</v>
      </c>
      <c r="G3260" s="4" t="str">
        <f>HYPERLINK("https://diaocthongthai.com/xa-que-tan-que-vo/","Xã Quế Tân")</f>
        <v>Xã Quế Tân</v>
      </c>
    </row>
    <row r="3261" spans="1:7" x14ac:dyDescent="0.25">
      <c r="A3261" s="2">
        <v>3260</v>
      </c>
      <c r="B3261" s="3" t="s">
        <v>20</v>
      </c>
      <c r="C3261" s="4" t="str">
        <f t="shared" si="279"/>
        <v>Bắc Ninh</v>
      </c>
      <c r="D3261" s="3" t="s">
        <v>257</v>
      </c>
      <c r="E3261" s="4" t="str">
        <f t="shared" si="280"/>
        <v>Huyện Quế Võ</v>
      </c>
      <c r="F3261" s="3" t="s">
        <v>4025</v>
      </c>
      <c r="G3261" s="4" t="str">
        <f>HYPERLINK("https://diaocthongthai.com/xa-phu-luong-que-vo/","Xã Phù Lương")</f>
        <v>Xã Phù Lương</v>
      </c>
    </row>
    <row r="3262" spans="1:7" x14ac:dyDescent="0.25">
      <c r="A3262" s="2">
        <v>3261</v>
      </c>
      <c r="B3262" s="3" t="s">
        <v>20</v>
      </c>
      <c r="C3262" s="4" t="str">
        <f t="shared" si="279"/>
        <v>Bắc Ninh</v>
      </c>
      <c r="D3262" s="3" t="s">
        <v>257</v>
      </c>
      <c r="E3262" s="4" t="str">
        <f t="shared" si="280"/>
        <v>Huyện Quế Võ</v>
      </c>
      <c r="F3262" s="3" t="s">
        <v>4026</v>
      </c>
      <c r="G3262" s="4" t="str">
        <f>HYPERLINK("https://diaocthongthai.com/xa-phu-lang-que-vo/","Xã Phù Lãng")</f>
        <v>Xã Phù Lãng</v>
      </c>
    </row>
    <row r="3263" spans="1:7" x14ac:dyDescent="0.25">
      <c r="A3263" s="2">
        <v>3262</v>
      </c>
      <c r="B3263" s="3" t="s">
        <v>20</v>
      </c>
      <c r="C3263" s="4" t="str">
        <f t="shared" si="279"/>
        <v>Bắc Ninh</v>
      </c>
      <c r="D3263" s="3" t="s">
        <v>257</v>
      </c>
      <c r="E3263" s="4" t="str">
        <f t="shared" si="280"/>
        <v>Huyện Quế Võ</v>
      </c>
      <c r="F3263" s="3" t="s">
        <v>4027</v>
      </c>
      <c r="G3263" s="4" t="str">
        <f>HYPERLINK("https://diaocthongthai.com/xa-phuong-mao-que-vo/","Xã Phượng Mao")</f>
        <v>Xã Phượng Mao</v>
      </c>
    </row>
    <row r="3264" spans="1:7" x14ac:dyDescent="0.25">
      <c r="A3264" s="2">
        <v>3263</v>
      </c>
      <c r="B3264" s="3" t="s">
        <v>20</v>
      </c>
      <c r="C3264" s="4" t="str">
        <f t="shared" si="279"/>
        <v>Bắc Ninh</v>
      </c>
      <c r="D3264" s="3" t="s">
        <v>257</v>
      </c>
      <c r="E3264" s="4" t="str">
        <f t="shared" si="280"/>
        <v>Huyện Quế Võ</v>
      </c>
      <c r="F3264" s="3" t="s">
        <v>4028</v>
      </c>
      <c r="G3264" s="4" t="str">
        <f>HYPERLINK("https://diaocthongthai.com/xa-viet-hung-que-vo/","Xã Việt Hùng")</f>
        <v>Xã Việt Hùng</v>
      </c>
    </row>
    <row r="3265" spans="1:7" x14ac:dyDescent="0.25">
      <c r="A3265" s="2">
        <v>3264</v>
      </c>
      <c r="B3265" s="3" t="s">
        <v>20</v>
      </c>
      <c r="C3265" s="4" t="str">
        <f t="shared" si="279"/>
        <v>Bắc Ninh</v>
      </c>
      <c r="D3265" s="3" t="s">
        <v>257</v>
      </c>
      <c r="E3265" s="4" t="str">
        <f t="shared" si="280"/>
        <v>Huyện Quế Võ</v>
      </c>
      <c r="F3265" s="3" t="s">
        <v>4029</v>
      </c>
      <c r="G3265" s="4" t="str">
        <f>HYPERLINK("https://diaocthongthai.com/xa-ngoc-xa-que-vo/","Xã Ngọc Xá")</f>
        <v>Xã Ngọc Xá</v>
      </c>
    </row>
    <row r="3266" spans="1:7" x14ac:dyDescent="0.25">
      <c r="A3266" s="2">
        <v>3265</v>
      </c>
      <c r="B3266" s="3" t="s">
        <v>20</v>
      </c>
      <c r="C3266" s="4" t="str">
        <f t="shared" si="279"/>
        <v>Bắc Ninh</v>
      </c>
      <c r="D3266" s="3" t="s">
        <v>257</v>
      </c>
      <c r="E3266" s="4" t="str">
        <f t="shared" si="280"/>
        <v>Huyện Quế Võ</v>
      </c>
      <c r="F3266" s="3" t="s">
        <v>4030</v>
      </c>
      <c r="G3266" s="4" t="str">
        <f>HYPERLINK("https://diaocthongthai.com/xa-chau-phong-que-vo/","Xã Châu Phong")</f>
        <v>Xã Châu Phong</v>
      </c>
    </row>
    <row r="3267" spans="1:7" x14ac:dyDescent="0.25">
      <c r="A3267" s="2">
        <v>3266</v>
      </c>
      <c r="B3267" s="3" t="s">
        <v>20</v>
      </c>
      <c r="C3267" s="4" t="str">
        <f t="shared" si="279"/>
        <v>Bắc Ninh</v>
      </c>
      <c r="D3267" s="3" t="s">
        <v>257</v>
      </c>
      <c r="E3267" s="4" t="str">
        <f t="shared" si="280"/>
        <v>Huyện Quế Võ</v>
      </c>
      <c r="F3267" s="3" t="s">
        <v>4031</v>
      </c>
      <c r="G3267" s="4" t="str">
        <f>HYPERLINK("https://diaocthongthai.com/xa-bong-lai-que-vo/","Xã Bồng Lai")</f>
        <v>Xã Bồng Lai</v>
      </c>
    </row>
    <row r="3268" spans="1:7" x14ac:dyDescent="0.25">
      <c r="A3268" s="2">
        <v>3267</v>
      </c>
      <c r="B3268" s="3" t="s">
        <v>20</v>
      </c>
      <c r="C3268" s="4" t="str">
        <f t="shared" si="279"/>
        <v>Bắc Ninh</v>
      </c>
      <c r="D3268" s="3" t="s">
        <v>257</v>
      </c>
      <c r="E3268" s="4" t="str">
        <f t="shared" si="280"/>
        <v>Huyện Quế Võ</v>
      </c>
      <c r="F3268" s="3" t="s">
        <v>4032</v>
      </c>
      <c r="G3268" s="4" t="str">
        <f>HYPERLINK("https://diaocthongthai.com/xa-cach-bi-que-vo/","Xã Cách Bi")</f>
        <v>Xã Cách Bi</v>
      </c>
    </row>
    <row r="3269" spans="1:7" x14ac:dyDescent="0.25">
      <c r="A3269" s="2">
        <v>3268</v>
      </c>
      <c r="B3269" s="3" t="s">
        <v>20</v>
      </c>
      <c r="C3269" s="4" t="str">
        <f t="shared" si="279"/>
        <v>Bắc Ninh</v>
      </c>
      <c r="D3269" s="3" t="s">
        <v>257</v>
      </c>
      <c r="E3269" s="4" t="str">
        <f t="shared" si="280"/>
        <v>Huyện Quế Võ</v>
      </c>
      <c r="F3269" s="3" t="s">
        <v>4033</v>
      </c>
      <c r="G3269" s="4" t="str">
        <f>HYPERLINK("https://diaocthongthai.com/xa-dao-vien-que-vo/","Xã Đào Viên")</f>
        <v>Xã Đào Viên</v>
      </c>
    </row>
    <row r="3270" spans="1:7" x14ac:dyDescent="0.25">
      <c r="A3270" s="2">
        <v>3269</v>
      </c>
      <c r="B3270" s="3" t="s">
        <v>20</v>
      </c>
      <c r="C3270" s="4" t="str">
        <f t="shared" si="279"/>
        <v>Bắc Ninh</v>
      </c>
      <c r="D3270" s="3" t="s">
        <v>257</v>
      </c>
      <c r="E3270" s="4" t="str">
        <f t="shared" si="280"/>
        <v>Huyện Quế Võ</v>
      </c>
      <c r="F3270" s="3" t="s">
        <v>4034</v>
      </c>
      <c r="G3270" s="4" t="str">
        <f>HYPERLINK("https://diaocthongthai.com/xa-yen-gia-que-vo/","Xã Yên Giả")</f>
        <v>Xã Yên Giả</v>
      </c>
    </row>
    <row r="3271" spans="1:7" x14ac:dyDescent="0.25">
      <c r="A3271" s="2">
        <v>3270</v>
      </c>
      <c r="B3271" s="3" t="s">
        <v>20</v>
      </c>
      <c r="C3271" s="4" t="str">
        <f t="shared" si="279"/>
        <v>Bắc Ninh</v>
      </c>
      <c r="D3271" s="3" t="s">
        <v>257</v>
      </c>
      <c r="E3271" s="4" t="str">
        <f t="shared" si="280"/>
        <v>Huyện Quế Võ</v>
      </c>
      <c r="F3271" s="3" t="s">
        <v>4035</v>
      </c>
      <c r="G3271" s="4" t="str">
        <f>HYPERLINK("https://diaocthongthai.com/xa-mo-dao-que-vo/","Xã Mộ Đạo")</f>
        <v>Xã Mộ Đạo</v>
      </c>
    </row>
    <row r="3272" spans="1:7" x14ac:dyDescent="0.25">
      <c r="A3272" s="2">
        <v>3271</v>
      </c>
      <c r="B3272" s="3" t="s">
        <v>20</v>
      </c>
      <c r="C3272" s="4" t="str">
        <f t="shared" si="279"/>
        <v>Bắc Ninh</v>
      </c>
      <c r="D3272" s="3" t="s">
        <v>257</v>
      </c>
      <c r="E3272" s="4" t="str">
        <f t="shared" si="280"/>
        <v>Huyện Quế Võ</v>
      </c>
      <c r="F3272" s="3" t="s">
        <v>4036</v>
      </c>
      <c r="G3272" s="4" t="str">
        <f>HYPERLINK("https://diaocthongthai.com/xa-duc-long-que-vo/","Xã Đức Long")</f>
        <v>Xã Đức Long</v>
      </c>
    </row>
    <row r="3273" spans="1:7" x14ac:dyDescent="0.25">
      <c r="A3273" s="2">
        <v>3272</v>
      </c>
      <c r="B3273" s="3" t="s">
        <v>20</v>
      </c>
      <c r="C3273" s="4" t="str">
        <f t="shared" si="279"/>
        <v>Bắc Ninh</v>
      </c>
      <c r="D3273" s="3" t="s">
        <v>257</v>
      </c>
      <c r="E3273" s="4" t="str">
        <f t="shared" si="280"/>
        <v>Huyện Quế Võ</v>
      </c>
      <c r="F3273" s="3" t="s">
        <v>4037</v>
      </c>
      <c r="G3273" s="4" t="str">
        <f>HYPERLINK("https://diaocthongthai.com/xa-chi-lang-que-vo/","Xã Chi Lăng")</f>
        <v>Xã Chi Lăng</v>
      </c>
    </row>
    <row r="3274" spans="1:7" x14ac:dyDescent="0.25">
      <c r="A3274" s="2">
        <v>3273</v>
      </c>
      <c r="B3274" s="3" t="s">
        <v>20</v>
      </c>
      <c r="C3274" s="4" t="str">
        <f t="shared" si="279"/>
        <v>Bắc Ninh</v>
      </c>
      <c r="D3274" s="3" t="s">
        <v>257</v>
      </c>
      <c r="E3274" s="4" t="str">
        <f t="shared" si="280"/>
        <v>Huyện Quế Võ</v>
      </c>
      <c r="F3274" s="3" t="s">
        <v>4038</v>
      </c>
      <c r="G3274" s="4" t="str">
        <f>HYPERLINK("https://diaocthongthai.com/xa-han-quang-que-vo/","Xã Hán Quảng")</f>
        <v>Xã Hán Quảng</v>
      </c>
    </row>
    <row r="3275" spans="1:7" x14ac:dyDescent="0.25">
      <c r="A3275" s="2">
        <v>3274</v>
      </c>
      <c r="B3275" s="3" t="s">
        <v>20</v>
      </c>
      <c r="C3275" s="4" t="str">
        <f t="shared" si="279"/>
        <v>Bắc Ninh</v>
      </c>
      <c r="D3275" s="3" t="s">
        <v>258</v>
      </c>
      <c r="E3275" s="4" t="str">
        <f t="shared" ref="E3275:E3288" si="281">HYPERLINK("https://diaocthongthai.com/ban-do-huyen-tien-du-bac-ninh/","Huyện Tiên Du")</f>
        <v>Huyện Tiên Du</v>
      </c>
      <c r="F3275" s="3" t="s">
        <v>4039</v>
      </c>
      <c r="G3275" s="4" t="str">
        <f>HYPERLINK("https://diaocthongthai.com/thi-tran-lim-tien-du/","Thị trấn Lim")</f>
        <v>Thị trấn Lim</v>
      </c>
    </row>
    <row r="3276" spans="1:7" x14ac:dyDescent="0.25">
      <c r="A3276" s="2">
        <v>3275</v>
      </c>
      <c r="B3276" s="3" t="s">
        <v>20</v>
      </c>
      <c r="C3276" s="4" t="str">
        <f t="shared" si="279"/>
        <v>Bắc Ninh</v>
      </c>
      <c r="D3276" s="3" t="s">
        <v>258</v>
      </c>
      <c r="E3276" s="4" t="str">
        <f t="shared" si="281"/>
        <v>Huyện Tiên Du</v>
      </c>
      <c r="F3276" s="3" t="s">
        <v>4040</v>
      </c>
      <c r="G3276" s="4" t="str">
        <f>HYPERLINK("https://diaocthongthai.com/xa-phu-lam-tien-du/","Xã Phú Lâm")</f>
        <v>Xã Phú Lâm</v>
      </c>
    </row>
    <row r="3277" spans="1:7" x14ac:dyDescent="0.25">
      <c r="A3277" s="2">
        <v>3276</v>
      </c>
      <c r="B3277" s="3" t="s">
        <v>20</v>
      </c>
      <c r="C3277" s="4" t="str">
        <f t="shared" si="279"/>
        <v>Bắc Ninh</v>
      </c>
      <c r="D3277" s="3" t="s">
        <v>258</v>
      </c>
      <c r="E3277" s="4" t="str">
        <f t="shared" si="281"/>
        <v>Huyện Tiên Du</v>
      </c>
      <c r="F3277" s="3" t="s">
        <v>4041</v>
      </c>
      <c r="G3277" s="4" t="str">
        <f>HYPERLINK("https://diaocthongthai.com/xa-noi-due-tien-du/","Xã Nội Duệ")</f>
        <v>Xã Nội Duệ</v>
      </c>
    </row>
    <row r="3278" spans="1:7" x14ac:dyDescent="0.25">
      <c r="A3278" s="2">
        <v>3277</v>
      </c>
      <c r="B3278" s="3" t="s">
        <v>20</v>
      </c>
      <c r="C3278" s="4" t="str">
        <f t="shared" si="279"/>
        <v>Bắc Ninh</v>
      </c>
      <c r="D3278" s="3" t="s">
        <v>258</v>
      </c>
      <c r="E3278" s="4" t="str">
        <f t="shared" si="281"/>
        <v>Huyện Tiên Du</v>
      </c>
      <c r="F3278" s="3" t="s">
        <v>4042</v>
      </c>
      <c r="G3278" s="4" t="str">
        <f>HYPERLINK("https://diaocthongthai.com/xa-lien-bao-tien-du/","Xã Liên Bão")</f>
        <v>Xã Liên Bão</v>
      </c>
    </row>
    <row r="3279" spans="1:7" x14ac:dyDescent="0.25">
      <c r="A3279" s="2">
        <v>3278</v>
      </c>
      <c r="B3279" s="3" t="s">
        <v>20</v>
      </c>
      <c r="C3279" s="4" t="str">
        <f t="shared" si="279"/>
        <v>Bắc Ninh</v>
      </c>
      <c r="D3279" s="3" t="s">
        <v>258</v>
      </c>
      <c r="E3279" s="4" t="str">
        <f t="shared" si="281"/>
        <v>Huyện Tiên Du</v>
      </c>
      <c r="F3279" s="3" t="s">
        <v>4043</v>
      </c>
      <c r="G3279" s="4" t="str">
        <f>HYPERLINK("https://diaocthongthai.com/xa-hien-van-tien-du/","Xã Hiên Vân")</f>
        <v>Xã Hiên Vân</v>
      </c>
    </row>
    <row r="3280" spans="1:7" x14ac:dyDescent="0.25">
      <c r="A3280" s="2">
        <v>3279</v>
      </c>
      <c r="B3280" s="3" t="s">
        <v>20</v>
      </c>
      <c r="C3280" s="4" t="str">
        <f t="shared" si="279"/>
        <v>Bắc Ninh</v>
      </c>
      <c r="D3280" s="3" t="s">
        <v>258</v>
      </c>
      <c r="E3280" s="4" t="str">
        <f t="shared" si="281"/>
        <v>Huyện Tiên Du</v>
      </c>
      <c r="F3280" s="3" t="s">
        <v>4044</v>
      </c>
      <c r="G3280" s="4" t="str">
        <f>HYPERLINK("https://diaocthongthai.com/xa-hoan-son-tien-du/","Xã Hoàn Sơn")</f>
        <v>Xã Hoàn Sơn</v>
      </c>
    </row>
    <row r="3281" spans="1:7" x14ac:dyDescent="0.25">
      <c r="A3281" s="2">
        <v>3280</v>
      </c>
      <c r="B3281" s="3" t="s">
        <v>20</v>
      </c>
      <c r="C3281" s="4" t="str">
        <f t="shared" si="279"/>
        <v>Bắc Ninh</v>
      </c>
      <c r="D3281" s="3" t="s">
        <v>258</v>
      </c>
      <c r="E3281" s="4" t="str">
        <f t="shared" si="281"/>
        <v>Huyện Tiên Du</v>
      </c>
      <c r="F3281" s="3" t="s">
        <v>4045</v>
      </c>
      <c r="G3281" s="4" t="str">
        <f>HYPERLINK("https://diaocthongthai.com/xa-lac-ve-tien-du/","Xã Lạc Vệ")</f>
        <v>Xã Lạc Vệ</v>
      </c>
    </row>
    <row r="3282" spans="1:7" x14ac:dyDescent="0.25">
      <c r="A3282" s="2">
        <v>3281</v>
      </c>
      <c r="B3282" s="3" t="s">
        <v>20</v>
      </c>
      <c r="C3282" s="4" t="str">
        <f t="shared" si="279"/>
        <v>Bắc Ninh</v>
      </c>
      <c r="D3282" s="3" t="s">
        <v>258</v>
      </c>
      <c r="E3282" s="4" t="str">
        <f t="shared" si="281"/>
        <v>Huyện Tiên Du</v>
      </c>
      <c r="F3282" s="3" t="s">
        <v>4046</v>
      </c>
      <c r="G3282" s="4" t="str">
        <f>HYPERLINK("https://diaocthongthai.com/xa-viet-doan-tien-du/","Xã Việt Đoàn")</f>
        <v>Xã Việt Đoàn</v>
      </c>
    </row>
    <row r="3283" spans="1:7" x14ac:dyDescent="0.25">
      <c r="A3283" s="2">
        <v>3282</v>
      </c>
      <c r="B3283" s="3" t="s">
        <v>20</v>
      </c>
      <c r="C3283" s="4" t="str">
        <f t="shared" si="279"/>
        <v>Bắc Ninh</v>
      </c>
      <c r="D3283" s="3" t="s">
        <v>258</v>
      </c>
      <c r="E3283" s="4" t="str">
        <f t="shared" si="281"/>
        <v>Huyện Tiên Du</v>
      </c>
      <c r="F3283" s="3" t="s">
        <v>4047</v>
      </c>
      <c r="G3283" s="4" t="str">
        <f>HYPERLINK("https://diaocthongthai.com/xa-phat-tich-tien-du/","Xã Phật Tích")</f>
        <v>Xã Phật Tích</v>
      </c>
    </row>
    <row r="3284" spans="1:7" x14ac:dyDescent="0.25">
      <c r="A3284" s="2">
        <v>3283</v>
      </c>
      <c r="B3284" s="3" t="s">
        <v>20</v>
      </c>
      <c r="C3284" s="4" t="str">
        <f t="shared" si="279"/>
        <v>Bắc Ninh</v>
      </c>
      <c r="D3284" s="3" t="s">
        <v>258</v>
      </c>
      <c r="E3284" s="4" t="str">
        <f t="shared" si="281"/>
        <v>Huyện Tiên Du</v>
      </c>
      <c r="F3284" s="3" t="s">
        <v>4048</v>
      </c>
      <c r="G3284" s="4" t="str">
        <f>HYPERLINK("https://diaocthongthai.com/xa-tan-chi-tien-du/","Xã Tân Chi")</f>
        <v>Xã Tân Chi</v>
      </c>
    </row>
    <row r="3285" spans="1:7" x14ac:dyDescent="0.25">
      <c r="A3285" s="2">
        <v>3284</v>
      </c>
      <c r="B3285" s="3" t="s">
        <v>20</v>
      </c>
      <c r="C3285" s="4" t="str">
        <f t="shared" ref="C3285:C3316" si="282">HYPERLINK("https://diaocthongthai.com/ban-do-bac-ninh/","Bắc Ninh")</f>
        <v>Bắc Ninh</v>
      </c>
      <c r="D3285" s="3" t="s">
        <v>258</v>
      </c>
      <c r="E3285" s="4" t="str">
        <f t="shared" si="281"/>
        <v>Huyện Tiên Du</v>
      </c>
      <c r="F3285" s="3" t="s">
        <v>4049</v>
      </c>
      <c r="G3285" s="4" t="str">
        <f>HYPERLINK("https://diaocthongthai.com/xa-dai-dong-tien-du/","Xã Đại Đồng")</f>
        <v>Xã Đại Đồng</v>
      </c>
    </row>
    <row r="3286" spans="1:7" x14ac:dyDescent="0.25">
      <c r="A3286" s="2">
        <v>3285</v>
      </c>
      <c r="B3286" s="3" t="s">
        <v>20</v>
      </c>
      <c r="C3286" s="4" t="str">
        <f t="shared" si="282"/>
        <v>Bắc Ninh</v>
      </c>
      <c r="D3286" s="3" t="s">
        <v>258</v>
      </c>
      <c r="E3286" s="4" t="str">
        <f t="shared" si="281"/>
        <v>Huyện Tiên Du</v>
      </c>
      <c r="F3286" s="3" t="s">
        <v>4050</v>
      </c>
      <c r="G3286" s="4" t="str">
        <f>HYPERLINK("https://diaocthongthai.com/xa-tri-phuong-tien-du/","Xã Tri Phương")</f>
        <v>Xã Tri Phương</v>
      </c>
    </row>
    <row r="3287" spans="1:7" x14ac:dyDescent="0.25">
      <c r="A3287" s="2">
        <v>3286</v>
      </c>
      <c r="B3287" s="3" t="s">
        <v>20</v>
      </c>
      <c r="C3287" s="4" t="str">
        <f t="shared" si="282"/>
        <v>Bắc Ninh</v>
      </c>
      <c r="D3287" s="3" t="s">
        <v>258</v>
      </c>
      <c r="E3287" s="4" t="str">
        <f t="shared" si="281"/>
        <v>Huyện Tiên Du</v>
      </c>
      <c r="F3287" s="3" t="s">
        <v>4051</v>
      </c>
      <c r="G3287" s="4" t="str">
        <f>HYPERLINK("https://diaocthongthai.com/xa-minh-dao-tien-du/","Xã Minh Đạo")</f>
        <v>Xã Minh Đạo</v>
      </c>
    </row>
    <row r="3288" spans="1:7" x14ac:dyDescent="0.25">
      <c r="A3288" s="2">
        <v>3287</v>
      </c>
      <c r="B3288" s="3" t="s">
        <v>20</v>
      </c>
      <c r="C3288" s="4" t="str">
        <f t="shared" si="282"/>
        <v>Bắc Ninh</v>
      </c>
      <c r="D3288" s="3" t="s">
        <v>258</v>
      </c>
      <c r="E3288" s="4" t="str">
        <f t="shared" si="281"/>
        <v>Huyện Tiên Du</v>
      </c>
      <c r="F3288" s="3" t="s">
        <v>4052</v>
      </c>
      <c r="G3288" s="4" t="str">
        <f>HYPERLINK("https://diaocthongthai.com/xa-canh-hung-tien-du/","Xã Cảnh Hưng")</f>
        <v>Xã Cảnh Hưng</v>
      </c>
    </row>
    <row r="3289" spans="1:7" x14ac:dyDescent="0.25">
      <c r="A3289" s="2">
        <v>3288</v>
      </c>
      <c r="B3289" s="3" t="s">
        <v>20</v>
      </c>
      <c r="C3289" s="4" t="str">
        <f t="shared" si="282"/>
        <v>Bắc Ninh</v>
      </c>
      <c r="D3289" s="3" t="s">
        <v>259</v>
      </c>
      <c r="E3289" s="4" t="str">
        <f t="shared" ref="E3289:E3300" si="283">HYPERLINK("https://diaocthongthai.com/ban-do-thi-xa-tu-son-bac-ninh/","Thành phố Từ Sơn")</f>
        <v>Thành phố Từ Sơn</v>
      </c>
      <c r="F3289" s="3" t="s">
        <v>4053</v>
      </c>
      <c r="G3289" s="4" t="str">
        <f>HYPERLINK("https://diaocthongthai.com/phuong-dong-ngan-tu-son/","Phường Đông Ngàn")</f>
        <v>Phường Đông Ngàn</v>
      </c>
    </row>
    <row r="3290" spans="1:7" x14ac:dyDescent="0.25">
      <c r="A3290" s="2">
        <v>3289</v>
      </c>
      <c r="B3290" s="3" t="s">
        <v>20</v>
      </c>
      <c r="C3290" s="4" t="str">
        <f t="shared" si="282"/>
        <v>Bắc Ninh</v>
      </c>
      <c r="D3290" s="3" t="s">
        <v>259</v>
      </c>
      <c r="E3290" s="4" t="str">
        <f t="shared" si="283"/>
        <v>Thành phố Từ Sơn</v>
      </c>
      <c r="F3290" s="3" t="s">
        <v>4054</v>
      </c>
      <c r="G3290" s="4" t="str">
        <f>HYPERLINK("https://diaocthongthai.com/phuong-tam-son-tu-son/","Phường Tam Sơn")</f>
        <v>Phường Tam Sơn</v>
      </c>
    </row>
    <row r="3291" spans="1:7" x14ac:dyDescent="0.25">
      <c r="A3291" s="2">
        <v>3290</v>
      </c>
      <c r="B3291" s="3" t="s">
        <v>20</v>
      </c>
      <c r="C3291" s="4" t="str">
        <f t="shared" si="282"/>
        <v>Bắc Ninh</v>
      </c>
      <c r="D3291" s="3" t="s">
        <v>259</v>
      </c>
      <c r="E3291" s="4" t="str">
        <f t="shared" si="283"/>
        <v>Thành phố Từ Sơn</v>
      </c>
      <c r="F3291" s="3" t="s">
        <v>4055</v>
      </c>
      <c r="G3291" s="4" t="str">
        <f>HYPERLINK("https://diaocthongthai.com/phuong-huong-mac-tu-son/","Phường Hương Mạc")</f>
        <v>Phường Hương Mạc</v>
      </c>
    </row>
    <row r="3292" spans="1:7" x14ac:dyDescent="0.25">
      <c r="A3292" s="2">
        <v>3291</v>
      </c>
      <c r="B3292" s="3" t="s">
        <v>20</v>
      </c>
      <c r="C3292" s="4" t="str">
        <f t="shared" si="282"/>
        <v>Bắc Ninh</v>
      </c>
      <c r="D3292" s="3" t="s">
        <v>259</v>
      </c>
      <c r="E3292" s="4" t="str">
        <f t="shared" si="283"/>
        <v>Thành phố Từ Sơn</v>
      </c>
      <c r="F3292" s="3" t="s">
        <v>4056</v>
      </c>
      <c r="G3292" s="4" t="str">
        <f>HYPERLINK("https://diaocthongthai.com/phuong-tuong-giang-tu-son/","Phường Tương Giang")</f>
        <v>Phường Tương Giang</v>
      </c>
    </row>
    <row r="3293" spans="1:7" x14ac:dyDescent="0.25">
      <c r="A3293" s="2">
        <v>3292</v>
      </c>
      <c r="B3293" s="3" t="s">
        <v>20</v>
      </c>
      <c r="C3293" s="4" t="str">
        <f t="shared" si="282"/>
        <v>Bắc Ninh</v>
      </c>
      <c r="D3293" s="3" t="s">
        <v>259</v>
      </c>
      <c r="E3293" s="4" t="str">
        <f t="shared" si="283"/>
        <v>Thành phố Từ Sơn</v>
      </c>
      <c r="F3293" s="3" t="s">
        <v>4057</v>
      </c>
      <c r="G3293" s="4" t="str">
        <f>HYPERLINK("https://diaocthongthai.com/phuong-phu-khe-tu-son/","Phường Phù Khê")</f>
        <v>Phường Phù Khê</v>
      </c>
    </row>
    <row r="3294" spans="1:7" x14ac:dyDescent="0.25">
      <c r="A3294" s="2">
        <v>3293</v>
      </c>
      <c r="B3294" s="3" t="s">
        <v>20</v>
      </c>
      <c r="C3294" s="4" t="str">
        <f t="shared" si="282"/>
        <v>Bắc Ninh</v>
      </c>
      <c r="D3294" s="3" t="s">
        <v>259</v>
      </c>
      <c r="E3294" s="4" t="str">
        <f t="shared" si="283"/>
        <v>Thành phố Từ Sơn</v>
      </c>
      <c r="F3294" s="3" t="s">
        <v>4058</v>
      </c>
      <c r="G3294" s="4" t="str">
        <f>HYPERLINK("https://diaocthongthai.com/phuong-dong-ky-tu-son/","Phường Đồng Kỵ")</f>
        <v>Phường Đồng Kỵ</v>
      </c>
    </row>
    <row r="3295" spans="1:7" x14ac:dyDescent="0.25">
      <c r="A3295" s="2">
        <v>3294</v>
      </c>
      <c r="B3295" s="3" t="s">
        <v>20</v>
      </c>
      <c r="C3295" s="4" t="str">
        <f t="shared" si="282"/>
        <v>Bắc Ninh</v>
      </c>
      <c r="D3295" s="3" t="s">
        <v>259</v>
      </c>
      <c r="E3295" s="4" t="str">
        <f t="shared" si="283"/>
        <v>Thành phố Từ Sơn</v>
      </c>
      <c r="F3295" s="3" t="s">
        <v>4059</v>
      </c>
      <c r="G3295" s="4" t="str">
        <f>HYPERLINK("https://diaocthongthai.com/phuong-trang-ha-tu-son/","Phường Trang Hạ")</f>
        <v>Phường Trang Hạ</v>
      </c>
    </row>
    <row r="3296" spans="1:7" x14ac:dyDescent="0.25">
      <c r="A3296" s="2">
        <v>3295</v>
      </c>
      <c r="B3296" s="3" t="s">
        <v>20</v>
      </c>
      <c r="C3296" s="4" t="str">
        <f t="shared" si="282"/>
        <v>Bắc Ninh</v>
      </c>
      <c r="D3296" s="3" t="s">
        <v>259</v>
      </c>
      <c r="E3296" s="4" t="str">
        <f t="shared" si="283"/>
        <v>Thành phố Từ Sơn</v>
      </c>
      <c r="F3296" s="3" t="s">
        <v>4060</v>
      </c>
      <c r="G3296" s="4" t="str">
        <f>HYPERLINK("https://diaocthongthai.com/phuong-dong-nguyen-tu-son/","Phường Đồng Nguyên")</f>
        <v>Phường Đồng Nguyên</v>
      </c>
    </row>
    <row r="3297" spans="1:7" x14ac:dyDescent="0.25">
      <c r="A3297" s="2">
        <v>3296</v>
      </c>
      <c r="B3297" s="3" t="s">
        <v>20</v>
      </c>
      <c r="C3297" s="4" t="str">
        <f t="shared" si="282"/>
        <v>Bắc Ninh</v>
      </c>
      <c r="D3297" s="3" t="s">
        <v>259</v>
      </c>
      <c r="E3297" s="4" t="str">
        <f t="shared" si="283"/>
        <v>Thành phố Từ Sơn</v>
      </c>
      <c r="F3297" s="3" t="s">
        <v>4061</v>
      </c>
      <c r="G3297" s="4" t="str">
        <f>HYPERLINK("https://diaocthongthai.com/phuong-chau-khe-tu-son/","Phường Châu Khê")</f>
        <v>Phường Châu Khê</v>
      </c>
    </row>
    <row r="3298" spans="1:7" x14ac:dyDescent="0.25">
      <c r="A3298" s="2">
        <v>3297</v>
      </c>
      <c r="B3298" s="3" t="s">
        <v>20</v>
      </c>
      <c r="C3298" s="4" t="str">
        <f t="shared" si="282"/>
        <v>Bắc Ninh</v>
      </c>
      <c r="D3298" s="3" t="s">
        <v>259</v>
      </c>
      <c r="E3298" s="4" t="str">
        <f t="shared" si="283"/>
        <v>Thành phố Từ Sơn</v>
      </c>
      <c r="F3298" s="3" t="s">
        <v>4062</v>
      </c>
      <c r="G3298" s="4" t="str">
        <f>HYPERLINK("https://diaocthongthai.com/phuong-tan-hong-tu-son/","Phường Tân Hồng")</f>
        <v>Phường Tân Hồng</v>
      </c>
    </row>
    <row r="3299" spans="1:7" x14ac:dyDescent="0.25">
      <c r="A3299" s="2">
        <v>3298</v>
      </c>
      <c r="B3299" s="3" t="s">
        <v>20</v>
      </c>
      <c r="C3299" s="4" t="str">
        <f t="shared" si="282"/>
        <v>Bắc Ninh</v>
      </c>
      <c r="D3299" s="3" t="s">
        <v>259</v>
      </c>
      <c r="E3299" s="4" t="str">
        <f t="shared" si="283"/>
        <v>Thành phố Từ Sơn</v>
      </c>
      <c r="F3299" s="3" t="s">
        <v>4063</v>
      </c>
      <c r="G3299" s="4" t="str">
        <f>HYPERLINK("https://diaocthongthai.com/phuong-dinh-bang-tu-son/","Phường Đình Bảng")</f>
        <v>Phường Đình Bảng</v>
      </c>
    </row>
    <row r="3300" spans="1:7" x14ac:dyDescent="0.25">
      <c r="A3300" s="2">
        <v>3299</v>
      </c>
      <c r="B3300" s="3" t="s">
        <v>20</v>
      </c>
      <c r="C3300" s="4" t="str">
        <f t="shared" si="282"/>
        <v>Bắc Ninh</v>
      </c>
      <c r="D3300" s="3" t="s">
        <v>259</v>
      </c>
      <c r="E3300" s="4" t="str">
        <f t="shared" si="283"/>
        <v>Thành phố Từ Sơn</v>
      </c>
      <c r="F3300" s="3" t="s">
        <v>4064</v>
      </c>
      <c r="G3300" s="4" t="str">
        <f>HYPERLINK("https://diaocthongthai.com/phuong-phu-chan-tu-son/","Phường Phù Chẩn")</f>
        <v>Phường Phù Chẩn</v>
      </c>
    </row>
    <row r="3301" spans="1:7" x14ac:dyDescent="0.25">
      <c r="A3301" s="2">
        <v>3300</v>
      </c>
      <c r="B3301" s="3" t="s">
        <v>20</v>
      </c>
      <c r="C3301" s="4" t="str">
        <f t="shared" si="282"/>
        <v>Bắc Ninh</v>
      </c>
      <c r="D3301" s="3" t="s">
        <v>260</v>
      </c>
      <c r="E3301" s="4" t="str">
        <f t="shared" ref="E3301:E3318" si="284">HYPERLINK("https://diaocthongthai.com/ban-do-huyen-thuan-thanh-bac-ninh/","Huyện Thuận Thành")</f>
        <v>Huyện Thuận Thành</v>
      </c>
      <c r="F3301" s="3" t="s">
        <v>4065</v>
      </c>
      <c r="G3301" s="4" t="str">
        <f>HYPERLINK("https://diaocthongthai.com/thi-tran-ho-thuan-thanh/","Thị trấn Hồ")</f>
        <v>Thị trấn Hồ</v>
      </c>
    </row>
    <row r="3302" spans="1:7" x14ac:dyDescent="0.25">
      <c r="A3302" s="2">
        <v>3301</v>
      </c>
      <c r="B3302" s="3" t="s">
        <v>20</v>
      </c>
      <c r="C3302" s="4" t="str">
        <f t="shared" si="282"/>
        <v>Bắc Ninh</v>
      </c>
      <c r="D3302" s="3" t="s">
        <v>260</v>
      </c>
      <c r="E3302" s="4" t="str">
        <f t="shared" si="284"/>
        <v>Huyện Thuận Thành</v>
      </c>
      <c r="F3302" s="3" t="s">
        <v>4066</v>
      </c>
      <c r="G3302" s="4" t="str">
        <f>HYPERLINK("https://diaocthongthai.com/xa-hoai-thuong-thuan-thanh/","Xã Hoài Thượng")</f>
        <v>Xã Hoài Thượng</v>
      </c>
    </row>
    <row r="3303" spans="1:7" x14ac:dyDescent="0.25">
      <c r="A3303" s="2">
        <v>3302</v>
      </c>
      <c r="B3303" s="3" t="s">
        <v>20</v>
      </c>
      <c r="C3303" s="4" t="str">
        <f t="shared" si="282"/>
        <v>Bắc Ninh</v>
      </c>
      <c r="D3303" s="3" t="s">
        <v>260</v>
      </c>
      <c r="E3303" s="4" t="str">
        <f t="shared" si="284"/>
        <v>Huyện Thuận Thành</v>
      </c>
      <c r="F3303" s="3" t="s">
        <v>4067</v>
      </c>
      <c r="G3303" s="4" t="str">
        <f>HYPERLINK("https://diaocthongthai.com/xa-dai-dong-thanh-thuan-thanh/","Xã Đại Đồng Thành")</f>
        <v>Xã Đại Đồng Thành</v>
      </c>
    </row>
    <row r="3304" spans="1:7" x14ac:dyDescent="0.25">
      <c r="A3304" s="2">
        <v>3303</v>
      </c>
      <c r="B3304" s="3" t="s">
        <v>20</v>
      </c>
      <c r="C3304" s="4" t="str">
        <f t="shared" si="282"/>
        <v>Bắc Ninh</v>
      </c>
      <c r="D3304" s="3" t="s">
        <v>260</v>
      </c>
      <c r="E3304" s="4" t="str">
        <f t="shared" si="284"/>
        <v>Huyện Thuận Thành</v>
      </c>
      <c r="F3304" s="3" t="s">
        <v>4068</v>
      </c>
      <c r="G3304" s="4" t="str">
        <f>HYPERLINK("https://diaocthongthai.com/xa-mao-dien-thuan-thanh/","Xã Mão Điền")</f>
        <v>Xã Mão Điền</v>
      </c>
    </row>
    <row r="3305" spans="1:7" x14ac:dyDescent="0.25">
      <c r="A3305" s="2">
        <v>3304</v>
      </c>
      <c r="B3305" s="3" t="s">
        <v>20</v>
      </c>
      <c r="C3305" s="4" t="str">
        <f t="shared" si="282"/>
        <v>Bắc Ninh</v>
      </c>
      <c r="D3305" s="3" t="s">
        <v>260</v>
      </c>
      <c r="E3305" s="4" t="str">
        <f t="shared" si="284"/>
        <v>Huyện Thuận Thành</v>
      </c>
      <c r="F3305" s="3" t="s">
        <v>4069</v>
      </c>
      <c r="G3305" s="4" t="str">
        <f>HYPERLINK("https://diaocthongthai.com/xa-song-ho-thuan-thanh/","Xã Song Hồ")</f>
        <v>Xã Song Hồ</v>
      </c>
    </row>
    <row r="3306" spans="1:7" x14ac:dyDescent="0.25">
      <c r="A3306" s="2">
        <v>3305</v>
      </c>
      <c r="B3306" s="3" t="s">
        <v>20</v>
      </c>
      <c r="C3306" s="4" t="str">
        <f t="shared" si="282"/>
        <v>Bắc Ninh</v>
      </c>
      <c r="D3306" s="3" t="s">
        <v>260</v>
      </c>
      <c r="E3306" s="4" t="str">
        <f t="shared" si="284"/>
        <v>Huyện Thuận Thành</v>
      </c>
      <c r="F3306" s="3" t="s">
        <v>4070</v>
      </c>
      <c r="G3306" s="4" t="str">
        <f>HYPERLINK("https://diaocthongthai.com/xa-dinh-to-thuan-thanh/","Xã Đình Tổ")</f>
        <v>Xã Đình Tổ</v>
      </c>
    </row>
    <row r="3307" spans="1:7" x14ac:dyDescent="0.25">
      <c r="A3307" s="2">
        <v>3306</v>
      </c>
      <c r="B3307" s="3" t="s">
        <v>20</v>
      </c>
      <c r="C3307" s="4" t="str">
        <f t="shared" si="282"/>
        <v>Bắc Ninh</v>
      </c>
      <c r="D3307" s="3" t="s">
        <v>260</v>
      </c>
      <c r="E3307" s="4" t="str">
        <f t="shared" si="284"/>
        <v>Huyện Thuận Thành</v>
      </c>
      <c r="F3307" s="3" t="s">
        <v>4071</v>
      </c>
      <c r="G3307" s="4" t="str">
        <f>HYPERLINK("https://diaocthongthai.com/xa-an-binh-thuan-thanh/","Xã An Bình")</f>
        <v>Xã An Bình</v>
      </c>
    </row>
    <row r="3308" spans="1:7" x14ac:dyDescent="0.25">
      <c r="A3308" s="2">
        <v>3307</v>
      </c>
      <c r="B3308" s="3" t="s">
        <v>20</v>
      </c>
      <c r="C3308" s="4" t="str">
        <f t="shared" si="282"/>
        <v>Bắc Ninh</v>
      </c>
      <c r="D3308" s="3" t="s">
        <v>260</v>
      </c>
      <c r="E3308" s="4" t="str">
        <f t="shared" si="284"/>
        <v>Huyện Thuận Thành</v>
      </c>
      <c r="F3308" s="3" t="s">
        <v>4072</v>
      </c>
      <c r="G3308" s="4" t="str">
        <f>HYPERLINK("https://diaocthongthai.com/xa-tri-qua-thuan-thanh/","Xã Trí Quả")</f>
        <v>Xã Trí Quả</v>
      </c>
    </row>
    <row r="3309" spans="1:7" x14ac:dyDescent="0.25">
      <c r="A3309" s="2">
        <v>3308</v>
      </c>
      <c r="B3309" s="3" t="s">
        <v>20</v>
      </c>
      <c r="C3309" s="4" t="str">
        <f t="shared" si="282"/>
        <v>Bắc Ninh</v>
      </c>
      <c r="D3309" s="3" t="s">
        <v>260</v>
      </c>
      <c r="E3309" s="4" t="str">
        <f t="shared" si="284"/>
        <v>Huyện Thuận Thành</v>
      </c>
      <c r="F3309" s="3" t="s">
        <v>4073</v>
      </c>
      <c r="G3309" s="4" t="str">
        <f>HYPERLINK("https://diaocthongthai.com/xa-gia-dong-thuan-thanh/","Xã Gia Đông")</f>
        <v>Xã Gia Đông</v>
      </c>
    </row>
    <row r="3310" spans="1:7" x14ac:dyDescent="0.25">
      <c r="A3310" s="2">
        <v>3309</v>
      </c>
      <c r="B3310" s="3" t="s">
        <v>20</v>
      </c>
      <c r="C3310" s="4" t="str">
        <f t="shared" si="282"/>
        <v>Bắc Ninh</v>
      </c>
      <c r="D3310" s="3" t="s">
        <v>260</v>
      </c>
      <c r="E3310" s="4" t="str">
        <f t="shared" si="284"/>
        <v>Huyện Thuận Thành</v>
      </c>
      <c r="F3310" s="3" t="s">
        <v>4074</v>
      </c>
      <c r="G3310" s="4" t="str">
        <f>HYPERLINK("https://diaocthongthai.com/xa-thanh-khuong-thuan-thanh/","Xã Thanh Khương")</f>
        <v>Xã Thanh Khương</v>
      </c>
    </row>
    <row r="3311" spans="1:7" x14ac:dyDescent="0.25">
      <c r="A3311" s="2">
        <v>3310</v>
      </c>
      <c r="B3311" s="3" t="s">
        <v>20</v>
      </c>
      <c r="C3311" s="4" t="str">
        <f t="shared" si="282"/>
        <v>Bắc Ninh</v>
      </c>
      <c r="D3311" s="3" t="s">
        <v>260</v>
      </c>
      <c r="E3311" s="4" t="str">
        <f t="shared" si="284"/>
        <v>Huyện Thuận Thành</v>
      </c>
      <c r="F3311" s="3" t="s">
        <v>4075</v>
      </c>
      <c r="G3311" s="4" t="str">
        <f>HYPERLINK("https://diaocthongthai.com/xa-tram-lo-thuan-thanh/","Xã Trạm Lộ")</f>
        <v>Xã Trạm Lộ</v>
      </c>
    </row>
    <row r="3312" spans="1:7" x14ac:dyDescent="0.25">
      <c r="A3312" s="2">
        <v>3311</v>
      </c>
      <c r="B3312" s="3" t="s">
        <v>20</v>
      </c>
      <c r="C3312" s="4" t="str">
        <f t="shared" si="282"/>
        <v>Bắc Ninh</v>
      </c>
      <c r="D3312" s="3" t="s">
        <v>260</v>
      </c>
      <c r="E3312" s="4" t="str">
        <f t="shared" si="284"/>
        <v>Huyện Thuận Thành</v>
      </c>
      <c r="F3312" s="3" t="s">
        <v>4076</v>
      </c>
      <c r="G3312" s="4" t="str">
        <f>HYPERLINK("https://diaocthongthai.com/xa-xuan-lam-thuan-thanh/","Xã Xuân Lâm")</f>
        <v>Xã Xuân Lâm</v>
      </c>
    </row>
    <row r="3313" spans="1:7" x14ac:dyDescent="0.25">
      <c r="A3313" s="2">
        <v>3312</v>
      </c>
      <c r="B3313" s="3" t="s">
        <v>20</v>
      </c>
      <c r="C3313" s="4" t="str">
        <f t="shared" si="282"/>
        <v>Bắc Ninh</v>
      </c>
      <c r="D3313" s="3" t="s">
        <v>260</v>
      </c>
      <c r="E3313" s="4" t="str">
        <f t="shared" si="284"/>
        <v>Huyện Thuận Thành</v>
      </c>
      <c r="F3313" s="3" t="s">
        <v>4077</v>
      </c>
      <c r="G3313" s="4" t="str">
        <f>HYPERLINK("https://diaocthongthai.com/xa-ha-man-thuan-thanh/","Xã Hà Mãn")</f>
        <v>Xã Hà Mãn</v>
      </c>
    </row>
    <row r="3314" spans="1:7" x14ac:dyDescent="0.25">
      <c r="A3314" s="2">
        <v>3313</v>
      </c>
      <c r="B3314" s="3" t="s">
        <v>20</v>
      </c>
      <c r="C3314" s="4" t="str">
        <f t="shared" si="282"/>
        <v>Bắc Ninh</v>
      </c>
      <c r="D3314" s="3" t="s">
        <v>260</v>
      </c>
      <c r="E3314" s="4" t="str">
        <f t="shared" si="284"/>
        <v>Huyện Thuận Thành</v>
      </c>
      <c r="F3314" s="3" t="s">
        <v>4078</v>
      </c>
      <c r="G3314" s="4" t="str">
        <f>HYPERLINK("https://diaocthongthai.com/xa-ngu-thai-thuan-thanh/","Xã Ngũ Thái")</f>
        <v>Xã Ngũ Thái</v>
      </c>
    </row>
    <row r="3315" spans="1:7" x14ac:dyDescent="0.25">
      <c r="A3315" s="2">
        <v>3314</v>
      </c>
      <c r="B3315" s="3" t="s">
        <v>20</v>
      </c>
      <c r="C3315" s="4" t="str">
        <f t="shared" si="282"/>
        <v>Bắc Ninh</v>
      </c>
      <c r="D3315" s="3" t="s">
        <v>260</v>
      </c>
      <c r="E3315" s="4" t="str">
        <f t="shared" si="284"/>
        <v>Huyện Thuận Thành</v>
      </c>
      <c r="F3315" s="3" t="s">
        <v>4079</v>
      </c>
      <c r="G3315" s="4" t="str">
        <f>HYPERLINK("https://diaocthongthai.com/xa-nguyet-duc-thuan-thanh/","Xã Nguyệt Đức")</f>
        <v>Xã Nguyệt Đức</v>
      </c>
    </row>
    <row r="3316" spans="1:7" x14ac:dyDescent="0.25">
      <c r="A3316" s="2">
        <v>3315</v>
      </c>
      <c r="B3316" s="3" t="s">
        <v>20</v>
      </c>
      <c r="C3316" s="4" t="str">
        <f t="shared" si="282"/>
        <v>Bắc Ninh</v>
      </c>
      <c r="D3316" s="3" t="s">
        <v>260</v>
      </c>
      <c r="E3316" s="4" t="str">
        <f t="shared" si="284"/>
        <v>Huyện Thuận Thành</v>
      </c>
      <c r="F3316" s="3" t="s">
        <v>4080</v>
      </c>
      <c r="G3316" s="4" t="str">
        <f>HYPERLINK("https://diaocthongthai.com/xa-ninh-xa-thuan-thanh/","Xã Ninh Xá")</f>
        <v>Xã Ninh Xá</v>
      </c>
    </row>
    <row r="3317" spans="1:7" x14ac:dyDescent="0.25">
      <c r="A3317" s="2">
        <v>3316</v>
      </c>
      <c r="B3317" s="3" t="s">
        <v>20</v>
      </c>
      <c r="C3317" s="4" t="str">
        <f t="shared" ref="C3317:C3346" si="285">HYPERLINK("https://diaocthongthai.com/ban-do-bac-ninh/","Bắc Ninh")</f>
        <v>Bắc Ninh</v>
      </c>
      <c r="D3317" s="3" t="s">
        <v>260</v>
      </c>
      <c r="E3317" s="4" t="str">
        <f t="shared" si="284"/>
        <v>Huyện Thuận Thành</v>
      </c>
      <c r="F3317" s="3" t="s">
        <v>4081</v>
      </c>
      <c r="G3317" s="4" t="str">
        <f>HYPERLINK("https://diaocthongthai.com/xa-nghia-dao-thuan-thanh/","Xã Nghĩa Đạo")</f>
        <v>Xã Nghĩa Đạo</v>
      </c>
    </row>
    <row r="3318" spans="1:7" x14ac:dyDescent="0.25">
      <c r="A3318" s="2">
        <v>3317</v>
      </c>
      <c r="B3318" s="3" t="s">
        <v>20</v>
      </c>
      <c r="C3318" s="4" t="str">
        <f t="shared" si="285"/>
        <v>Bắc Ninh</v>
      </c>
      <c r="D3318" s="3" t="s">
        <v>260</v>
      </c>
      <c r="E3318" s="4" t="str">
        <f t="shared" si="284"/>
        <v>Huyện Thuận Thành</v>
      </c>
      <c r="F3318" s="3" t="s">
        <v>4082</v>
      </c>
      <c r="G3318" s="4" t="str">
        <f>HYPERLINK("https://diaocthongthai.com/xa-song-lieu-thuan-thanh/","Xã Song Liễu")</f>
        <v>Xã Song Liễu</v>
      </c>
    </row>
    <row r="3319" spans="1:7" x14ac:dyDescent="0.25">
      <c r="A3319" s="2">
        <v>3318</v>
      </c>
      <c r="B3319" s="3" t="s">
        <v>20</v>
      </c>
      <c r="C3319" s="4" t="str">
        <f t="shared" si="285"/>
        <v>Bắc Ninh</v>
      </c>
      <c r="D3319" s="3" t="s">
        <v>261</v>
      </c>
      <c r="E3319" s="4" t="str">
        <f t="shared" ref="E3319:E3332" si="286">HYPERLINK("https://diaocthongthai.com/ban-do-huyen-gia-binh-bac-ninh/","Huyện Gia Bình")</f>
        <v>Huyện Gia Bình</v>
      </c>
      <c r="F3319" s="3" t="s">
        <v>4083</v>
      </c>
      <c r="G3319" s="4" t="str">
        <f>HYPERLINK("https://diaocthongthai.com/thi-tran-gia-binh-gia-binh/","Thị trấn Gia Bình")</f>
        <v>Thị trấn Gia Bình</v>
      </c>
    </row>
    <row r="3320" spans="1:7" x14ac:dyDescent="0.25">
      <c r="A3320" s="2">
        <v>3319</v>
      </c>
      <c r="B3320" s="3" t="s">
        <v>20</v>
      </c>
      <c r="C3320" s="4" t="str">
        <f t="shared" si="285"/>
        <v>Bắc Ninh</v>
      </c>
      <c r="D3320" s="3" t="s">
        <v>261</v>
      </c>
      <c r="E3320" s="4" t="str">
        <f t="shared" si="286"/>
        <v>Huyện Gia Bình</v>
      </c>
      <c r="F3320" s="3" t="s">
        <v>4084</v>
      </c>
      <c r="G3320" s="4" t="str">
        <f>HYPERLINK("https://diaocthongthai.com/xa-van-ninh-gia-binh/","Xã Vạn Ninh")</f>
        <v>Xã Vạn Ninh</v>
      </c>
    </row>
    <row r="3321" spans="1:7" x14ac:dyDescent="0.25">
      <c r="A3321" s="2">
        <v>3320</v>
      </c>
      <c r="B3321" s="3" t="s">
        <v>20</v>
      </c>
      <c r="C3321" s="4" t="str">
        <f t="shared" si="285"/>
        <v>Bắc Ninh</v>
      </c>
      <c r="D3321" s="3" t="s">
        <v>261</v>
      </c>
      <c r="E3321" s="4" t="str">
        <f t="shared" si="286"/>
        <v>Huyện Gia Bình</v>
      </c>
      <c r="F3321" s="3" t="s">
        <v>4085</v>
      </c>
      <c r="G3321" s="4" t="str">
        <f>HYPERLINK("https://diaocthongthai.com/xa-thai-bao-gia-binh/","Xã Thái Bảo")</f>
        <v>Xã Thái Bảo</v>
      </c>
    </row>
    <row r="3322" spans="1:7" x14ac:dyDescent="0.25">
      <c r="A3322" s="2">
        <v>3321</v>
      </c>
      <c r="B3322" s="3" t="s">
        <v>20</v>
      </c>
      <c r="C3322" s="4" t="str">
        <f t="shared" si="285"/>
        <v>Bắc Ninh</v>
      </c>
      <c r="D3322" s="3" t="s">
        <v>261</v>
      </c>
      <c r="E3322" s="4" t="str">
        <f t="shared" si="286"/>
        <v>Huyện Gia Bình</v>
      </c>
      <c r="F3322" s="3" t="s">
        <v>4086</v>
      </c>
      <c r="G3322" s="4" t="str">
        <f>HYPERLINK("https://diaocthongthai.com/xa-giang-son-gia-binh/","Xã Giang Sơn")</f>
        <v>Xã Giang Sơn</v>
      </c>
    </row>
    <row r="3323" spans="1:7" x14ac:dyDescent="0.25">
      <c r="A3323" s="2">
        <v>3322</v>
      </c>
      <c r="B3323" s="3" t="s">
        <v>20</v>
      </c>
      <c r="C3323" s="4" t="str">
        <f t="shared" si="285"/>
        <v>Bắc Ninh</v>
      </c>
      <c r="D3323" s="3" t="s">
        <v>261</v>
      </c>
      <c r="E3323" s="4" t="str">
        <f t="shared" si="286"/>
        <v>Huyện Gia Bình</v>
      </c>
      <c r="F3323" s="3" t="s">
        <v>4087</v>
      </c>
      <c r="G3323" s="4" t="str">
        <f>HYPERLINK("https://diaocthongthai.com/xa-cao-duc-gia-binh/","Xã Cao Đức")</f>
        <v>Xã Cao Đức</v>
      </c>
    </row>
    <row r="3324" spans="1:7" x14ac:dyDescent="0.25">
      <c r="A3324" s="2">
        <v>3323</v>
      </c>
      <c r="B3324" s="3" t="s">
        <v>20</v>
      </c>
      <c r="C3324" s="4" t="str">
        <f t="shared" si="285"/>
        <v>Bắc Ninh</v>
      </c>
      <c r="D3324" s="3" t="s">
        <v>261</v>
      </c>
      <c r="E3324" s="4" t="str">
        <f t="shared" si="286"/>
        <v>Huyện Gia Bình</v>
      </c>
      <c r="F3324" s="3" t="s">
        <v>4088</v>
      </c>
      <c r="G3324" s="4" t="str">
        <f>HYPERLINK("https://diaocthongthai.com/xa-dai-lai-gia-binh/","Xã Đại Lai")</f>
        <v>Xã Đại Lai</v>
      </c>
    </row>
    <row r="3325" spans="1:7" x14ac:dyDescent="0.25">
      <c r="A3325" s="2">
        <v>3324</v>
      </c>
      <c r="B3325" s="3" t="s">
        <v>20</v>
      </c>
      <c r="C3325" s="4" t="str">
        <f t="shared" si="285"/>
        <v>Bắc Ninh</v>
      </c>
      <c r="D3325" s="3" t="s">
        <v>261</v>
      </c>
      <c r="E3325" s="4" t="str">
        <f t="shared" si="286"/>
        <v>Huyện Gia Bình</v>
      </c>
      <c r="F3325" s="3" t="s">
        <v>4089</v>
      </c>
      <c r="G3325" s="4" t="str">
        <f>HYPERLINK("https://diaocthongthai.com/xa-song-giang-gia-binh/","Xã Song Giang")</f>
        <v>Xã Song Giang</v>
      </c>
    </row>
    <row r="3326" spans="1:7" x14ac:dyDescent="0.25">
      <c r="A3326" s="2">
        <v>3325</v>
      </c>
      <c r="B3326" s="3" t="s">
        <v>20</v>
      </c>
      <c r="C3326" s="4" t="str">
        <f t="shared" si="285"/>
        <v>Bắc Ninh</v>
      </c>
      <c r="D3326" s="3" t="s">
        <v>261</v>
      </c>
      <c r="E3326" s="4" t="str">
        <f t="shared" si="286"/>
        <v>Huyện Gia Bình</v>
      </c>
      <c r="F3326" s="3" t="s">
        <v>4090</v>
      </c>
      <c r="G3326" s="4" t="str">
        <f>HYPERLINK("https://diaocthongthai.com/xa-binh-duong-gia-binh/","Xã Bình Dương")</f>
        <v>Xã Bình Dương</v>
      </c>
    </row>
    <row r="3327" spans="1:7" x14ac:dyDescent="0.25">
      <c r="A3327" s="2">
        <v>3326</v>
      </c>
      <c r="B3327" s="3" t="s">
        <v>20</v>
      </c>
      <c r="C3327" s="4" t="str">
        <f t="shared" si="285"/>
        <v>Bắc Ninh</v>
      </c>
      <c r="D3327" s="3" t="s">
        <v>261</v>
      </c>
      <c r="E3327" s="4" t="str">
        <f t="shared" si="286"/>
        <v>Huyện Gia Bình</v>
      </c>
      <c r="F3327" s="3" t="s">
        <v>4091</v>
      </c>
      <c r="G3327" s="4" t="str">
        <f>HYPERLINK("https://diaocthongthai.com/xa-lang-ngam-gia-binh/","Xã Lãng Ngâm")</f>
        <v>Xã Lãng Ngâm</v>
      </c>
    </row>
    <row r="3328" spans="1:7" x14ac:dyDescent="0.25">
      <c r="A3328" s="2">
        <v>3327</v>
      </c>
      <c r="B3328" s="3" t="s">
        <v>20</v>
      </c>
      <c r="C3328" s="4" t="str">
        <f t="shared" si="285"/>
        <v>Bắc Ninh</v>
      </c>
      <c r="D3328" s="3" t="s">
        <v>261</v>
      </c>
      <c r="E3328" s="4" t="str">
        <f t="shared" si="286"/>
        <v>Huyện Gia Bình</v>
      </c>
      <c r="F3328" s="3" t="s">
        <v>4092</v>
      </c>
      <c r="G3328" s="4" t="str">
        <f>HYPERLINK("https://diaocthongthai.com/xa-nhan-thang-gia-binh/","Xã Nhân Thắng")</f>
        <v>Xã Nhân Thắng</v>
      </c>
    </row>
    <row r="3329" spans="1:7" x14ac:dyDescent="0.25">
      <c r="A3329" s="2">
        <v>3328</v>
      </c>
      <c r="B3329" s="3" t="s">
        <v>20</v>
      </c>
      <c r="C3329" s="4" t="str">
        <f t="shared" si="285"/>
        <v>Bắc Ninh</v>
      </c>
      <c r="D3329" s="3" t="s">
        <v>261</v>
      </c>
      <c r="E3329" s="4" t="str">
        <f t="shared" si="286"/>
        <v>Huyện Gia Bình</v>
      </c>
      <c r="F3329" s="3" t="s">
        <v>4093</v>
      </c>
      <c r="G3329" s="4" t="str">
        <f>HYPERLINK("https://diaocthongthai.com/xa-xuan-lai-gia-binh/","Xã Xuân Lai")</f>
        <v>Xã Xuân Lai</v>
      </c>
    </row>
    <row r="3330" spans="1:7" x14ac:dyDescent="0.25">
      <c r="A3330" s="2">
        <v>3329</v>
      </c>
      <c r="B3330" s="3" t="s">
        <v>20</v>
      </c>
      <c r="C3330" s="4" t="str">
        <f t="shared" si="285"/>
        <v>Bắc Ninh</v>
      </c>
      <c r="D3330" s="3" t="s">
        <v>261</v>
      </c>
      <c r="E3330" s="4" t="str">
        <f t="shared" si="286"/>
        <v>Huyện Gia Bình</v>
      </c>
      <c r="F3330" s="3" t="s">
        <v>4094</v>
      </c>
      <c r="G3330" s="4" t="str">
        <f>HYPERLINK("https://diaocthongthai.com/xa-dong-cuu-gia-binh/","Xã Đông Cứu")</f>
        <v>Xã Đông Cứu</v>
      </c>
    </row>
    <row r="3331" spans="1:7" x14ac:dyDescent="0.25">
      <c r="A3331" s="2">
        <v>3330</v>
      </c>
      <c r="B3331" s="3" t="s">
        <v>20</v>
      </c>
      <c r="C3331" s="4" t="str">
        <f t="shared" si="285"/>
        <v>Bắc Ninh</v>
      </c>
      <c r="D3331" s="3" t="s">
        <v>261</v>
      </c>
      <c r="E3331" s="4" t="str">
        <f t="shared" si="286"/>
        <v>Huyện Gia Bình</v>
      </c>
      <c r="F3331" s="3" t="s">
        <v>4095</v>
      </c>
      <c r="G3331" s="4" t="str">
        <f>HYPERLINK("https://diaocthongthai.com/xa-dai-bai-gia-binh/","Xã Đại Bái")</f>
        <v>Xã Đại Bái</v>
      </c>
    </row>
    <row r="3332" spans="1:7" x14ac:dyDescent="0.25">
      <c r="A3332" s="2">
        <v>3331</v>
      </c>
      <c r="B3332" s="3" t="s">
        <v>20</v>
      </c>
      <c r="C3332" s="4" t="str">
        <f t="shared" si="285"/>
        <v>Bắc Ninh</v>
      </c>
      <c r="D3332" s="3" t="s">
        <v>261</v>
      </c>
      <c r="E3332" s="4" t="str">
        <f t="shared" si="286"/>
        <v>Huyện Gia Bình</v>
      </c>
      <c r="F3332" s="3" t="s">
        <v>4096</v>
      </c>
      <c r="G3332" s="4" t="str">
        <f>HYPERLINK("https://diaocthongthai.com/xa-quynh-phu-gia-binh/","Xã Quỳnh Phú")</f>
        <v>Xã Quỳnh Phú</v>
      </c>
    </row>
    <row r="3333" spans="1:7" x14ac:dyDescent="0.25">
      <c r="A3333" s="2">
        <v>3332</v>
      </c>
      <c r="B3333" s="3" t="s">
        <v>20</v>
      </c>
      <c r="C3333" s="4" t="str">
        <f t="shared" si="285"/>
        <v>Bắc Ninh</v>
      </c>
      <c r="D3333" s="3" t="s">
        <v>262</v>
      </c>
      <c r="E3333" s="4" t="str">
        <f t="shared" ref="E3333:E3346" si="287">HYPERLINK("https://diaocthongthai.com/ban-do-huyen-luong-tai-bac-ninh/","Huyện Lương Tài")</f>
        <v>Huyện Lương Tài</v>
      </c>
      <c r="F3333" s="3" t="s">
        <v>4097</v>
      </c>
      <c r="G3333" s="4" t="str">
        <f>HYPERLINK("https://diaocthongthai.com/thi-tran-thua-luong-tai/","Thị trấn Thứa")</f>
        <v>Thị trấn Thứa</v>
      </c>
    </row>
    <row r="3334" spans="1:7" x14ac:dyDescent="0.25">
      <c r="A3334" s="2">
        <v>3333</v>
      </c>
      <c r="B3334" s="3" t="s">
        <v>20</v>
      </c>
      <c r="C3334" s="4" t="str">
        <f t="shared" si="285"/>
        <v>Bắc Ninh</v>
      </c>
      <c r="D3334" s="3" t="s">
        <v>262</v>
      </c>
      <c r="E3334" s="4" t="str">
        <f t="shared" si="287"/>
        <v>Huyện Lương Tài</v>
      </c>
      <c r="F3334" s="3" t="s">
        <v>4098</v>
      </c>
      <c r="G3334" s="4" t="str">
        <f>HYPERLINK("https://diaocthongthai.com/xa-an-thinh-luong-tai/","Xã An Thịnh")</f>
        <v>Xã An Thịnh</v>
      </c>
    </row>
    <row r="3335" spans="1:7" x14ac:dyDescent="0.25">
      <c r="A3335" s="2">
        <v>3334</v>
      </c>
      <c r="B3335" s="3" t="s">
        <v>20</v>
      </c>
      <c r="C3335" s="4" t="str">
        <f t="shared" si="285"/>
        <v>Bắc Ninh</v>
      </c>
      <c r="D3335" s="3" t="s">
        <v>262</v>
      </c>
      <c r="E3335" s="4" t="str">
        <f t="shared" si="287"/>
        <v>Huyện Lương Tài</v>
      </c>
      <c r="F3335" s="3" t="s">
        <v>4099</v>
      </c>
      <c r="G3335" s="4" t="str">
        <f>HYPERLINK("https://diaocthongthai.com/xa-trung-kenh-luong-tai/","Xã Trung Kênh")</f>
        <v>Xã Trung Kênh</v>
      </c>
    </row>
    <row r="3336" spans="1:7" x14ac:dyDescent="0.25">
      <c r="A3336" s="2">
        <v>3335</v>
      </c>
      <c r="B3336" s="3" t="s">
        <v>20</v>
      </c>
      <c r="C3336" s="4" t="str">
        <f t="shared" si="285"/>
        <v>Bắc Ninh</v>
      </c>
      <c r="D3336" s="3" t="s">
        <v>262</v>
      </c>
      <c r="E3336" s="4" t="str">
        <f t="shared" si="287"/>
        <v>Huyện Lương Tài</v>
      </c>
      <c r="F3336" s="3" t="s">
        <v>4100</v>
      </c>
      <c r="G3336" s="4" t="str">
        <f>HYPERLINK("https://diaocthongthai.com/xa-phu-hoa-luong-tai/","Xã Phú Hòa")</f>
        <v>Xã Phú Hòa</v>
      </c>
    </row>
    <row r="3337" spans="1:7" x14ac:dyDescent="0.25">
      <c r="A3337" s="2">
        <v>3336</v>
      </c>
      <c r="B3337" s="3" t="s">
        <v>20</v>
      </c>
      <c r="C3337" s="4" t="str">
        <f t="shared" si="285"/>
        <v>Bắc Ninh</v>
      </c>
      <c r="D3337" s="3" t="s">
        <v>262</v>
      </c>
      <c r="E3337" s="4" t="str">
        <f t="shared" si="287"/>
        <v>Huyện Lương Tài</v>
      </c>
      <c r="F3337" s="3" t="s">
        <v>4101</v>
      </c>
      <c r="G3337" s="4" t="str">
        <f>HYPERLINK("https://diaocthongthai.com/xa-my-huong-luong-tai/","Xã Mỹ Hương")</f>
        <v>Xã Mỹ Hương</v>
      </c>
    </row>
    <row r="3338" spans="1:7" x14ac:dyDescent="0.25">
      <c r="A3338" s="2">
        <v>3337</v>
      </c>
      <c r="B3338" s="3" t="s">
        <v>20</v>
      </c>
      <c r="C3338" s="4" t="str">
        <f t="shared" si="285"/>
        <v>Bắc Ninh</v>
      </c>
      <c r="D3338" s="3" t="s">
        <v>262</v>
      </c>
      <c r="E3338" s="4" t="str">
        <f t="shared" si="287"/>
        <v>Huyện Lương Tài</v>
      </c>
      <c r="F3338" s="3" t="s">
        <v>4102</v>
      </c>
      <c r="G3338" s="4" t="str">
        <f>HYPERLINK("https://diaocthongthai.com/xa-tan-lang-luong-tai/","Xã Tân Lãng")</f>
        <v>Xã Tân Lãng</v>
      </c>
    </row>
    <row r="3339" spans="1:7" x14ac:dyDescent="0.25">
      <c r="A3339" s="2">
        <v>3338</v>
      </c>
      <c r="B3339" s="3" t="s">
        <v>20</v>
      </c>
      <c r="C3339" s="4" t="str">
        <f t="shared" si="285"/>
        <v>Bắc Ninh</v>
      </c>
      <c r="D3339" s="3" t="s">
        <v>262</v>
      </c>
      <c r="E3339" s="4" t="str">
        <f t="shared" si="287"/>
        <v>Huyện Lương Tài</v>
      </c>
      <c r="F3339" s="3" t="s">
        <v>4103</v>
      </c>
      <c r="G3339" s="4" t="str">
        <f>HYPERLINK("https://diaocthongthai.com/xa-quang-phu-luong-tai/","Xã Quảng Phú")</f>
        <v>Xã Quảng Phú</v>
      </c>
    </row>
    <row r="3340" spans="1:7" x14ac:dyDescent="0.25">
      <c r="A3340" s="2">
        <v>3339</v>
      </c>
      <c r="B3340" s="3" t="s">
        <v>20</v>
      </c>
      <c r="C3340" s="4" t="str">
        <f t="shared" si="285"/>
        <v>Bắc Ninh</v>
      </c>
      <c r="D3340" s="3" t="s">
        <v>262</v>
      </c>
      <c r="E3340" s="4" t="str">
        <f t="shared" si="287"/>
        <v>Huyện Lương Tài</v>
      </c>
      <c r="F3340" s="3" t="s">
        <v>4104</v>
      </c>
      <c r="G3340" s="4" t="str">
        <f>HYPERLINK("https://diaocthongthai.com/xa-trung-xa-luong-tai/","Xã Trừng Xá")</f>
        <v>Xã Trừng Xá</v>
      </c>
    </row>
    <row r="3341" spans="1:7" x14ac:dyDescent="0.25">
      <c r="A3341" s="2">
        <v>3340</v>
      </c>
      <c r="B3341" s="3" t="s">
        <v>20</v>
      </c>
      <c r="C3341" s="4" t="str">
        <f t="shared" si="285"/>
        <v>Bắc Ninh</v>
      </c>
      <c r="D3341" s="3" t="s">
        <v>262</v>
      </c>
      <c r="E3341" s="4" t="str">
        <f t="shared" si="287"/>
        <v>Huyện Lương Tài</v>
      </c>
      <c r="F3341" s="3" t="s">
        <v>4105</v>
      </c>
      <c r="G3341" s="4" t="str">
        <f>HYPERLINK("https://diaocthongthai.com/xa-lai-ha-luong-tai/","Xã Lai Hạ")</f>
        <v>Xã Lai Hạ</v>
      </c>
    </row>
    <row r="3342" spans="1:7" x14ac:dyDescent="0.25">
      <c r="A3342" s="2">
        <v>3341</v>
      </c>
      <c r="B3342" s="3" t="s">
        <v>20</v>
      </c>
      <c r="C3342" s="4" t="str">
        <f t="shared" si="285"/>
        <v>Bắc Ninh</v>
      </c>
      <c r="D3342" s="3" t="s">
        <v>262</v>
      </c>
      <c r="E3342" s="4" t="str">
        <f t="shared" si="287"/>
        <v>Huyện Lương Tài</v>
      </c>
      <c r="F3342" s="3" t="s">
        <v>4106</v>
      </c>
      <c r="G3342" s="4" t="str">
        <f>HYPERLINK("https://diaocthongthai.com/xa-trung-chinh-luong-tai/","Xã Trung Chính")</f>
        <v>Xã Trung Chính</v>
      </c>
    </row>
    <row r="3343" spans="1:7" x14ac:dyDescent="0.25">
      <c r="A3343" s="2">
        <v>3342</v>
      </c>
      <c r="B3343" s="3" t="s">
        <v>20</v>
      </c>
      <c r="C3343" s="4" t="str">
        <f t="shared" si="285"/>
        <v>Bắc Ninh</v>
      </c>
      <c r="D3343" s="3" t="s">
        <v>262</v>
      </c>
      <c r="E3343" s="4" t="str">
        <f t="shared" si="287"/>
        <v>Huyện Lương Tài</v>
      </c>
      <c r="F3343" s="3" t="s">
        <v>4107</v>
      </c>
      <c r="G3343" s="4" t="str">
        <f>HYPERLINK("https://diaocthongthai.com/xa-minh-tan-luong-tai/","Xã Minh Tân")</f>
        <v>Xã Minh Tân</v>
      </c>
    </row>
    <row r="3344" spans="1:7" x14ac:dyDescent="0.25">
      <c r="A3344" s="2">
        <v>3343</v>
      </c>
      <c r="B3344" s="3" t="s">
        <v>20</v>
      </c>
      <c r="C3344" s="4" t="str">
        <f t="shared" si="285"/>
        <v>Bắc Ninh</v>
      </c>
      <c r="D3344" s="3" t="s">
        <v>262</v>
      </c>
      <c r="E3344" s="4" t="str">
        <f t="shared" si="287"/>
        <v>Huyện Lương Tài</v>
      </c>
      <c r="F3344" s="3" t="s">
        <v>4108</v>
      </c>
      <c r="G3344" s="4" t="str">
        <f>HYPERLINK("https://diaocthongthai.com/xa-binh-dinh-luong-tai/","Xã Bình Định")</f>
        <v>Xã Bình Định</v>
      </c>
    </row>
    <row r="3345" spans="1:7" x14ac:dyDescent="0.25">
      <c r="A3345" s="2">
        <v>3344</v>
      </c>
      <c r="B3345" s="3" t="s">
        <v>20</v>
      </c>
      <c r="C3345" s="4" t="str">
        <f t="shared" si="285"/>
        <v>Bắc Ninh</v>
      </c>
      <c r="D3345" s="3" t="s">
        <v>262</v>
      </c>
      <c r="E3345" s="4" t="str">
        <f t="shared" si="287"/>
        <v>Huyện Lương Tài</v>
      </c>
      <c r="F3345" s="3" t="s">
        <v>4109</v>
      </c>
      <c r="G3345" s="4" t="str">
        <f>HYPERLINK("https://diaocthongthai.com/xa-phu-luong-luong-tai/","Xã Phú Lương")</f>
        <v>Xã Phú Lương</v>
      </c>
    </row>
    <row r="3346" spans="1:7" x14ac:dyDescent="0.25">
      <c r="A3346" s="2">
        <v>3345</v>
      </c>
      <c r="B3346" s="3" t="s">
        <v>20</v>
      </c>
      <c r="C3346" s="4" t="str">
        <f t="shared" si="285"/>
        <v>Bắc Ninh</v>
      </c>
      <c r="D3346" s="3" t="s">
        <v>262</v>
      </c>
      <c r="E3346" s="4" t="str">
        <f t="shared" si="287"/>
        <v>Huyện Lương Tài</v>
      </c>
      <c r="F3346" s="3" t="s">
        <v>4110</v>
      </c>
      <c r="G3346" s="4" t="str">
        <f>HYPERLINK("https://diaocthongthai.com/xa-lam-thao-luong-tai/","Xã Lâm Thao")</f>
        <v>Xã Lâm Thao</v>
      </c>
    </row>
    <row r="3347" spans="1:7" x14ac:dyDescent="0.25">
      <c r="A3347" s="2">
        <v>3346</v>
      </c>
      <c r="B3347" s="3" t="s">
        <v>21</v>
      </c>
      <c r="C3347" s="4" t="str">
        <f t="shared" ref="C3347:C3410" si="288">HYPERLINK("https://diaocthongthai.com/ban-do-hai-duong/","Hải Dương")</f>
        <v>Hải Dương</v>
      </c>
      <c r="D3347" s="3" t="s">
        <v>263</v>
      </c>
      <c r="E3347" s="4" t="str">
        <f t="shared" ref="E3347:E3371" si="289">HYPERLINK("https://diaocthongthai.com/ban-do-tp-hai-duong-hai-duong/","Thành phố Hải Dương")</f>
        <v>Thành phố Hải Dương</v>
      </c>
      <c r="F3347" s="3" t="s">
        <v>4111</v>
      </c>
      <c r="G3347" s="4" t="str">
        <f>HYPERLINK("https://diaocthongthai.com/phuong-cam-thuong-tp-hai-duong/","Phường Cẩm Thượng")</f>
        <v>Phường Cẩm Thượng</v>
      </c>
    </row>
    <row r="3348" spans="1:7" x14ac:dyDescent="0.25">
      <c r="A3348" s="2">
        <v>3347</v>
      </c>
      <c r="B3348" s="3" t="s">
        <v>21</v>
      </c>
      <c r="C3348" s="4" t="str">
        <f t="shared" si="288"/>
        <v>Hải Dương</v>
      </c>
      <c r="D3348" s="3" t="s">
        <v>263</v>
      </c>
      <c r="E3348" s="4" t="str">
        <f t="shared" si="289"/>
        <v>Thành phố Hải Dương</v>
      </c>
      <c r="F3348" s="3" t="s">
        <v>4112</v>
      </c>
      <c r="G3348" s="4" t="str">
        <f>HYPERLINK("https://diaocthongthai.com/phuong-binh-han-tp-hai-duong/","Phường Bình Hàn")</f>
        <v>Phường Bình Hàn</v>
      </c>
    </row>
    <row r="3349" spans="1:7" x14ac:dyDescent="0.25">
      <c r="A3349" s="2">
        <v>3348</v>
      </c>
      <c r="B3349" s="3" t="s">
        <v>21</v>
      </c>
      <c r="C3349" s="4" t="str">
        <f t="shared" si="288"/>
        <v>Hải Dương</v>
      </c>
      <c r="D3349" s="3" t="s">
        <v>263</v>
      </c>
      <c r="E3349" s="4" t="str">
        <f t="shared" si="289"/>
        <v>Thành phố Hải Dương</v>
      </c>
      <c r="F3349" s="3" t="s">
        <v>4113</v>
      </c>
      <c r="G3349" s="4" t="str">
        <f>HYPERLINK("https://diaocthongthai.com/phuong-ngoc-chau-tp-hai-duong/","Phường Ngọc Châu")</f>
        <v>Phường Ngọc Châu</v>
      </c>
    </row>
    <row r="3350" spans="1:7" x14ac:dyDescent="0.25">
      <c r="A3350" s="2">
        <v>3349</v>
      </c>
      <c r="B3350" s="3" t="s">
        <v>21</v>
      </c>
      <c r="C3350" s="4" t="str">
        <f t="shared" si="288"/>
        <v>Hải Dương</v>
      </c>
      <c r="D3350" s="3" t="s">
        <v>263</v>
      </c>
      <c r="E3350" s="4" t="str">
        <f t="shared" si="289"/>
        <v>Thành phố Hải Dương</v>
      </c>
      <c r="F3350" s="3" t="s">
        <v>4114</v>
      </c>
      <c r="G3350" s="4" t="str">
        <f>HYPERLINK("https://diaocthongthai.com/phuong-nhi-chau-tp-hai-duong/","Phường Nhị Châu")</f>
        <v>Phường Nhị Châu</v>
      </c>
    </row>
    <row r="3351" spans="1:7" x14ac:dyDescent="0.25">
      <c r="A3351" s="2">
        <v>3350</v>
      </c>
      <c r="B3351" s="3" t="s">
        <v>21</v>
      </c>
      <c r="C3351" s="4" t="str">
        <f t="shared" si="288"/>
        <v>Hải Dương</v>
      </c>
      <c r="D3351" s="3" t="s">
        <v>263</v>
      </c>
      <c r="E3351" s="4" t="str">
        <f t="shared" si="289"/>
        <v>Thành phố Hải Dương</v>
      </c>
      <c r="F3351" s="3" t="s">
        <v>4115</v>
      </c>
      <c r="G3351" s="4" t="str">
        <f>HYPERLINK("https://diaocthongthai.com/phuong-quang-trung-tp-hai-duong/","Phường Quang Trung")</f>
        <v>Phường Quang Trung</v>
      </c>
    </row>
    <row r="3352" spans="1:7" x14ac:dyDescent="0.25">
      <c r="A3352" s="2">
        <v>3351</v>
      </c>
      <c r="B3352" s="3" t="s">
        <v>21</v>
      </c>
      <c r="C3352" s="4" t="str">
        <f t="shared" si="288"/>
        <v>Hải Dương</v>
      </c>
      <c r="D3352" s="3" t="s">
        <v>263</v>
      </c>
      <c r="E3352" s="4" t="str">
        <f t="shared" si="289"/>
        <v>Thành phố Hải Dương</v>
      </c>
      <c r="F3352" s="3" t="s">
        <v>4116</v>
      </c>
      <c r="G3352" s="4" t="str">
        <f>HYPERLINK("https://diaocthongthai.com/phuong-nguyen-trai-tp-hai-duong/","Phường Nguyễn Trãi")</f>
        <v>Phường Nguyễn Trãi</v>
      </c>
    </row>
    <row r="3353" spans="1:7" x14ac:dyDescent="0.25">
      <c r="A3353" s="2">
        <v>3352</v>
      </c>
      <c r="B3353" s="3" t="s">
        <v>21</v>
      </c>
      <c r="C3353" s="4" t="str">
        <f t="shared" si="288"/>
        <v>Hải Dương</v>
      </c>
      <c r="D3353" s="3" t="s">
        <v>263</v>
      </c>
      <c r="E3353" s="4" t="str">
        <f t="shared" si="289"/>
        <v>Thành phố Hải Dương</v>
      </c>
      <c r="F3353" s="3" t="s">
        <v>4117</v>
      </c>
      <c r="G3353" s="4" t="str">
        <f>HYPERLINK("https://diaocthongthai.com/phuong-pham-ngu-lao-tp-hai-duong/","Phường Phạm Ngũ Lão")</f>
        <v>Phường Phạm Ngũ Lão</v>
      </c>
    </row>
    <row r="3354" spans="1:7" x14ac:dyDescent="0.25">
      <c r="A3354" s="2">
        <v>3353</v>
      </c>
      <c r="B3354" s="3" t="s">
        <v>21</v>
      </c>
      <c r="C3354" s="4" t="str">
        <f t="shared" si="288"/>
        <v>Hải Dương</v>
      </c>
      <c r="D3354" s="3" t="s">
        <v>263</v>
      </c>
      <c r="E3354" s="4" t="str">
        <f t="shared" si="289"/>
        <v>Thành phố Hải Dương</v>
      </c>
      <c r="F3354" s="3" t="s">
        <v>4118</v>
      </c>
      <c r="G3354" s="4" t="str">
        <f>HYPERLINK("https://diaocthongthai.com/phuong-tran-hung-dao-tp-hai-duong/","Phường Trần Hưng Đạo")</f>
        <v>Phường Trần Hưng Đạo</v>
      </c>
    </row>
    <row r="3355" spans="1:7" x14ac:dyDescent="0.25">
      <c r="A3355" s="2">
        <v>3354</v>
      </c>
      <c r="B3355" s="3" t="s">
        <v>21</v>
      </c>
      <c r="C3355" s="4" t="str">
        <f t="shared" si="288"/>
        <v>Hải Dương</v>
      </c>
      <c r="D3355" s="3" t="s">
        <v>263</v>
      </c>
      <c r="E3355" s="4" t="str">
        <f t="shared" si="289"/>
        <v>Thành phố Hải Dương</v>
      </c>
      <c r="F3355" s="3" t="s">
        <v>4119</v>
      </c>
      <c r="G3355" s="4" t="str">
        <f>HYPERLINK("https://diaocthongthai.com/phuong-tran-phu-tp-hai-duong/","Phường Trần Phú")</f>
        <v>Phường Trần Phú</v>
      </c>
    </row>
    <row r="3356" spans="1:7" x14ac:dyDescent="0.25">
      <c r="A3356" s="2">
        <v>3355</v>
      </c>
      <c r="B3356" s="3" t="s">
        <v>21</v>
      </c>
      <c r="C3356" s="4" t="str">
        <f t="shared" si="288"/>
        <v>Hải Dương</v>
      </c>
      <c r="D3356" s="3" t="s">
        <v>263</v>
      </c>
      <c r="E3356" s="4" t="str">
        <f t="shared" si="289"/>
        <v>Thành phố Hải Dương</v>
      </c>
      <c r="F3356" s="3" t="s">
        <v>4120</v>
      </c>
      <c r="G3356" s="4" t="str">
        <f>HYPERLINK("https://diaocthongthai.com/phuong-thanh-binh-tp-hai-duong/","Phường Thanh Bình")</f>
        <v>Phường Thanh Bình</v>
      </c>
    </row>
    <row r="3357" spans="1:7" x14ac:dyDescent="0.25">
      <c r="A3357" s="2">
        <v>3356</v>
      </c>
      <c r="B3357" s="3" t="s">
        <v>21</v>
      </c>
      <c r="C3357" s="4" t="str">
        <f t="shared" si="288"/>
        <v>Hải Dương</v>
      </c>
      <c r="D3357" s="3" t="s">
        <v>263</v>
      </c>
      <c r="E3357" s="4" t="str">
        <f t="shared" si="289"/>
        <v>Thành phố Hải Dương</v>
      </c>
      <c r="F3357" s="3" t="s">
        <v>4121</v>
      </c>
      <c r="G3357" s="4" t="str">
        <f>HYPERLINK("https://diaocthongthai.com/phuong-tan-binh-tp-hai-duong/","Phường Tân Bình")</f>
        <v>Phường Tân Bình</v>
      </c>
    </row>
    <row r="3358" spans="1:7" x14ac:dyDescent="0.25">
      <c r="A3358" s="2">
        <v>3357</v>
      </c>
      <c r="B3358" s="3" t="s">
        <v>21</v>
      </c>
      <c r="C3358" s="4" t="str">
        <f t="shared" si="288"/>
        <v>Hải Dương</v>
      </c>
      <c r="D3358" s="3" t="s">
        <v>263</v>
      </c>
      <c r="E3358" s="4" t="str">
        <f t="shared" si="289"/>
        <v>Thành phố Hải Dương</v>
      </c>
      <c r="F3358" s="3" t="s">
        <v>4122</v>
      </c>
      <c r="G3358" s="4" t="str">
        <f>HYPERLINK("https://diaocthongthai.com/phuong-le-thanh-nghi-tp-hai-duong/","Phường Lê Thanh Nghị")</f>
        <v>Phường Lê Thanh Nghị</v>
      </c>
    </row>
    <row r="3359" spans="1:7" x14ac:dyDescent="0.25">
      <c r="A3359" s="2">
        <v>3358</v>
      </c>
      <c r="B3359" s="3" t="s">
        <v>21</v>
      </c>
      <c r="C3359" s="4" t="str">
        <f t="shared" si="288"/>
        <v>Hải Dương</v>
      </c>
      <c r="D3359" s="3" t="s">
        <v>263</v>
      </c>
      <c r="E3359" s="4" t="str">
        <f t="shared" si="289"/>
        <v>Thành phố Hải Dương</v>
      </c>
      <c r="F3359" s="3" t="s">
        <v>4123</v>
      </c>
      <c r="G3359" s="4" t="str">
        <f>HYPERLINK("https://diaocthongthai.com/phuong-hai-tan-tp-hai-duong/","Phường Hải Tân")</f>
        <v>Phường Hải Tân</v>
      </c>
    </row>
    <row r="3360" spans="1:7" x14ac:dyDescent="0.25">
      <c r="A3360" s="2">
        <v>3359</v>
      </c>
      <c r="B3360" s="3" t="s">
        <v>21</v>
      </c>
      <c r="C3360" s="4" t="str">
        <f t="shared" si="288"/>
        <v>Hải Dương</v>
      </c>
      <c r="D3360" s="3" t="s">
        <v>263</v>
      </c>
      <c r="E3360" s="4" t="str">
        <f t="shared" si="289"/>
        <v>Thành phố Hải Dương</v>
      </c>
      <c r="F3360" s="3" t="s">
        <v>4124</v>
      </c>
      <c r="G3360" s="4" t="str">
        <f>HYPERLINK("https://diaocthongthai.com/phuong-tu-minh-tp-hai-duong/","Phường Tứ Minh")</f>
        <v>Phường Tứ Minh</v>
      </c>
    </row>
    <row r="3361" spans="1:7" x14ac:dyDescent="0.25">
      <c r="A3361" s="2">
        <v>3360</v>
      </c>
      <c r="B3361" s="3" t="s">
        <v>21</v>
      </c>
      <c r="C3361" s="4" t="str">
        <f t="shared" si="288"/>
        <v>Hải Dương</v>
      </c>
      <c r="D3361" s="3" t="s">
        <v>263</v>
      </c>
      <c r="E3361" s="4" t="str">
        <f t="shared" si="289"/>
        <v>Thành phố Hải Dương</v>
      </c>
      <c r="F3361" s="3" t="s">
        <v>4125</v>
      </c>
      <c r="G3361" s="4" t="str">
        <f>HYPERLINK("https://diaocthongthai.com/phuong-viet-hoa-tp-hai-duong/","Phường Việt Hoà")</f>
        <v>Phường Việt Hoà</v>
      </c>
    </row>
    <row r="3362" spans="1:7" x14ac:dyDescent="0.25">
      <c r="A3362" s="2">
        <v>3361</v>
      </c>
      <c r="B3362" s="3" t="s">
        <v>21</v>
      </c>
      <c r="C3362" s="4" t="str">
        <f t="shared" si="288"/>
        <v>Hải Dương</v>
      </c>
      <c r="D3362" s="3" t="s">
        <v>263</v>
      </c>
      <c r="E3362" s="4" t="str">
        <f t="shared" si="289"/>
        <v>Thành phố Hải Dương</v>
      </c>
      <c r="F3362" s="3" t="s">
        <v>4126</v>
      </c>
      <c r="G3362" s="4" t="str">
        <f>HYPERLINK("https://diaocthongthai.com/phuong-ai-quoc-tp-hai-duong/","Phường Ái Quốc")</f>
        <v>Phường Ái Quốc</v>
      </c>
    </row>
    <row r="3363" spans="1:7" x14ac:dyDescent="0.25">
      <c r="A3363" s="2">
        <v>3362</v>
      </c>
      <c r="B3363" s="3" t="s">
        <v>21</v>
      </c>
      <c r="C3363" s="4" t="str">
        <f t="shared" si="288"/>
        <v>Hải Dương</v>
      </c>
      <c r="D3363" s="3" t="s">
        <v>263</v>
      </c>
      <c r="E3363" s="4" t="str">
        <f t="shared" si="289"/>
        <v>Thành phố Hải Dương</v>
      </c>
      <c r="F3363" s="3" t="s">
        <v>4127</v>
      </c>
      <c r="G3363" s="4" t="str">
        <f>HYPERLINK("https://diaocthongthai.com/xa-an-thuong-tp-hai-duong/","Xã An Thượng")</f>
        <v>Xã An Thượng</v>
      </c>
    </row>
    <row r="3364" spans="1:7" x14ac:dyDescent="0.25">
      <c r="A3364" s="2">
        <v>3363</v>
      </c>
      <c r="B3364" s="3" t="s">
        <v>21</v>
      </c>
      <c r="C3364" s="4" t="str">
        <f t="shared" si="288"/>
        <v>Hải Dương</v>
      </c>
      <c r="D3364" s="3" t="s">
        <v>263</v>
      </c>
      <c r="E3364" s="4" t="str">
        <f t="shared" si="289"/>
        <v>Thành phố Hải Dương</v>
      </c>
      <c r="F3364" s="3" t="s">
        <v>4128</v>
      </c>
      <c r="G3364" s="4" t="str">
        <f>HYPERLINK("https://diaocthongthai.com/phuong-nam-dong-tp-hai-duong/","Phường Nam Đồng")</f>
        <v>Phường Nam Đồng</v>
      </c>
    </row>
    <row r="3365" spans="1:7" x14ac:dyDescent="0.25">
      <c r="A3365" s="2">
        <v>3364</v>
      </c>
      <c r="B3365" s="3" t="s">
        <v>21</v>
      </c>
      <c r="C3365" s="4" t="str">
        <f t="shared" si="288"/>
        <v>Hải Dương</v>
      </c>
      <c r="D3365" s="3" t="s">
        <v>263</v>
      </c>
      <c r="E3365" s="4" t="str">
        <f t="shared" si="289"/>
        <v>Thành phố Hải Dương</v>
      </c>
      <c r="F3365" s="3" t="s">
        <v>4129</v>
      </c>
      <c r="G3365" s="4" t="str">
        <f>HYPERLINK("https://diaocthongthai.com/xa-quyet-thang-tp-hai-duong/","Xã Quyết Thắng")</f>
        <v>Xã Quyết Thắng</v>
      </c>
    </row>
    <row r="3366" spans="1:7" x14ac:dyDescent="0.25">
      <c r="A3366" s="2">
        <v>3365</v>
      </c>
      <c r="B3366" s="3" t="s">
        <v>21</v>
      </c>
      <c r="C3366" s="4" t="str">
        <f t="shared" si="288"/>
        <v>Hải Dương</v>
      </c>
      <c r="D3366" s="3" t="s">
        <v>263</v>
      </c>
      <c r="E3366" s="4" t="str">
        <f t="shared" si="289"/>
        <v>Thành phố Hải Dương</v>
      </c>
      <c r="F3366" s="3" t="s">
        <v>4130</v>
      </c>
      <c r="G3366" s="4" t="str">
        <f>HYPERLINK("https://diaocthongthai.com/xa-tien-tien-tp-hai-duong/","Xã Tiền Tiến")</f>
        <v>Xã Tiền Tiến</v>
      </c>
    </row>
    <row r="3367" spans="1:7" x14ac:dyDescent="0.25">
      <c r="A3367" s="2">
        <v>3366</v>
      </c>
      <c r="B3367" s="3" t="s">
        <v>21</v>
      </c>
      <c r="C3367" s="4" t="str">
        <f t="shared" si="288"/>
        <v>Hải Dương</v>
      </c>
      <c r="D3367" s="3" t="s">
        <v>263</v>
      </c>
      <c r="E3367" s="4" t="str">
        <f t="shared" si="289"/>
        <v>Thành phố Hải Dương</v>
      </c>
      <c r="F3367" s="3" t="s">
        <v>4131</v>
      </c>
      <c r="G3367" s="4" t="str">
        <f>HYPERLINK("https://diaocthongthai.com/phuong-thach-khoi-tp-hai-duong/","Phường Thạch Khôi")</f>
        <v>Phường Thạch Khôi</v>
      </c>
    </row>
    <row r="3368" spans="1:7" x14ac:dyDescent="0.25">
      <c r="A3368" s="2">
        <v>3367</v>
      </c>
      <c r="B3368" s="3" t="s">
        <v>21</v>
      </c>
      <c r="C3368" s="4" t="str">
        <f t="shared" si="288"/>
        <v>Hải Dương</v>
      </c>
      <c r="D3368" s="3" t="s">
        <v>263</v>
      </c>
      <c r="E3368" s="4" t="str">
        <f t="shared" si="289"/>
        <v>Thành phố Hải Dương</v>
      </c>
      <c r="F3368" s="3" t="s">
        <v>4132</v>
      </c>
      <c r="G3368" s="4" t="str">
        <f>HYPERLINK("https://diaocthongthai.com/xa-lien-hong-tp-hai-duong/","Xã Liên Hồng")</f>
        <v>Xã Liên Hồng</v>
      </c>
    </row>
    <row r="3369" spans="1:7" x14ac:dyDescent="0.25">
      <c r="A3369" s="2">
        <v>3368</v>
      </c>
      <c r="B3369" s="3" t="s">
        <v>21</v>
      </c>
      <c r="C3369" s="4" t="str">
        <f t="shared" si="288"/>
        <v>Hải Dương</v>
      </c>
      <c r="D3369" s="3" t="s">
        <v>263</v>
      </c>
      <c r="E3369" s="4" t="str">
        <f t="shared" si="289"/>
        <v>Thành phố Hải Dương</v>
      </c>
      <c r="F3369" s="3" t="s">
        <v>4133</v>
      </c>
      <c r="G3369" s="4" t="str">
        <f>HYPERLINK("https://diaocthongthai.com/phuong-tan-hung-tp-hai-duong/","Phường Tân Hưng")</f>
        <v>Phường Tân Hưng</v>
      </c>
    </row>
    <row r="3370" spans="1:7" x14ac:dyDescent="0.25">
      <c r="A3370" s="2">
        <v>3369</v>
      </c>
      <c r="B3370" s="3" t="s">
        <v>21</v>
      </c>
      <c r="C3370" s="4" t="str">
        <f t="shared" si="288"/>
        <v>Hải Dương</v>
      </c>
      <c r="D3370" s="3" t="s">
        <v>263</v>
      </c>
      <c r="E3370" s="4" t="str">
        <f t="shared" si="289"/>
        <v>Thành phố Hải Dương</v>
      </c>
      <c r="F3370" s="3" t="s">
        <v>4134</v>
      </c>
      <c r="G3370" s="4" t="str">
        <f>HYPERLINK("https://diaocthongthai.com/xa-gia-xuyen-tp-hai-duong/","Xã Gia Xuyên")</f>
        <v>Xã Gia Xuyên</v>
      </c>
    </row>
    <row r="3371" spans="1:7" x14ac:dyDescent="0.25">
      <c r="A3371" s="2">
        <v>3370</v>
      </c>
      <c r="B3371" s="3" t="s">
        <v>21</v>
      </c>
      <c r="C3371" s="4" t="str">
        <f t="shared" si="288"/>
        <v>Hải Dương</v>
      </c>
      <c r="D3371" s="3" t="s">
        <v>263</v>
      </c>
      <c r="E3371" s="4" t="str">
        <f t="shared" si="289"/>
        <v>Thành phố Hải Dương</v>
      </c>
      <c r="F3371" s="3" t="s">
        <v>4135</v>
      </c>
      <c r="G3371" s="4" t="str">
        <f>HYPERLINK("https://diaocthongthai.com/xa-ngoc-son-tp-hai-duong/","Xã Ngọc Sơn")</f>
        <v>Xã Ngọc Sơn</v>
      </c>
    </row>
    <row r="3372" spans="1:7" x14ac:dyDescent="0.25">
      <c r="A3372" s="2">
        <v>3371</v>
      </c>
      <c r="B3372" s="3" t="s">
        <v>21</v>
      </c>
      <c r="C3372" s="4" t="str">
        <f t="shared" si="288"/>
        <v>Hải Dương</v>
      </c>
      <c r="D3372" s="3" t="s">
        <v>264</v>
      </c>
      <c r="E3372" s="4" t="str">
        <f t="shared" ref="E3372:E3390" si="290">HYPERLINK("https://diaocthongthai.com/ban-do-tp-chi-linh-hai-duong/","Thành phố Chí Linh")</f>
        <v>Thành phố Chí Linh</v>
      </c>
      <c r="F3372" s="3" t="s">
        <v>4136</v>
      </c>
      <c r="G3372" s="4" t="str">
        <f>HYPERLINK("https://diaocthongthai.com/phuong-pha-lai-tp-chi-linh/","Phường Phả Lại")</f>
        <v>Phường Phả Lại</v>
      </c>
    </row>
    <row r="3373" spans="1:7" x14ac:dyDescent="0.25">
      <c r="A3373" s="2">
        <v>3372</v>
      </c>
      <c r="B3373" s="3" t="s">
        <v>21</v>
      </c>
      <c r="C3373" s="4" t="str">
        <f t="shared" si="288"/>
        <v>Hải Dương</v>
      </c>
      <c r="D3373" s="3" t="s">
        <v>264</v>
      </c>
      <c r="E3373" s="4" t="str">
        <f t="shared" si="290"/>
        <v>Thành phố Chí Linh</v>
      </c>
      <c r="F3373" s="3" t="s">
        <v>4137</v>
      </c>
      <c r="G3373" s="4" t="str">
        <f>HYPERLINK("https://diaocthongthai.com/phuong-sao-do-tp-chi-linh/","Phường Sao Đỏ")</f>
        <v>Phường Sao Đỏ</v>
      </c>
    </row>
    <row r="3374" spans="1:7" x14ac:dyDescent="0.25">
      <c r="A3374" s="2">
        <v>3373</v>
      </c>
      <c r="B3374" s="3" t="s">
        <v>21</v>
      </c>
      <c r="C3374" s="4" t="str">
        <f t="shared" si="288"/>
        <v>Hải Dương</v>
      </c>
      <c r="D3374" s="3" t="s">
        <v>264</v>
      </c>
      <c r="E3374" s="4" t="str">
        <f t="shared" si="290"/>
        <v>Thành phố Chí Linh</v>
      </c>
      <c r="F3374" s="3" t="s">
        <v>4138</v>
      </c>
      <c r="G3374" s="4" t="str">
        <f>HYPERLINK("https://diaocthongthai.com/phuong-ben-tam-tp-chi-linh/","Phường Bến Tắm")</f>
        <v>Phường Bến Tắm</v>
      </c>
    </row>
    <row r="3375" spans="1:7" x14ac:dyDescent="0.25">
      <c r="A3375" s="2">
        <v>3374</v>
      </c>
      <c r="B3375" s="3" t="s">
        <v>21</v>
      </c>
      <c r="C3375" s="4" t="str">
        <f t="shared" si="288"/>
        <v>Hải Dương</v>
      </c>
      <c r="D3375" s="3" t="s">
        <v>264</v>
      </c>
      <c r="E3375" s="4" t="str">
        <f t="shared" si="290"/>
        <v>Thành phố Chí Linh</v>
      </c>
      <c r="F3375" s="3" t="s">
        <v>4139</v>
      </c>
      <c r="G3375" s="4" t="str">
        <f>HYPERLINK("https://diaocthongthai.com/xa-hoang-hoa-tham-tp-chi-linh/","Xã Hoàng Hoa Thám")</f>
        <v>Xã Hoàng Hoa Thám</v>
      </c>
    </row>
    <row r="3376" spans="1:7" x14ac:dyDescent="0.25">
      <c r="A3376" s="2">
        <v>3375</v>
      </c>
      <c r="B3376" s="3" t="s">
        <v>21</v>
      </c>
      <c r="C3376" s="4" t="str">
        <f t="shared" si="288"/>
        <v>Hải Dương</v>
      </c>
      <c r="D3376" s="3" t="s">
        <v>264</v>
      </c>
      <c r="E3376" s="4" t="str">
        <f t="shared" si="290"/>
        <v>Thành phố Chí Linh</v>
      </c>
      <c r="F3376" s="3" t="s">
        <v>4140</v>
      </c>
      <c r="G3376" s="4" t="str">
        <f>HYPERLINK("https://diaocthongthai.com/xa-bac-an-tp-chi-linh/","Xã Bắc An")</f>
        <v>Xã Bắc An</v>
      </c>
    </row>
    <row r="3377" spans="1:7" x14ac:dyDescent="0.25">
      <c r="A3377" s="2">
        <v>3376</v>
      </c>
      <c r="B3377" s="3" t="s">
        <v>21</v>
      </c>
      <c r="C3377" s="4" t="str">
        <f t="shared" si="288"/>
        <v>Hải Dương</v>
      </c>
      <c r="D3377" s="3" t="s">
        <v>264</v>
      </c>
      <c r="E3377" s="4" t="str">
        <f t="shared" si="290"/>
        <v>Thành phố Chí Linh</v>
      </c>
      <c r="F3377" s="3" t="s">
        <v>4141</v>
      </c>
      <c r="G3377" s="4" t="str">
        <f>HYPERLINK("https://diaocthongthai.com/xa-hung-dao-tp-chi-linh/","Xã Hưng Đạo")</f>
        <v>Xã Hưng Đạo</v>
      </c>
    </row>
    <row r="3378" spans="1:7" x14ac:dyDescent="0.25">
      <c r="A3378" s="2">
        <v>3377</v>
      </c>
      <c r="B3378" s="3" t="s">
        <v>21</v>
      </c>
      <c r="C3378" s="4" t="str">
        <f t="shared" si="288"/>
        <v>Hải Dương</v>
      </c>
      <c r="D3378" s="3" t="s">
        <v>264</v>
      </c>
      <c r="E3378" s="4" t="str">
        <f t="shared" si="290"/>
        <v>Thành phố Chí Linh</v>
      </c>
      <c r="F3378" s="3" t="s">
        <v>4142</v>
      </c>
      <c r="G3378" s="4" t="str">
        <f>HYPERLINK("https://diaocthongthai.com/xa-le-loi-tp-chi-linh/","Xã Lê Lợi")</f>
        <v>Xã Lê Lợi</v>
      </c>
    </row>
    <row r="3379" spans="1:7" x14ac:dyDescent="0.25">
      <c r="A3379" s="2">
        <v>3378</v>
      </c>
      <c r="B3379" s="3" t="s">
        <v>21</v>
      </c>
      <c r="C3379" s="4" t="str">
        <f t="shared" si="288"/>
        <v>Hải Dương</v>
      </c>
      <c r="D3379" s="3" t="s">
        <v>264</v>
      </c>
      <c r="E3379" s="4" t="str">
        <f t="shared" si="290"/>
        <v>Thành phố Chí Linh</v>
      </c>
      <c r="F3379" s="3" t="s">
        <v>4143</v>
      </c>
      <c r="G3379" s="4" t="str">
        <f>HYPERLINK("https://diaocthongthai.com/phuong-hoang-tien-tp-chi-linh/","Phường Hoàng Tiến")</f>
        <v>Phường Hoàng Tiến</v>
      </c>
    </row>
    <row r="3380" spans="1:7" x14ac:dyDescent="0.25">
      <c r="A3380" s="2">
        <v>3379</v>
      </c>
      <c r="B3380" s="3" t="s">
        <v>21</v>
      </c>
      <c r="C3380" s="4" t="str">
        <f t="shared" si="288"/>
        <v>Hải Dương</v>
      </c>
      <c r="D3380" s="3" t="s">
        <v>264</v>
      </c>
      <c r="E3380" s="4" t="str">
        <f t="shared" si="290"/>
        <v>Thành phố Chí Linh</v>
      </c>
      <c r="F3380" s="3" t="s">
        <v>4144</v>
      </c>
      <c r="G3380" s="4" t="str">
        <f>HYPERLINK("https://diaocthongthai.com/phuong-cong-hoa-tp-chi-linh/","Phường Cộng Hoà")</f>
        <v>Phường Cộng Hoà</v>
      </c>
    </row>
    <row r="3381" spans="1:7" x14ac:dyDescent="0.25">
      <c r="A3381" s="2">
        <v>3380</v>
      </c>
      <c r="B3381" s="3" t="s">
        <v>21</v>
      </c>
      <c r="C3381" s="4" t="str">
        <f t="shared" si="288"/>
        <v>Hải Dương</v>
      </c>
      <c r="D3381" s="3" t="s">
        <v>264</v>
      </c>
      <c r="E3381" s="4" t="str">
        <f t="shared" si="290"/>
        <v>Thành phố Chí Linh</v>
      </c>
      <c r="F3381" s="3" t="s">
        <v>4145</v>
      </c>
      <c r="G3381" s="4" t="str">
        <f>HYPERLINK("https://diaocthongthai.com/phuong-hoang-tan-tp-chi-linh/","Phường Hoàng Tân")</f>
        <v>Phường Hoàng Tân</v>
      </c>
    </row>
    <row r="3382" spans="1:7" x14ac:dyDescent="0.25">
      <c r="A3382" s="2">
        <v>3381</v>
      </c>
      <c r="B3382" s="3" t="s">
        <v>21</v>
      </c>
      <c r="C3382" s="4" t="str">
        <f t="shared" si="288"/>
        <v>Hải Dương</v>
      </c>
      <c r="D3382" s="3" t="s">
        <v>264</v>
      </c>
      <c r="E3382" s="4" t="str">
        <f t="shared" si="290"/>
        <v>Thành phố Chí Linh</v>
      </c>
      <c r="F3382" s="3" t="s">
        <v>4146</v>
      </c>
      <c r="G3382" s="4" t="str">
        <f>HYPERLINK("https://diaocthongthai.com/phuong-co-thanh-tp-chi-linh/","Phường Cổ Thành")</f>
        <v>Phường Cổ Thành</v>
      </c>
    </row>
    <row r="3383" spans="1:7" x14ac:dyDescent="0.25">
      <c r="A3383" s="2">
        <v>3382</v>
      </c>
      <c r="B3383" s="3" t="s">
        <v>21</v>
      </c>
      <c r="C3383" s="4" t="str">
        <f t="shared" si="288"/>
        <v>Hải Dương</v>
      </c>
      <c r="D3383" s="3" t="s">
        <v>264</v>
      </c>
      <c r="E3383" s="4" t="str">
        <f t="shared" si="290"/>
        <v>Thành phố Chí Linh</v>
      </c>
      <c r="F3383" s="3" t="s">
        <v>4147</v>
      </c>
      <c r="G3383" s="4" t="str">
        <f>HYPERLINK("https://diaocthongthai.com/phuong-van-an-tp-chi-linh/","Phường Văn An")</f>
        <v>Phường Văn An</v>
      </c>
    </row>
    <row r="3384" spans="1:7" x14ac:dyDescent="0.25">
      <c r="A3384" s="2">
        <v>3383</v>
      </c>
      <c r="B3384" s="3" t="s">
        <v>21</v>
      </c>
      <c r="C3384" s="4" t="str">
        <f t="shared" si="288"/>
        <v>Hải Dương</v>
      </c>
      <c r="D3384" s="3" t="s">
        <v>264</v>
      </c>
      <c r="E3384" s="4" t="str">
        <f t="shared" si="290"/>
        <v>Thành phố Chí Linh</v>
      </c>
      <c r="F3384" s="3" t="s">
        <v>4148</v>
      </c>
      <c r="G3384" s="4" t="str">
        <f>HYPERLINK("https://diaocthongthai.com/phuong-chi-minh-tp-chi-linh/","Phường Chí Minh")</f>
        <v>Phường Chí Minh</v>
      </c>
    </row>
    <row r="3385" spans="1:7" x14ac:dyDescent="0.25">
      <c r="A3385" s="2">
        <v>3384</v>
      </c>
      <c r="B3385" s="3" t="s">
        <v>21</v>
      </c>
      <c r="C3385" s="4" t="str">
        <f t="shared" si="288"/>
        <v>Hải Dương</v>
      </c>
      <c r="D3385" s="3" t="s">
        <v>264</v>
      </c>
      <c r="E3385" s="4" t="str">
        <f t="shared" si="290"/>
        <v>Thành phố Chí Linh</v>
      </c>
      <c r="F3385" s="3" t="s">
        <v>4149</v>
      </c>
      <c r="G3385" s="4" t="str">
        <f>HYPERLINK("https://diaocthongthai.com/phuong-van-duc-tp-chi-linh/","Phường Văn Đức")</f>
        <v>Phường Văn Đức</v>
      </c>
    </row>
    <row r="3386" spans="1:7" x14ac:dyDescent="0.25">
      <c r="A3386" s="2">
        <v>3385</v>
      </c>
      <c r="B3386" s="3" t="s">
        <v>21</v>
      </c>
      <c r="C3386" s="4" t="str">
        <f t="shared" si="288"/>
        <v>Hải Dương</v>
      </c>
      <c r="D3386" s="3" t="s">
        <v>264</v>
      </c>
      <c r="E3386" s="4" t="str">
        <f t="shared" si="290"/>
        <v>Thành phố Chí Linh</v>
      </c>
      <c r="F3386" s="3" t="s">
        <v>4150</v>
      </c>
      <c r="G3386" s="4" t="str">
        <f>HYPERLINK("https://diaocthongthai.com/phuong-thai-hoc-tp-chi-linh/","Phường Thái Học")</f>
        <v>Phường Thái Học</v>
      </c>
    </row>
    <row r="3387" spans="1:7" x14ac:dyDescent="0.25">
      <c r="A3387" s="2">
        <v>3386</v>
      </c>
      <c r="B3387" s="3" t="s">
        <v>21</v>
      </c>
      <c r="C3387" s="4" t="str">
        <f t="shared" si="288"/>
        <v>Hải Dương</v>
      </c>
      <c r="D3387" s="3" t="s">
        <v>264</v>
      </c>
      <c r="E3387" s="4" t="str">
        <f t="shared" si="290"/>
        <v>Thành phố Chí Linh</v>
      </c>
      <c r="F3387" s="3" t="s">
        <v>4151</v>
      </c>
      <c r="G3387" s="4" t="str">
        <f>HYPERLINK("https://diaocthongthai.com/xa-nhan-hue-tp-chi-linh/","Xã Nhân Huệ")</f>
        <v>Xã Nhân Huệ</v>
      </c>
    </row>
    <row r="3388" spans="1:7" x14ac:dyDescent="0.25">
      <c r="A3388" s="2">
        <v>3387</v>
      </c>
      <c r="B3388" s="3" t="s">
        <v>21</v>
      </c>
      <c r="C3388" s="4" t="str">
        <f t="shared" si="288"/>
        <v>Hải Dương</v>
      </c>
      <c r="D3388" s="3" t="s">
        <v>264</v>
      </c>
      <c r="E3388" s="4" t="str">
        <f t="shared" si="290"/>
        <v>Thành phố Chí Linh</v>
      </c>
      <c r="F3388" s="3" t="s">
        <v>4152</v>
      </c>
      <c r="G3388" s="4" t="str">
        <f>HYPERLINK("https://diaocthongthai.com/phuong-an-lac-tp-chi-linh/","Phường An Lạc")</f>
        <v>Phường An Lạc</v>
      </c>
    </row>
    <row r="3389" spans="1:7" x14ac:dyDescent="0.25">
      <c r="A3389" s="2">
        <v>3388</v>
      </c>
      <c r="B3389" s="3" t="s">
        <v>21</v>
      </c>
      <c r="C3389" s="4" t="str">
        <f t="shared" si="288"/>
        <v>Hải Dương</v>
      </c>
      <c r="D3389" s="3" t="s">
        <v>264</v>
      </c>
      <c r="E3389" s="4" t="str">
        <f t="shared" si="290"/>
        <v>Thành phố Chí Linh</v>
      </c>
      <c r="F3389" s="3" t="s">
        <v>4153</v>
      </c>
      <c r="G3389" s="4" t="str">
        <f>HYPERLINK("https://diaocthongthai.com/phuong-dong-lac-tp-chi-linh/","Phường Đồng Lạc")</f>
        <v>Phường Đồng Lạc</v>
      </c>
    </row>
    <row r="3390" spans="1:7" x14ac:dyDescent="0.25">
      <c r="A3390" s="2">
        <v>3389</v>
      </c>
      <c r="B3390" s="3" t="s">
        <v>21</v>
      </c>
      <c r="C3390" s="4" t="str">
        <f t="shared" si="288"/>
        <v>Hải Dương</v>
      </c>
      <c r="D3390" s="3" t="s">
        <v>264</v>
      </c>
      <c r="E3390" s="4" t="str">
        <f t="shared" si="290"/>
        <v>Thành phố Chí Linh</v>
      </c>
      <c r="F3390" s="3" t="s">
        <v>4154</v>
      </c>
      <c r="G3390" s="4" t="str">
        <f>HYPERLINK("https://diaocthongthai.com/phuong-tan-dan-tp-chi-linh/","Phường Tân Dân")</f>
        <v>Phường Tân Dân</v>
      </c>
    </row>
    <row r="3391" spans="1:7" x14ac:dyDescent="0.25">
      <c r="A3391" s="2">
        <v>3390</v>
      </c>
      <c r="B3391" s="3" t="s">
        <v>21</v>
      </c>
      <c r="C3391" s="4" t="str">
        <f t="shared" si="288"/>
        <v>Hải Dương</v>
      </c>
      <c r="D3391" s="3" t="s">
        <v>265</v>
      </c>
      <c r="E3391" s="4" t="str">
        <f t="shared" ref="E3391:E3409" si="291">HYPERLINK("https://diaocthongthai.com/ban-do-huyen-nam-sach-hai-duong/","Huyện Nam Sách")</f>
        <v>Huyện Nam Sách</v>
      </c>
      <c r="F3391" s="3" t="s">
        <v>4155</v>
      </c>
      <c r="G3391" s="4" t="str">
        <f>HYPERLINK("https://diaocthongthai.com/thi-tran-nam-sach-nam-sach/","Thị trấn Nam Sách")</f>
        <v>Thị trấn Nam Sách</v>
      </c>
    </row>
    <row r="3392" spans="1:7" x14ac:dyDescent="0.25">
      <c r="A3392" s="2">
        <v>3391</v>
      </c>
      <c r="B3392" s="3" t="s">
        <v>21</v>
      </c>
      <c r="C3392" s="4" t="str">
        <f t="shared" si="288"/>
        <v>Hải Dương</v>
      </c>
      <c r="D3392" s="3" t="s">
        <v>265</v>
      </c>
      <c r="E3392" s="4" t="str">
        <f t="shared" si="291"/>
        <v>Huyện Nam Sách</v>
      </c>
      <c r="F3392" s="3" t="s">
        <v>4156</v>
      </c>
      <c r="G3392" s="4" t="str">
        <f>HYPERLINK("https://diaocthongthai.com/xa-nam-hung-nam-sach/","Xã Nam Hưng")</f>
        <v>Xã Nam Hưng</v>
      </c>
    </row>
    <row r="3393" spans="1:7" x14ac:dyDescent="0.25">
      <c r="A3393" s="2">
        <v>3392</v>
      </c>
      <c r="B3393" s="3" t="s">
        <v>21</v>
      </c>
      <c r="C3393" s="4" t="str">
        <f t="shared" si="288"/>
        <v>Hải Dương</v>
      </c>
      <c r="D3393" s="3" t="s">
        <v>265</v>
      </c>
      <c r="E3393" s="4" t="str">
        <f t="shared" si="291"/>
        <v>Huyện Nam Sách</v>
      </c>
      <c r="F3393" s="3" t="s">
        <v>4157</v>
      </c>
      <c r="G3393" s="4" t="str">
        <f>HYPERLINK("https://diaocthongthai.com/xa-nam-tan-nam-sach/","Xã Nam Tân")</f>
        <v>Xã Nam Tân</v>
      </c>
    </row>
    <row r="3394" spans="1:7" x14ac:dyDescent="0.25">
      <c r="A3394" s="2">
        <v>3393</v>
      </c>
      <c r="B3394" s="3" t="s">
        <v>21</v>
      </c>
      <c r="C3394" s="4" t="str">
        <f t="shared" si="288"/>
        <v>Hải Dương</v>
      </c>
      <c r="D3394" s="3" t="s">
        <v>265</v>
      </c>
      <c r="E3394" s="4" t="str">
        <f t="shared" si="291"/>
        <v>Huyện Nam Sách</v>
      </c>
      <c r="F3394" s="3" t="s">
        <v>4158</v>
      </c>
      <c r="G3394" s="4" t="str">
        <f>HYPERLINK("https://diaocthongthai.com/xa-hop-tien-nam-sach/","Xã Hợp Tiến")</f>
        <v>Xã Hợp Tiến</v>
      </c>
    </row>
    <row r="3395" spans="1:7" x14ac:dyDescent="0.25">
      <c r="A3395" s="2">
        <v>3394</v>
      </c>
      <c r="B3395" s="3" t="s">
        <v>21</v>
      </c>
      <c r="C3395" s="4" t="str">
        <f t="shared" si="288"/>
        <v>Hải Dương</v>
      </c>
      <c r="D3395" s="3" t="s">
        <v>265</v>
      </c>
      <c r="E3395" s="4" t="str">
        <f t="shared" si="291"/>
        <v>Huyện Nam Sách</v>
      </c>
      <c r="F3395" s="3" t="s">
        <v>4159</v>
      </c>
      <c r="G3395" s="4" t="str">
        <f>HYPERLINK("https://diaocthongthai.com/xa-hiep-cat-nam-sach/","Xã Hiệp Cát")</f>
        <v>Xã Hiệp Cát</v>
      </c>
    </row>
    <row r="3396" spans="1:7" x14ac:dyDescent="0.25">
      <c r="A3396" s="2">
        <v>3395</v>
      </c>
      <c r="B3396" s="3" t="s">
        <v>21</v>
      </c>
      <c r="C3396" s="4" t="str">
        <f t="shared" si="288"/>
        <v>Hải Dương</v>
      </c>
      <c r="D3396" s="3" t="s">
        <v>265</v>
      </c>
      <c r="E3396" s="4" t="str">
        <f t="shared" si="291"/>
        <v>Huyện Nam Sách</v>
      </c>
      <c r="F3396" s="3" t="s">
        <v>4160</v>
      </c>
      <c r="G3396" s="4" t="str">
        <f>HYPERLINK("https://diaocthongthai.com/xa-thanh-quang-nam-sach/","Xã Thanh Quang")</f>
        <v>Xã Thanh Quang</v>
      </c>
    </row>
    <row r="3397" spans="1:7" x14ac:dyDescent="0.25">
      <c r="A3397" s="2">
        <v>3396</v>
      </c>
      <c r="B3397" s="3" t="s">
        <v>21</v>
      </c>
      <c r="C3397" s="4" t="str">
        <f t="shared" si="288"/>
        <v>Hải Dương</v>
      </c>
      <c r="D3397" s="3" t="s">
        <v>265</v>
      </c>
      <c r="E3397" s="4" t="str">
        <f t="shared" si="291"/>
        <v>Huyện Nam Sách</v>
      </c>
      <c r="F3397" s="3" t="s">
        <v>4161</v>
      </c>
      <c r="G3397" s="4" t="str">
        <f>HYPERLINK("https://diaocthongthai.com/xa-quoc-tuan-nam-sach/","Xã Quốc Tuấn")</f>
        <v>Xã Quốc Tuấn</v>
      </c>
    </row>
    <row r="3398" spans="1:7" x14ac:dyDescent="0.25">
      <c r="A3398" s="2">
        <v>3397</v>
      </c>
      <c r="B3398" s="3" t="s">
        <v>21</v>
      </c>
      <c r="C3398" s="4" t="str">
        <f t="shared" si="288"/>
        <v>Hải Dương</v>
      </c>
      <c r="D3398" s="3" t="s">
        <v>265</v>
      </c>
      <c r="E3398" s="4" t="str">
        <f t="shared" si="291"/>
        <v>Huyện Nam Sách</v>
      </c>
      <c r="F3398" s="3" t="s">
        <v>4162</v>
      </c>
      <c r="G3398" s="4" t="str">
        <f>HYPERLINK("https://diaocthongthai.com/xa-nam-chinh-nam-sach/","Xã Nam Chính")</f>
        <v>Xã Nam Chính</v>
      </c>
    </row>
    <row r="3399" spans="1:7" x14ac:dyDescent="0.25">
      <c r="A3399" s="2">
        <v>3398</v>
      </c>
      <c r="B3399" s="3" t="s">
        <v>21</v>
      </c>
      <c r="C3399" s="4" t="str">
        <f t="shared" si="288"/>
        <v>Hải Dương</v>
      </c>
      <c r="D3399" s="3" t="s">
        <v>265</v>
      </c>
      <c r="E3399" s="4" t="str">
        <f t="shared" si="291"/>
        <v>Huyện Nam Sách</v>
      </c>
      <c r="F3399" s="3" t="s">
        <v>4163</v>
      </c>
      <c r="G3399" s="4" t="str">
        <f>HYPERLINK("https://diaocthongthai.com/xa-an-binh-nam-sach/","Xã An Bình")</f>
        <v>Xã An Bình</v>
      </c>
    </row>
    <row r="3400" spans="1:7" x14ac:dyDescent="0.25">
      <c r="A3400" s="2">
        <v>3399</v>
      </c>
      <c r="B3400" s="3" t="s">
        <v>21</v>
      </c>
      <c r="C3400" s="4" t="str">
        <f t="shared" si="288"/>
        <v>Hải Dương</v>
      </c>
      <c r="D3400" s="3" t="s">
        <v>265</v>
      </c>
      <c r="E3400" s="4" t="str">
        <f t="shared" si="291"/>
        <v>Huyện Nam Sách</v>
      </c>
      <c r="F3400" s="3" t="s">
        <v>4164</v>
      </c>
      <c r="G3400" s="4" t="str">
        <f>HYPERLINK("https://diaocthongthai.com/xa-nam-trung-nam-sach/","Xã Nam Trung")</f>
        <v>Xã Nam Trung</v>
      </c>
    </row>
    <row r="3401" spans="1:7" x14ac:dyDescent="0.25">
      <c r="A3401" s="2">
        <v>3400</v>
      </c>
      <c r="B3401" s="3" t="s">
        <v>21</v>
      </c>
      <c r="C3401" s="4" t="str">
        <f t="shared" si="288"/>
        <v>Hải Dương</v>
      </c>
      <c r="D3401" s="3" t="s">
        <v>265</v>
      </c>
      <c r="E3401" s="4" t="str">
        <f t="shared" si="291"/>
        <v>Huyện Nam Sách</v>
      </c>
      <c r="F3401" s="3" t="s">
        <v>4165</v>
      </c>
      <c r="G3401" s="4" t="str">
        <f>HYPERLINK("https://diaocthongthai.com/xa-an-son-nam-sach/","Xã An Sơn")</f>
        <v>Xã An Sơn</v>
      </c>
    </row>
    <row r="3402" spans="1:7" x14ac:dyDescent="0.25">
      <c r="A3402" s="2">
        <v>3401</v>
      </c>
      <c r="B3402" s="3" t="s">
        <v>21</v>
      </c>
      <c r="C3402" s="4" t="str">
        <f t="shared" si="288"/>
        <v>Hải Dương</v>
      </c>
      <c r="D3402" s="3" t="s">
        <v>265</v>
      </c>
      <c r="E3402" s="4" t="str">
        <f t="shared" si="291"/>
        <v>Huyện Nam Sách</v>
      </c>
      <c r="F3402" s="3" t="s">
        <v>4166</v>
      </c>
      <c r="G3402" s="4" t="str">
        <f>HYPERLINK("https://diaocthongthai.com/xa-cong-hoa-nam-sach/","Xã Cộng Hòa")</f>
        <v>Xã Cộng Hòa</v>
      </c>
    </row>
    <row r="3403" spans="1:7" x14ac:dyDescent="0.25">
      <c r="A3403" s="2">
        <v>3402</v>
      </c>
      <c r="B3403" s="3" t="s">
        <v>21</v>
      </c>
      <c r="C3403" s="4" t="str">
        <f t="shared" si="288"/>
        <v>Hải Dương</v>
      </c>
      <c r="D3403" s="3" t="s">
        <v>265</v>
      </c>
      <c r="E3403" s="4" t="str">
        <f t="shared" si="291"/>
        <v>Huyện Nam Sách</v>
      </c>
      <c r="F3403" s="3" t="s">
        <v>4167</v>
      </c>
      <c r="G3403" s="4" t="str">
        <f>HYPERLINK("https://diaocthongthai.com/xa-thai-tan-nam-sach/","Xã Thái Tân")</f>
        <v>Xã Thái Tân</v>
      </c>
    </row>
    <row r="3404" spans="1:7" x14ac:dyDescent="0.25">
      <c r="A3404" s="2">
        <v>3403</v>
      </c>
      <c r="B3404" s="3" t="s">
        <v>21</v>
      </c>
      <c r="C3404" s="4" t="str">
        <f t="shared" si="288"/>
        <v>Hải Dương</v>
      </c>
      <c r="D3404" s="3" t="s">
        <v>265</v>
      </c>
      <c r="E3404" s="4" t="str">
        <f t="shared" si="291"/>
        <v>Huyện Nam Sách</v>
      </c>
      <c r="F3404" s="3" t="s">
        <v>4168</v>
      </c>
      <c r="G3404" s="4" t="str">
        <f>HYPERLINK("https://diaocthongthai.com/xa-an-lam-nam-sach/","Xã An Lâm")</f>
        <v>Xã An Lâm</v>
      </c>
    </row>
    <row r="3405" spans="1:7" x14ac:dyDescent="0.25">
      <c r="A3405" s="2">
        <v>3404</v>
      </c>
      <c r="B3405" s="3" t="s">
        <v>21</v>
      </c>
      <c r="C3405" s="4" t="str">
        <f t="shared" si="288"/>
        <v>Hải Dương</v>
      </c>
      <c r="D3405" s="3" t="s">
        <v>265</v>
      </c>
      <c r="E3405" s="4" t="str">
        <f t="shared" si="291"/>
        <v>Huyện Nam Sách</v>
      </c>
      <c r="F3405" s="3" t="s">
        <v>4169</v>
      </c>
      <c r="G3405" s="4" t="str">
        <f>HYPERLINK("https://diaocthongthai.com/xa-phu-dien-nam-sach/","Xã Phú Điền")</f>
        <v>Xã Phú Điền</v>
      </c>
    </row>
    <row r="3406" spans="1:7" x14ac:dyDescent="0.25">
      <c r="A3406" s="2">
        <v>3405</v>
      </c>
      <c r="B3406" s="3" t="s">
        <v>21</v>
      </c>
      <c r="C3406" s="4" t="str">
        <f t="shared" si="288"/>
        <v>Hải Dương</v>
      </c>
      <c r="D3406" s="3" t="s">
        <v>265</v>
      </c>
      <c r="E3406" s="4" t="str">
        <f t="shared" si="291"/>
        <v>Huyện Nam Sách</v>
      </c>
      <c r="F3406" s="3" t="s">
        <v>4170</v>
      </c>
      <c r="G3406" s="4" t="str">
        <f>HYPERLINK("https://diaocthongthai.com/xa-nam-hong-nam-sach/","Xã Nam Hồng")</f>
        <v>Xã Nam Hồng</v>
      </c>
    </row>
    <row r="3407" spans="1:7" x14ac:dyDescent="0.25">
      <c r="A3407" s="2">
        <v>3406</v>
      </c>
      <c r="B3407" s="3" t="s">
        <v>21</v>
      </c>
      <c r="C3407" s="4" t="str">
        <f t="shared" si="288"/>
        <v>Hải Dương</v>
      </c>
      <c r="D3407" s="3" t="s">
        <v>265</v>
      </c>
      <c r="E3407" s="4" t="str">
        <f t="shared" si="291"/>
        <v>Huyện Nam Sách</v>
      </c>
      <c r="F3407" s="3" t="s">
        <v>4171</v>
      </c>
      <c r="G3407" s="4" t="str">
        <f>HYPERLINK("https://diaocthongthai.com/xa-hong-phong-nam-sach/","Xã Hồng Phong")</f>
        <v>Xã Hồng Phong</v>
      </c>
    </row>
    <row r="3408" spans="1:7" x14ac:dyDescent="0.25">
      <c r="A3408" s="2">
        <v>3407</v>
      </c>
      <c r="B3408" s="3" t="s">
        <v>21</v>
      </c>
      <c r="C3408" s="4" t="str">
        <f t="shared" si="288"/>
        <v>Hải Dương</v>
      </c>
      <c r="D3408" s="3" t="s">
        <v>265</v>
      </c>
      <c r="E3408" s="4" t="str">
        <f t="shared" si="291"/>
        <v>Huyện Nam Sách</v>
      </c>
      <c r="F3408" s="3" t="s">
        <v>4172</v>
      </c>
      <c r="G3408" s="4" t="str">
        <f>HYPERLINK("https://diaocthongthai.com/xa-dong-lac-nam-sach/","Xã Đồng Lạc")</f>
        <v>Xã Đồng Lạc</v>
      </c>
    </row>
    <row r="3409" spans="1:7" x14ac:dyDescent="0.25">
      <c r="A3409" s="2">
        <v>3408</v>
      </c>
      <c r="B3409" s="3" t="s">
        <v>21</v>
      </c>
      <c r="C3409" s="4" t="str">
        <f t="shared" si="288"/>
        <v>Hải Dương</v>
      </c>
      <c r="D3409" s="3" t="s">
        <v>265</v>
      </c>
      <c r="E3409" s="4" t="str">
        <f t="shared" si="291"/>
        <v>Huyện Nam Sách</v>
      </c>
      <c r="F3409" s="3" t="s">
        <v>4173</v>
      </c>
      <c r="G3409" s="4" t="str">
        <f>HYPERLINK("https://diaocthongthai.com/xa-minh-tan-nam-sach/","Xã Minh Tân")</f>
        <v>Xã Minh Tân</v>
      </c>
    </row>
    <row r="3410" spans="1:7" x14ac:dyDescent="0.25">
      <c r="A3410" s="2">
        <v>3409</v>
      </c>
      <c r="B3410" s="3" t="s">
        <v>21</v>
      </c>
      <c r="C3410" s="4" t="str">
        <f t="shared" si="288"/>
        <v>Hải Dương</v>
      </c>
      <c r="D3410" s="3" t="s">
        <v>266</v>
      </c>
      <c r="E3410" s="4" t="str">
        <f t="shared" ref="E3410:E3432" si="292">HYPERLINK("https://diaocthongthai.com/ban-do-huyen-kinh-mon-hai-duong/","Thị xã Kinh Môn")</f>
        <v>Thị xã Kinh Môn</v>
      </c>
      <c r="F3410" s="3" t="s">
        <v>4174</v>
      </c>
      <c r="G3410" s="4" t="str">
        <f>HYPERLINK("https://diaocthongthai.com/phuong-an-luu-kinh-mon/","Phường An Lưu")</f>
        <v>Phường An Lưu</v>
      </c>
    </row>
    <row r="3411" spans="1:7" x14ac:dyDescent="0.25">
      <c r="A3411" s="2">
        <v>3410</v>
      </c>
      <c r="B3411" s="3" t="s">
        <v>21</v>
      </c>
      <c r="C3411" s="4" t="str">
        <f t="shared" ref="C3411:C3474" si="293">HYPERLINK("https://diaocthongthai.com/ban-do-hai-duong/","Hải Dương")</f>
        <v>Hải Dương</v>
      </c>
      <c r="D3411" s="3" t="s">
        <v>266</v>
      </c>
      <c r="E3411" s="4" t="str">
        <f t="shared" si="292"/>
        <v>Thị xã Kinh Môn</v>
      </c>
      <c r="F3411" s="3" t="s">
        <v>4175</v>
      </c>
      <c r="G3411" s="4" t="str">
        <f>HYPERLINK("https://diaocthongthai.com/xa-bach-dang-kinh-mon/","Xã Bạch Đằng")</f>
        <v>Xã Bạch Đằng</v>
      </c>
    </row>
    <row r="3412" spans="1:7" x14ac:dyDescent="0.25">
      <c r="A3412" s="2">
        <v>3411</v>
      </c>
      <c r="B3412" s="3" t="s">
        <v>21</v>
      </c>
      <c r="C3412" s="4" t="str">
        <f t="shared" si="293"/>
        <v>Hải Dương</v>
      </c>
      <c r="D3412" s="3" t="s">
        <v>266</v>
      </c>
      <c r="E3412" s="4" t="str">
        <f t="shared" si="292"/>
        <v>Thị xã Kinh Môn</v>
      </c>
      <c r="F3412" s="3" t="s">
        <v>4176</v>
      </c>
      <c r="G3412" s="4" t="str">
        <f>HYPERLINK("https://diaocthongthai.com/phuong-that-hung-kinh-mon/","Phường Thất Hùng")</f>
        <v>Phường Thất Hùng</v>
      </c>
    </row>
    <row r="3413" spans="1:7" x14ac:dyDescent="0.25">
      <c r="A3413" s="2">
        <v>3412</v>
      </c>
      <c r="B3413" s="3" t="s">
        <v>21</v>
      </c>
      <c r="C3413" s="4" t="str">
        <f t="shared" si="293"/>
        <v>Hải Dương</v>
      </c>
      <c r="D3413" s="3" t="s">
        <v>266</v>
      </c>
      <c r="E3413" s="4" t="str">
        <f t="shared" si="292"/>
        <v>Thị xã Kinh Môn</v>
      </c>
      <c r="F3413" s="3" t="s">
        <v>4177</v>
      </c>
      <c r="G3413" s="4" t="str">
        <f>HYPERLINK("https://diaocthongthai.com/xa-le-ninh-kinh-mon/","Xã Lê Ninh")</f>
        <v>Xã Lê Ninh</v>
      </c>
    </row>
    <row r="3414" spans="1:7" x14ac:dyDescent="0.25">
      <c r="A3414" s="2">
        <v>3413</v>
      </c>
      <c r="B3414" s="3" t="s">
        <v>21</v>
      </c>
      <c r="C3414" s="4" t="str">
        <f t="shared" si="293"/>
        <v>Hải Dương</v>
      </c>
      <c r="D3414" s="3" t="s">
        <v>266</v>
      </c>
      <c r="E3414" s="4" t="str">
        <f t="shared" si="292"/>
        <v>Thị xã Kinh Môn</v>
      </c>
      <c r="F3414" s="3" t="s">
        <v>4178</v>
      </c>
      <c r="G3414" s="4" t="str">
        <f>HYPERLINK("https://diaocthongthai.com/xa-hoanh-son-kinh-mon/","Xã Hoành Sơn")</f>
        <v>Xã Hoành Sơn</v>
      </c>
    </row>
    <row r="3415" spans="1:7" x14ac:dyDescent="0.25">
      <c r="A3415" s="2">
        <v>3414</v>
      </c>
      <c r="B3415" s="3" t="s">
        <v>21</v>
      </c>
      <c r="C3415" s="4" t="str">
        <f t="shared" si="293"/>
        <v>Hải Dương</v>
      </c>
      <c r="D3415" s="3" t="s">
        <v>266</v>
      </c>
      <c r="E3415" s="4" t="str">
        <f t="shared" si="292"/>
        <v>Thị xã Kinh Môn</v>
      </c>
      <c r="F3415" s="3" t="s">
        <v>4179</v>
      </c>
      <c r="G3415" s="4" t="str">
        <f>HYPERLINK("https://diaocthongthai.com/phuong-pham-thai-kinh-mon/","Phường Phạm Thái")</f>
        <v>Phường Phạm Thái</v>
      </c>
    </row>
    <row r="3416" spans="1:7" x14ac:dyDescent="0.25">
      <c r="A3416" s="2">
        <v>3415</v>
      </c>
      <c r="B3416" s="3" t="s">
        <v>21</v>
      </c>
      <c r="C3416" s="4" t="str">
        <f t="shared" si="293"/>
        <v>Hải Dương</v>
      </c>
      <c r="D3416" s="3" t="s">
        <v>266</v>
      </c>
      <c r="E3416" s="4" t="str">
        <f t="shared" si="292"/>
        <v>Thị xã Kinh Môn</v>
      </c>
      <c r="F3416" s="3" t="s">
        <v>4180</v>
      </c>
      <c r="G3416" s="4" t="str">
        <f>HYPERLINK("https://diaocthongthai.com/phuong-duy-tan-kinh-mon/","Phường Duy Tân")</f>
        <v>Phường Duy Tân</v>
      </c>
    </row>
    <row r="3417" spans="1:7" x14ac:dyDescent="0.25">
      <c r="A3417" s="2">
        <v>3416</v>
      </c>
      <c r="B3417" s="3" t="s">
        <v>21</v>
      </c>
      <c r="C3417" s="4" t="str">
        <f t="shared" si="293"/>
        <v>Hải Dương</v>
      </c>
      <c r="D3417" s="3" t="s">
        <v>266</v>
      </c>
      <c r="E3417" s="4" t="str">
        <f t="shared" si="292"/>
        <v>Thị xã Kinh Môn</v>
      </c>
      <c r="F3417" s="3" t="s">
        <v>4181</v>
      </c>
      <c r="G3417" s="4" t="str">
        <f>HYPERLINK("https://diaocthongthai.com/phuong-tan-dan-kinh-mon/","Phường Tân Dân")</f>
        <v>Phường Tân Dân</v>
      </c>
    </row>
    <row r="3418" spans="1:7" x14ac:dyDescent="0.25">
      <c r="A3418" s="2">
        <v>3417</v>
      </c>
      <c r="B3418" s="3" t="s">
        <v>21</v>
      </c>
      <c r="C3418" s="4" t="str">
        <f t="shared" si="293"/>
        <v>Hải Dương</v>
      </c>
      <c r="D3418" s="3" t="s">
        <v>266</v>
      </c>
      <c r="E3418" s="4" t="str">
        <f t="shared" si="292"/>
        <v>Thị xã Kinh Môn</v>
      </c>
      <c r="F3418" s="3" t="s">
        <v>4182</v>
      </c>
      <c r="G3418" s="4" t="str">
        <f>HYPERLINK("https://diaocthongthai.com/phuong-minh-tan-kinh-mon/","Phường Minh Tân")</f>
        <v>Phường Minh Tân</v>
      </c>
    </row>
    <row r="3419" spans="1:7" x14ac:dyDescent="0.25">
      <c r="A3419" s="2">
        <v>3418</v>
      </c>
      <c r="B3419" s="3" t="s">
        <v>21</v>
      </c>
      <c r="C3419" s="4" t="str">
        <f t="shared" si="293"/>
        <v>Hải Dương</v>
      </c>
      <c r="D3419" s="3" t="s">
        <v>266</v>
      </c>
      <c r="E3419" s="4" t="str">
        <f t="shared" si="292"/>
        <v>Thị xã Kinh Môn</v>
      </c>
      <c r="F3419" s="3" t="s">
        <v>4183</v>
      </c>
      <c r="G3419" s="4" t="str">
        <f>HYPERLINK("https://diaocthongthai.com/xa-quang-thanh-kinh-mon/","Xã Quang Thành")</f>
        <v>Xã Quang Thành</v>
      </c>
    </row>
    <row r="3420" spans="1:7" x14ac:dyDescent="0.25">
      <c r="A3420" s="2">
        <v>3419</v>
      </c>
      <c r="B3420" s="3" t="s">
        <v>21</v>
      </c>
      <c r="C3420" s="4" t="str">
        <f t="shared" si="293"/>
        <v>Hải Dương</v>
      </c>
      <c r="D3420" s="3" t="s">
        <v>266</v>
      </c>
      <c r="E3420" s="4" t="str">
        <f t="shared" si="292"/>
        <v>Thị xã Kinh Môn</v>
      </c>
      <c r="F3420" s="3" t="s">
        <v>4184</v>
      </c>
      <c r="G3420" s="4" t="str">
        <f>HYPERLINK("https://diaocthongthai.com/xa-hiep-hoa-kinh-mon/","Xã Hiệp Hòa")</f>
        <v>Xã Hiệp Hòa</v>
      </c>
    </row>
    <row r="3421" spans="1:7" x14ac:dyDescent="0.25">
      <c r="A3421" s="2">
        <v>3420</v>
      </c>
      <c r="B3421" s="3" t="s">
        <v>21</v>
      </c>
      <c r="C3421" s="4" t="str">
        <f t="shared" si="293"/>
        <v>Hải Dương</v>
      </c>
      <c r="D3421" s="3" t="s">
        <v>266</v>
      </c>
      <c r="E3421" s="4" t="str">
        <f t="shared" si="292"/>
        <v>Thị xã Kinh Môn</v>
      </c>
      <c r="F3421" s="3" t="s">
        <v>4185</v>
      </c>
      <c r="G3421" s="4" t="str">
        <f>HYPERLINK("https://diaocthongthai.com/phuong-phu-thu-kinh-mon/","Phường Phú Thứ")</f>
        <v>Phường Phú Thứ</v>
      </c>
    </row>
    <row r="3422" spans="1:7" x14ac:dyDescent="0.25">
      <c r="A3422" s="2">
        <v>3421</v>
      </c>
      <c r="B3422" s="3" t="s">
        <v>21</v>
      </c>
      <c r="C3422" s="4" t="str">
        <f t="shared" si="293"/>
        <v>Hải Dương</v>
      </c>
      <c r="D3422" s="3" t="s">
        <v>266</v>
      </c>
      <c r="E3422" s="4" t="str">
        <f t="shared" si="292"/>
        <v>Thị xã Kinh Môn</v>
      </c>
      <c r="F3422" s="3" t="s">
        <v>4186</v>
      </c>
      <c r="G3422" s="4" t="str">
        <f>HYPERLINK("https://diaocthongthai.com/xa-thang-long-kinh-mon/","Xã Thăng Long")</f>
        <v>Xã Thăng Long</v>
      </c>
    </row>
    <row r="3423" spans="1:7" x14ac:dyDescent="0.25">
      <c r="A3423" s="2">
        <v>3422</v>
      </c>
      <c r="B3423" s="3" t="s">
        <v>21</v>
      </c>
      <c r="C3423" s="4" t="str">
        <f t="shared" si="293"/>
        <v>Hải Dương</v>
      </c>
      <c r="D3423" s="3" t="s">
        <v>266</v>
      </c>
      <c r="E3423" s="4" t="str">
        <f t="shared" si="292"/>
        <v>Thị xã Kinh Môn</v>
      </c>
      <c r="F3423" s="3" t="s">
        <v>4187</v>
      </c>
      <c r="G3423" s="4" t="str">
        <f>HYPERLINK("https://diaocthongthai.com/xa-lac-long-kinh-mon/","Xã Lạc Long")</f>
        <v>Xã Lạc Long</v>
      </c>
    </row>
    <row r="3424" spans="1:7" x14ac:dyDescent="0.25">
      <c r="A3424" s="2">
        <v>3423</v>
      </c>
      <c r="B3424" s="3" t="s">
        <v>21</v>
      </c>
      <c r="C3424" s="4" t="str">
        <f t="shared" si="293"/>
        <v>Hải Dương</v>
      </c>
      <c r="D3424" s="3" t="s">
        <v>266</v>
      </c>
      <c r="E3424" s="4" t="str">
        <f t="shared" si="292"/>
        <v>Thị xã Kinh Môn</v>
      </c>
      <c r="F3424" s="3" t="s">
        <v>4188</v>
      </c>
      <c r="G3424" s="4" t="str">
        <f>HYPERLINK("https://diaocthongthai.com/phuong-an-sinh-kinh-mon/","Phường An Sinh")</f>
        <v>Phường An Sinh</v>
      </c>
    </row>
    <row r="3425" spans="1:7" x14ac:dyDescent="0.25">
      <c r="A3425" s="2">
        <v>3424</v>
      </c>
      <c r="B3425" s="3" t="s">
        <v>21</v>
      </c>
      <c r="C3425" s="4" t="str">
        <f t="shared" si="293"/>
        <v>Hải Dương</v>
      </c>
      <c r="D3425" s="3" t="s">
        <v>266</v>
      </c>
      <c r="E3425" s="4" t="str">
        <f t="shared" si="292"/>
        <v>Thị xã Kinh Môn</v>
      </c>
      <c r="F3425" s="3" t="s">
        <v>4189</v>
      </c>
      <c r="G3425" s="4" t="str">
        <f>HYPERLINK("https://diaocthongthai.com/phuong-hiep-son-kinh-mon/","Phường Hiệp Sơn")</f>
        <v>Phường Hiệp Sơn</v>
      </c>
    </row>
    <row r="3426" spans="1:7" x14ac:dyDescent="0.25">
      <c r="A3426" s="2">
        <v>3425</v>
      </c>
      <c r="B3426" s="3" t="s">
        <v>21</v>
      </c>
      <c r="C3426" s="4" t="str">
        <f t="shared" si="293"/>
        <v>Hải Dương</v>
      </c>
      <c r="D3426" s="3" t="s">
        <v>266</v>
      </c>
      <c r="E3426" s="4" t="str">
        <f t="shared" si="292"/>
        <v>Thị xã Kinh Môn</v>
      </c>
      <c r="F3426" s="3" t="s">
        <v>4190</v>
      </c>
      <c r="G3426" s="4" t="str">
        <f>HYPERLINK("https://diaocthongthai.com/xa-thuong-quan-kinh-mon/","Xã Thượng Quận")</f>
        <v>Xã Thượng Quận</v>
      </c>
    </row>
    <row r="3427" spans="1:7" x14ac:dyDescent="0.25">
      <c r="A3427" s="2">
        <v>3426</v>
      </c>
      <c r="B3427" s="3" t="s">
        <v>21</v>
      </c>
      <c r="C3427" s="4" t="str">
        <f t="shared" si="293"/>
        <v>Hải Dương</v>
      </c>
      <c r="D3427" s="3" t="s">
        <v>266</v>
      </c>
      <c r="E3427" s="4" t="str">
        <f t="shared" si="292"/>
        <v>Thị xã Kinh Môn</v>
      </c>
      <c r="F3427" s="3" t="s">
        <v>4191</v>
      </c>
      <c r="G3427" s="4" t="str">
        <f>HYPERLINK("https://diaocthongthai.com/phuong-an-phu-kinh-mon/","Phường An Phụ")</f>
        <v>Phường An Phụ</v>
      </c>
    </row>
    <row r="3428" spans="1:7" x14ac:dyDescent="0.25">
      <c r="A3428" s="2">
        <v>3427</v>
      </c>
      <c r="B3428" s="3" t="s">
        <v>21</v>
      </c>
      <c r="C3428" s="4" t="str">
        <f t="shared" si="293"/>
        <v>Hải Dương</v>
      </c>
      <c r="D3428" s="3" t="s">
        <v>266</v>
      </c>
      <c r="E3428" s="4" t="str">
        <f t="shared" si="292"/>
        <v>Thị xã Kinh Môn</v>
      </c>
      <c r="F3428" s="3" t="s">
        <v>4192</v>
      </c>
      <c r="G3428" s="4" t="str">
        <f>HYPERLINK("https://diaocthongthai.com/phuong-hiep-an-kinh-mon/","Phường Hiệp An")</f>
        <v>Phường Hiệp An</v>
      </c>
    </row>
    <row r="3429" spans="1:7" x14ac:dyDescent="0.25">
      <c r="A3429" s="2">
        <v>3428</v>
      </c>
      <c r="B3429" s="3" t="s">
        <v>21</v>
      </c>
      <c r="C3429" s="4" t="str">
        <f t="shared" si="293"/>
        <v>Hải Dương</v>
      </c>
      <c r="D3429" s="3" t="s">
        <v>266</v>
      </c>
      <c r="E3429" s="4" t="str">
        <f t="shared" si="292"/>
        <v>Thị xã Kinh Môn</v>
      </c>
      <c r="F3429" s="3" t="s">
        <v>4193</v>
      </c>
      <c r="G3429" s="4" t="str">
        <f>HYPERLINK("https://diaocthongthai.com/phuong-long-xuyen-kinh-mon/","Phường Long Xuyên")</f>
        <v>Phường Long Xuyên</v>
      </c>
    </row>
    <row r="3430" spans="1:7" x14ac:dyDescent="0.25">
      <c r="A3430" s="2">
        <v>3429</v>
      </c>
      <c r="B3430" s="3" t="s">
        <v>21</v>
      </c>
      <c r="C3430" s="4" t="str">
        <f t="shared" si="293"/>
        <v>Hải Dương</v>
      </c>
      <c r="D3430" s="3" t="s">
        <v>266</v>
      </c>
      <c r="E3430" s="4" t="str">
        <f t="shared" si="292"/>
        <v>Thị xã Kinh Môn</v>
      </c>
      <c r="F3430" s="3" t="s">
        <v>4194</v>
      </c>
      <c r="G3430" s="4" t="str">
        <f>HYPERLINK("https://diaocthongthai.com/phuong-thai-thinh-kinh-mon/","Phường Thái Thịnh")</f>
        <v>Phường Thái Thịnh</v>
      </c>
    </row>
    <row r="3431" spans="1:7" x14ac:dyDescent="0.25">
      <c r="A3431" s="2">
        <v>3430</v>
      </c>
      <c r="B3431" s="3" t="s">
        <v>21</v>
      </c>
      <c r="C3431" s="4" t="str">
        <f t="shared" si="293"/>
        <v>Hải Dương</v>
      </c>
      <c r="D3431" s="3" t="s">
        <v>266</v>
      </c>
      <c r="E3431" s="4" t="str">
        <f t="shared" si="292"/>
        <v>Thị xã Kinh Môn</v>
      </c>
      <c r="F3431" s="3" t="s">
        <v>4195</v>
      </c>
      <c r="G3431" s="4" t="str">
        <f>HYPERLINK("https://diaocthongthai.com/phuong-hien-thanh-kinh-mon/","Phường Hiến Thành")</f>
        <v>Phường Hiến Thành</v>
      </c>
    </row>
    <row r="3432" spans="1:7" x14ac:dyDescent="0.25">
      <c r="A3432" s="2">
        <v>3431</v>
      </c>
      <c r="B3432" s="3" t="s">
        <v>21</v>
      </c>
      <c r="C3432" s="4" t="str">
        <f t="shared" si="293"/>
        <v>Hải Dương</v>
      </c>
      <c r="D3432" s="3" t="s">
        <v>266</v>
      </c>
      <c r="E3432" s="4" t="str">
        <f t="shared" si="292"/>
        <v>Thị xã Kinh Môn</v>
      </c>
      <c r="F3432" s="3" t="s">
        <v>4196</v>
      </c>
      <c r="G3432" s="4" t="str">
        <f>HYPERLINK("https://diaocthongthai.com/xa-minh-hoa-kinh-mon/","Xã Minh Hòa")</f>
        <v>Xã Minh Hòa</v>
      </c>
    </row>
    <row r="3433" spans="1:7" x14ac:dyDescent="0.25">
      <c r="A3433" s="2">
        <v>3432</v>
      </c>
      <c r="B3433" s="3" t="s">
        <v>21</v>
      </c>
      <c r="C3433" s="4" t="str">
        <f t="shared" si="293"/>
        <v>Hải Dương</v>
      </c>
      <c r="D3433" s="3" t="s">
        <v>267</v>
      </c>
      <c r="E3433" s="4" t="str">
        <f t="shared" ref="E3433:E3450" si="294">HYPERLINK("https://diaocthongthai.com/ban-do-huyen-kim-thanh-hai-duong/","Huyện Kim Thành")</f>
        <v>Huyện Kim Thành</v>
      </c>
      <c r="F3433" s="3" t="s">
        <v>4197</v>
      </c>
      <c r="G3433" s="4" t="str">
        <f>HYPERLINK("https://diaocthongthai.com/thi-tran-phu-thai-kim-thanh/","Thị trấn Phú Thái")</f>
        <v>Thị trấn Phú Thái</v>
      </c>
    </row>
    <row r="3434" spans="1:7" x14ac:dyDescent="0.25">
      <c r="A3434" s="2">
        <v>3433</v>
      </c>
      <c r="B3434" s="3" t="s">
        <v>21</v>
      </c>
      <c r="C3434" s="4" t="str">
        <f t="shared" si="293"/>
        <v>Hải Dương</v>
      </c>
      <c r="D3434" s="3" t="s">
        <v>267</v>
      </c>
      <c r="E3434" s="4" t="str">
        <f t="shared" si="294"/>
        <v>Huyện Kim Thành</v>
      </c>
      <c r="F3434" s="3" t="s">
        <v>4198</v>
      </c>
      <c r="G3434" s="4" t="str">
        <f>HYPERLINK("https://diaocthongthai.com/xa-lai-vu-kim-thanh/","Xã Lai Vu")</f>
        <v>Xã Lai Vu</v>
      </c>
    </row>
    <row r="3435" spans="1:7" x14ac:dyDescent="0.25">
      <c r="A3435" s="2">
        <v>3434</v>
      </c>
      <c r="B3435" s="3" t="s">
        <v>21</v>
      </c>
      <c r="C3435" s="4" t="str">
        <f t="shared" si="293"/>
        <v>Hải Dương</v>
      </c>
      <c r="D3435" s="3" t="s">
        <v>267</v>
      </c>
      <c r="E3435" s="4" t="str">
        <f t="shared" si="294"/>
        <v>Huyện Kim Thành</v>
      </c>
      <c r="F3435" s="3" t="s">
        <v>4199</v>
      </c>
      <c r="G3435" s="4" t="str">
        <f>HYPERLINK("https://diaocthongthai.com/xa-cong-hoa-kim-thanh/","Xã Cộng Hòa")</f>
        <v>Xã Cộng Hòa</v>
      </c>
    </row>
    <row r="3436" spans="1:7" x14ac:dyDescent="0.25">
      <c r="A3436" s="2">
        <v>3435</v>
      </c>
      <c r="B3436" s="3" t="s">
        <v>21</v>
      </c>
      <c r="C3436" s="4" t="str">
        <f t="shared" si="293"/>
        <v>Hải Dương</v>
      </c>
      <c r="D3436" s="3" t="s">
        <v>267</v>
      </c>
      <c r="E3436" s="4" t="str">
        <f t="shared" si="294"/>
        <v>Huyện Kim Thành</v>
      </c>
      <c r="F3436" s="3" t="s">
        <v>4200</v>
      </c>
      <c r="G3436" s="4" t="str">
        <f>HYPERLINK("https://diaocthongthai.com/xa-thuong-vu-kim-thanh/","Xã Thượng Vũ")</f>
        <v>Xã Thượng Vũ</v>
      </c>
    </row>
    <row r="3437" spans="1:7" x14ac:dyDescent="0.25">
      <c r="A3437" s="2">
        <v>3436</v>
      </c>
      <c r="B3437" s="3" t="s">
        <v>21</v>
      </c>
      <c r="C3437" s="4" t="str">
        <f t="shared" si="293"/>
        <v>Hải Dương</v>
      </c>
      <c r="D3437" s="3" t="s">
        <v>267</v>
      </c>
      <c r="E3437" s="4" t="str">
        <f t="shared" si="294"/>
        <v>Huyện Kim Thành</v>
      </c>
      <c r="F3437" s="3" t="s">
        <v>4201</v>
      </c>
      <c r="G3437" s="4" t="str">
        <f>HYPERLINK("https://diaocthongthai.com/xa-co-dung-kim-thanh/","Xã Cổ Dũng")</f>
        <v>Xã Cổ Dũng</v>
      </c>
    </row>
    <row r="3438" spans="1:7" x14ac:dyDescent="0.25">
      <c r="A3438" s="2">
        <v>3437</v>
      </c>
      <c r="B3438" s="3" t="s">
        <v>21</v>
      </c>
      <c r="C3438" s="4" t="str">
        <f t="shared" si="293"/>
        <v>Hải Dương</v>
      </c>
      <c r="D3438" s="3" t="s">
        <v>267</v>
      </c>
      <c r="E3438" s="4" t="str">
        <f t="shared" si="294"/>
        <v>Huyện Kim Thành</v>
      </c>
      <c r="F3438" s="3" t="s">
        <v>4202</v>
      </c>
      <c r="G3438" s="4" t="str">
        <f>HYPERLINK("https://diaocthongthai.com/xa-tuan-viet-kim-thanh/","Xã Tuấn Việt")</f>
        <v>Xã Tuấn Việt</v>
      </c>
    </row>
    <row r="3439" spans="1:7" x14ac:dyDescent="0.25">
      <c r="A3439" s="2">
        <v>3438</v>
      </c>
      <c r="B3439" s="3" t="s">
        <v>21</v>
      </c>
      <c r="C3439" s="4" t="str">
        <f t="shared" si="293"/>
        <v>Hải Dương</v>
      </c>
      <c r="D3439" s="3" t="s">
        <v>267</v>
      </c>
      <c r="E3439" s="4" t="str">
        <f t="shared" si="294"/>
        <v>Huyện Kim Thành</v>
      </c>
      <c r="F3439" s="3" t="s">
        <v>4203</v>
      </c>
      <c r="G3439" s="4" t="str">
        <f>HYPERLINK("https://diaocthongthai.com/xa-kim-xuyen-kim-thanh/","Xã Kim Xuyên")</f>
        <v>Xã Kim Xuyên</v>
      </c>
    </row>
    <row r="3440" spans="1:7" x14ac:dyDescent="0.25">
      <c r="A3440" s="2">
        <v>3439</v>
      </c>
      <c r="B3440" s="3" t="s">
        <v>21</v>
      </c>
      <c r="C3440" s="4" t="str">
        <f t="shared" si="293"/>
        <v>Hải Dương</v>
      </c>
      <c r="D3440" s="3" t="s">
        <v>267</v>
      </c>
      <c r="E3440" s="4" t="str">
        <f t="shared" si="294"/>
        <v>Huyện Kim Thành</v>
      </c>
      <c r="F3440" s="3" t="s">
        <v>4204</v>
      </c>
      <c r="G3440" s="4" t="str">
        <f>HYPERLINK("https://diaocthongthai.com/xa-phuc-thanh-kim-thanh/","Xã Phúc Thành A")</f>
        <v>Xã Phúc Thành A</v>
      </c>
    </row>
    <row r="3441" spans="1:7" x14ac:dyDescent="0.25">
      <c r="A3441" s="2">
        <v>3440</v>
      </c>
      <c r="B3441" s="3" t="s">
        <v>21</v>
      </c>
      <c r="C3441" s="4" t="str">
        <f t="shared" si="293"/>
        <v>Hải Dương</v>
      </c>
      <c r="D3441" s="3" t="s">
        <v>267</v>
      </c>
      <c r="E3441" s="4" t="str">
        <f t="shared" si="294"/>
        <v>Huyện Kim Thành</v>
      </c>
      <c r="F3441" s="3" t="s">
        <v>4205</v>
      </c>
      <c r="G3441" s="4" t="str">
        <f>HYPERLINK("https://diaocthongthai.com/xa-ngu-phuc-kim-thanh/","Xã Ngũ Phúc")</f>
        <v>Xã Ngũ Phúc</v>
      </c>
    </row>
    <row r="3442" spans="1:7" x14ac:dyDescent="0.25">
      <c r="A3442" s="2">
        <v>3441</v>
      </c>
      <c r="B3442" s="3" t="s">
        <v>21</v>
      </c>
      <c r="C3442" s="4" t="str">
        <f t="shared" si="293"/>
        <v>Hải Dương</v>
      </c>
      <c r="D3442" s="3" t="s">
        <v>267</v>
      </c>
      <c r="E3442" s="4" t="str">
        <f t="shared" si="294"/>
        <v>Huyện Kim Thành</v>
      </c>
      <c r="F3442" s="3" t="s">
        <v>4206</v>
      </c>
      <c r="G3442" s="4" t="str">
        <f>HYPERLINK("https://diaocthongthai.com/xa-kim-anh-kim-thanh/","Xã Kim Anh")</f>
        <v>Xã Kim Anh</v>
      </c>
    </row>
    <row r="3443" spans="1:7" x14ac:dyDescent="0.25">
      <c r="A3443" s="2">
        <v>3442</v>
      </c>
      <c r="B3443" s="3" t="s">
        <v>21</v>
      </c>
      <c r="C3443" s="4" t="str">
        <f t="shared" si="293"/>
        <v>Hải Dương</v>
      </c>
      <c r="D3443" s="3" t="s">
        <v>267</v>
      </c>
      <c r="E3443" s="4" t="str">
        <f t="shared" si="294"/>
        <v>Huyện Kim Thành</v>
      </c>
      <c r="F3443" s="3" t="s">
        <v>4207</v>
      </c>
      <c r="G3443" s="4" t="str">
        <f>HYPERLINK("https://diaocthongthai.com/xa-kim-lien-kim-thanh/","Xã Kim Liên")</f>
        <v>Xã Kim Liên</v>
      </c>
    </row>
    <row r="3444" spans="1:7" x14ac:dyDescent="0.25">
      <c r="A3444" s="2">
        <v>3443</v>
      </c>
      <c r="B3444" s="3" t="s">
        <v>21</v>
      </c>
      <c r="C3444" s="4" t="str">
        <f t="shared" si="293"/>
        <v>Hải Dương</v>
      </c>
      <c r="D3444" s="3" t="s">
        <v>267</v>
      </c>
      <c r="E3444" s="4" t="str">
        <f t="shared" si="294"/>
        <v>Huyện Kim Thành</v>
      </c>
      <c r="F3444" s="3" t="s">
        <v>4208</v>
      </c>
      <c r="G3444" s="4" t="str">
        <f>HYPERLINK("https://diaocthongthai.com/xa-kim-tan-kim-thanh/","Xã Kim Tân")</f>
        <v>Xã Kim Tân</v>
      </c>
    </row>
    <row r="3445" spans="1:7" x14ac:dyDescent="0.25">
      <c r="A3445" s="2">
        <v>3444</v>
      </c>
      <c r="B3445" s="3" t="s">
        <v>21</v>
      </c>
      <c r="C3445" s="4" t="str">
        <f t="shared" si="293"/>
        <v>Hải Dương</v>
      </c>
      <c r="D3445" s="3" t="s">
        <v>267</v>
      </c>
      <c r="E3445" s="4" t="str">
        <f t="shared" si="294"/>
        <v>Huyện Kim Thành</v>
      </c>
      <c r="F3445" s="3" t="s">
        <v>4209</v>
      </c>
      <c r="G3445" s="4" t="str">
        <f>HYPERLINK("https://diaocthongthai.com/xa-kim-dinh-kim-thanh/","Xã Kim Đính")</f>
        <v>Xã Kim Đính</v>
      </c>
    </row>
    <row r="3446" spans="1:7" x14ac:dyDescent="0.25">
      <c r="A3446" s="2">
        <v>3445</v>
      </c>
      <c r="B3446" s="3" t="s">
        <v>21</v>
      </c>
      <c r="C3446" s="4" t="str">
        <f t="shared" si="293"/>
        <v>Hải Dương</v>
      </c>
      <c r="D3446" s="3" t="s">
        <v>267</v>
      </c>
      <c r="E3446" s="4" t="str">
        <f t="shared" si="294"/>
        <v>Huyện Kim Thành</v>
      </c>
      <c r="F3446" s="3" t="s">
        <v>4210</v>
      </c>
      <c r="G3446" s="4" t="str">
        <f>HYPERLINK("https://diaocthongthai.com/xa-binh-dan-kim-thanh/","Xã Bình Dân")</f>
        <v>Xã Bình Dân</v>
      </c>
    </row>
    <row r="3447" spans="1:7" x14ac:dyDescent="0.25">
      <c r="A3447" s="2">
        <v>3446</v>
      </c>
      <c r="B3447" s="3" t="s">
        <v>21</v>
      </c>
      <c r="C3447" s="4" t="str">
        <f t="shared" si="293"/>
        <v>Hải Dương</v>
      </c>
      <c r="D3447" s="3" t="s">
        <v>267</v>
      </c>
      <c r="E3447" s="4" t="str">
        <f t="shared" si="294"/>
        <v>Huyện Kim Thành</v>
      </c>
      <c r="F3447" s="3" t="s">
        <v>4211</v>
      </c>
      <c r="G3447" s="4" t="str">
        <f>HYPERLINK("https://diaocthongthai.com/xa-tam-ky-kim-thanh/","Xã Tam Kỳ")</f>
        <v>Xã Tam Kỳ</v>
      </c>
    </row>
    <row r="3448" spans="1:7" x14ac:dyDescent="0.25">
      <c r="A3448" s="2">
        <v>3447</v>
      </c>
      <c r="B3448" s="3" t="s">
        <v>21</v>
      </c>
      <c r="C3448" s="4" t="str">
        <f t="shared" si="293"/>
        <v>Hải Dương</v>
      </c>
      <c r="D3448" s="3" t="s">
        <v>267</v>
      </c>
      <c r="E3448" s="4" t="str">
        <f t="shared" si="294"/>
        <v>Huyện Kim Thành</v>
      </c>
      <c r="F3448" s="3" t="s">
        <v>4212</v>
      </c>
      <c r="G3448" s="4" t="str">
        <f>HYPERLINK("https://diaocthongthai.com/xa-dong-cam-kim-thanh/","Xã Đồng Cẩm")</f>
        <v>Xã Đồng Cẩm</v>
      </c>
    </row>
    <row r="3449" spans="1:7" x14ac:dyDescent="0.25">
      <c r="A3449" s="2">
        <v>3448</v>
      </c>
      <c r="B3449" s="3" t="s">
        <v>21</v>
      </c>
      <c r="C3449" s="4" t="str">
        <f t="shared" si="293"/>
        <v>Hải Dương</v>
      </c>
      <c r="D3449" s="3" t="s">
        <v>267</v>
      </c>
      <c r="E3449" s="4" t="str">
        <f t="shared" si="294"/>
        <v>Huyện Kim Thành</v>
      </c>
      <c r="F3449" s="3" t="s">
        <v>4213</v>
      </c>
      <c r="G3449" s="4" t="str">
        <f>HYPERLINK("https://diaocthongthai.com/xa-lien-hoa-kim-thanh/","Xã Liên Hòa")</f>
        <v>Xã Liên Hòa</v>
      </c>
    </row>
    <row r="3450" spans="1:7" x14ac:dyDescent="0.25">
      <c r="A3450" s="2">
        <v>3449</v>
      </c>
      <c r="B3450" s="3" t="s">
        <v>21</v>
      </c>
      <c r="C3450" s="4" t="str">
        <f t="shared" si="293"/>
        <v>Hải Dương</v>
      </c>
      <c r="D3450" s="3" t="s">
        <v>267</v>
      </c>
      <c r="E3450" s="4" t="str">
        <f t="shared" si="294"/>
        <v>Huyện Kim Thành</v>
      </c>
      <c r="F3450" s="3" t="s">
        <v>4214</v>
      </c>
      <c r="G3450" s="4" t="str">
        <f>HYPERLINK("https://diaocthongthai.com/xa-dai-duc-kim-thanh/","Xã Đại Đức")</f>
        <v>Xã Đại Đức</v>
      </c>
    </row>
    <row r="3451" spans="1:7" x14ac:dyDescent="0.25">
      <c r="A3451" s="2">
        <v>3450</v>
      </c>
      <c r="B3451" s="3" t="s">
        <v>21</v>
      </c>
      <c r="C3451" s="4" t="str">
        <f t="shared" si="293"/>
        <v>Hải Dương</v>
      </c>
      <c r="D3451" s="3" t="s">
        <v>268</v>
      </c>
      <c r="E3451" s="4" t="str">
        <f t="shared" ref="E3451:E3470" si="295">HYPERLINK("https://diaocthongthai.com/ban-do-huyen-thanh-ha-hai-duong/","Huyện Thanh Hà")</f>
        <v>Huyện Thanh Hà</v>
      </c>
      <c r="F3451" s="3" t="s">
        <v>4215</v>
      </c>
      <c r="G3451" s="4" t="str">
        <f>HYPERLINK("https://diaocthongthai.com/thi-tran-thanh-ha-thanh-ha/","Thị trấn Thanh Hà")</f>
        <v>Thị trấn Thanh Hà</v>
      </c>
    </row>
    <row r="3452" spans="1:7" x14ac:dyDescent="0.25">
      <c r="A3452" s="2">
        <v>3451</v>
      </c>
      <c r="B3452" s="3" t="s">
        <v>21</v>
      </c>
      <c r="C3452" s="4" t="str">
        <f t="shared" si="293"/>
        <v>Hải Dương</v>
      </c>
      <c r="D3452" s="3" t="s">
        <v>268</v>
      </c>
      <c r="E3452" s="4" t="str">
        <f t="shared" si="295"/>
        <v>Huyện Thanh Hà</v>
      </c>
      <c r="F3452" s="3" t="s">
        <v>4216</v>
      </c>
      <c r="G3452" s="4" t="str">
        <f>HYPERLINK("https://diaocthongthai.com/xa-hong-lac-thanh-ha/","Xã Hồng Lạc")</f>
        <v>Xã Hồng Lạc</v>
      </c>
    </row>
    <row r="3453" spans="1:7" x14ac:dyDescent="0.25">
      <c r="A3453" s="2">
        <v>3452</v>
      </c>
      <c r="B3453" s="3" t="s">
        <v>21</v>
      </c>
      <c r="C3453" s="4" t="str">
        <f t="shared" si="293"/>
        <v>Hải Dương</v>
      </c>
      <c r="D3453" s="3" t="s">
        <v>268</v>
      </c>
      <c r="E3453" s="4" t="str">
        <f t="shared" si="295"/>
        <v>Huyện Thanh Hà</v>
      </c>
      <c r="F3453" s="3" t="s">
        <v>4217</v>
      </c>
      <c r="G3453" s="4" t="str">
        <f>HYPERLINK("https://diaocthongthai.com/xa-viet-hong-thanh-ha/","Xã Việt Hồng")</f>
        <v>Xã Việt Hồng</v>
      </c>
    </row>
    <row r="3454" spans="1:7" x14ac:dyDescent="0.25">
      <c r="A3454" s="2">
        <v>3453</v>
      </c>
      <c r="B3454" s="3" t="s">
        <v>21</v>
      </c>
      <c r="C3454" s="4" t="str">
        <f t="shared" si="293"/>
        <v>Hải Dương</v>
      </c>
      <c r="D3454" s="3" t="s">
        <v>268</v>
      </c>
      <c r="E3454" s="4" t="str">
        <f t="shared" si="295"/>
        <v>Huyện Thanh Hà</v>
      </c>
      <c r="F3454" s="3" t="s">
        <v>4218</v>
      </c>
      <c r="G3454" s="4" t="str">
        <f>HYPERLINK("https://diaocthongthai.com/xa-tan-viet-thanh-ha/","Xã Tân Việt")</f>
        <v>Xã Tân Việt</v>
      </c>
    </row>
    <row r="3455" spans="1:7" x14ac:dyDescent="0.25">
      <c r="A3455" s="2">
        <v>3454</v>
      </c>
      <c r="B3455" s="3" t="s">
        <v>21</v>
      </c>
      <c r="C3455" s="4" t="str">
        <f t="shared" si="293"/>
        <v>Hải Dương</v>
      </c>
      <c r="D3455" s="3" t="s">
        <v>268</v>
      </c>
      <c r="E3455" s="4" t="str">
        <f t="shared" si="295"/>
        <v>Huyện Thanh Hà</v>
      </c>
      <c r="F3455" s="3" t="s">
        <v>4219</v>
      </c>
      <c r="G3455" s="4" t="str">
        <f>HYPERLINK("https://diaocthongthai.com/xa-cam-che-thanh-ha/","Xã Cẩm Chế")</f>
        <v>Xã Cẩm Chế</v>
      </c>
    </row>
    <row r="3456" spans="1:7" x14ac:dyDescent="0.25">
      <c r="A3456" s="2">
        <v>3455</v>
      </c>
      <c r="B3456" s="3" t="s">
        <v>21</v>
      </c>
      <c r="C3456" s="4" t="str">
        <f t="shared" si="293"/>
        <v>Hải Dương</v>
      </c>
      <c r="D3456" s="3" t="s">
        <v>268</v>
      </c>
      <c r="E3456" s="4" t="str">
        <f t="shared" si="295"/>
        <v>Huyện Thanh Hà</v>
      </c>
      <c r="F3456" s="3" t="s">
        <v>4220</v>
      </c>
      <c r="G3456" s="4" t="str">
        <f>HYPERLINK("https://diaocthongthai.com/xa-thanh-an-thanh-ha/","Xã Thanh An")</f>
        <v>Xã Thanh An</v>
      </c>
    </row>
    <row r="3457" spans="1:7" x14ac:dyDescent="0.25">
      <c r="A3457" s="2">
        <v>3456</v>
      </c>
      <c r="B3457" s="3" t="s">
        <v>21</v>
      </c>
      <c r="C3457" s="4" t="str">
        <f t="shared" si="293"/>
        <v>Hải Dương</v>
      </c>
      <c r="D3457" s="3" t="s">
        <v>268</v>
      </c>
      <c r="E3457" s="4" t="str">
        <f t="shared" si="295"/>
        <v>Huyện Thanh Hà</v>
      </c>
      <c r="F3457" s="3" t="s">
        <v>4221</v>
      </c>
      <c r="G3457" s="4" t="str">
        <f>HYPERLINK("https://diaocthongthai.com/xa-thanh-lang-thanh-ha/","Xã Thanh Lang")</f>
        <v>Xã Thanh Lang</v>
      </c>
    </row>
    <row r="3458" spans="1:7" x14ac:dyDescent="0.25">
      <c r="A3458" s="2">
        <v>3457</v>
      </c>
      <c r="B3458" s="3" t="s">
        <v>21</v>
      </c>
      <c r="C3458" s="4" t="str">
        <f t="shared" si="293"/>
        <v>Hải Dương</v>
      </c>
      <c r="D3458" s="3" t="s">
        <v>268</v>
      </c>
      <c r="E3458" s="4" t="str">
        <f t="shared" si="295"/>
        <v>Huyện Thanh Hà</v>
      </c>
      <c r="F3458" s="3" t="s">
        <v>4222</v>
      </c>
      <c r="G3458" s="4" t="str">
        <f>HYPERLINK("https://diaocthongthai.com/xa-tan-an-thanh-ha/","Xã Tân An")</f>
        <v>Xã Tân An</v>
      </c>
    </row>
    <row r="3459" spans="1:7" x14ac:dyDescent="0.25">
      <c r="A3459" s="2">
        <v>3458</v>
      </c>
      <c r="B3459" s="3" t="s">
        <v>21</v>
      </c>
      <c r="C3459" s="4" t="str">
        <f t="shared" si="293"/>
        <v>Hải Dương</v>
      </c>
      <c r="D3459" s="3" t="s">
        <v>268</v>
      </c>
      <c r="E3459" s="4" t="str">
        <f t="shared" si="295"/>
        <v>Huyện Thanh Hà</v>
      </c>
      <c r="F3459" s="3" t="s">
        <v>4223</v>
      </c>
      <c r="G3459" s="4" t="str">
        <f>HYPERLINK("https://diaocthongthai.com/xa-lien-mac-thanh-ha/","Xã Liên Mạc")</f>
        <v>Xã Liên Mạc</v>
      </c>
    </row>
    <row r="3460" spans="1:7" x14ac:dyDescent="0.25">
      <c r="A3460" s="2">
        <v>3459</v>
      </c>
      <c r="B3460" s="3" t="s">
        <v>21</v>
      </c>
      <c r="C3460" s="4" t="str">
        <f t="shared" si="293"/>
        <v>Hải Dương</v>
      </c>
      <c r="D3460" s="3" t="s">
        <v>268</v>
      </c>
      <c r="E3460" s="4" t="str">
        <f t="shared" si="295"/>
        <v>Huyện Thanh Hà</v>
      </c>
      <c r="F3460" s="3" t="s">
        <v>4224</v>
      </c>
      <c r="G3460" s="4" t="str">
        <f>HYPERLINK("https://diaocthongthai.com/xa-thanh-hai-thanh-ha/","Xã Thanh Hải")</f>
        <v>Xã Thanh Hải</v>
      </c>
    </row>
    <row r="3461" spans="1:7" x14ac:dyDescent="0.25">
      <c r="A3461" s="2">
        <v>3460</v>
      </c>
      <c r="B3461" s="3" t="s">
        <v>21</v>
      </c>
      <c r="C3461" s="4" t="str">
        <f t="shared" si="293"/>
        <v>Hải Dương</v>
      </c>
      <c r="D3461" s="3" t="s">
        <v>268</v>
      </c>
      <c r="E3461" s="4" t="str">
        <f t="shared" si="295"/>
        <v>Huyện Thanh Hà</v>
      </c>
      <c r="F3461" s="3" t="s">
        <v>4225</v>
      </c>
      <c r="G3461" s="4" t="str">
        <f>HYPERLINK("https://diaocthongthai.com/xa-thanh-khe-thanh-ha/","Xã Thanh Khê")</f>
        <v>Xã Thanh Khê</v>
      </c>
    </row>
    <row r="3462" spans="1:7" x14ac:dyDescent="0.25">
      <c r="A3462" s="2">
        <v>3461</v>
      </c>
      <c r="B3462" s="3" t="s">
        <v>21</v>
      </c>
      <c r="C3462" s="4" t="str">
        <f t="shared" si="293"/>
        <v>Hải Dương</v>
      </c>
      <c r="D3462" s="3" t="s">
        <v>268</v>
      </c>
      <c r="E3462" s="4" t="str">
        <f t="shared" si="295"/>
        <v>Huyện Thanh Hà</v>
      </c>
      <c r="F3462" s="3" t="s">
        <v>4226</v>
      </c>
      <c r="G3462" s="4" t="str">
        <f>HYPERLINK("https://diaocthongthai.com/xa-thanh-xa-thanh-ha/","Xã Thanh Xá")</f>
        <v>Xã Thanh Xá</v>
      </c>
    </row>
    <row r="3463" spans="1:7" x14ac:dyDescent="0.25">
      <c r="A3463" s="2">
        <v>3462</v>
      </c>
      <c r="B3463" s="3" t="s">
        <v>21</v>
      </c>
      <c r="C3463" s="4" t="str">
        <f t="shared" si="293"/>
        <v>Hải Dương</v>
      </c>
      <c r="D3463" s="3" t="s">
        <v>268</v>
      </c>
      <c r="E3463" s="4" t="str">
        <f t="shared" si="295"/>
        <v>Huyện Thanh Hà</v>
      </c>
      <c r="F3463" s="3" t="s">
        <v>4227</v>
      </c>
      <c r="G3463" s="4" t="str">
        <f>HYPERLINK("https://diaocthongthai.com/xa-thanh-xuan-thanh-ha/","Xã Thanh Xuân")</f>
        <v>Xã Thanh Xuân</v>
      </c>
    </row>
    <row r="3464" spans="1:7" x14ac:dyDescent="0.25">
      <c r="A3464" s="2">
        <v>3463</v>
      </c>
      <c r="B3464" s="3" t="s">
        <v>21</v>
      </c>
      <c r="C3464" s="4" t="str">
        <f t="shared" si="293"/>
        <v>Hải Dương</v>
      </c>
      <c r="D3464" s="3" t="s">
        <v>268</v>
      </c>
      <c r="E3464" s="4" t="str">
        <f t="shared" si="295"/>
        <v>Huyện Thanh Hà</v>
      </c>
      <c r="F3464" s="3" t="s">
        <v>4228</v>
      </c>
      <c r="G3464" s="4" t="str">
        <f>HYPERLINK("https://diaocthongthai.com/xa-thanh-thuy-thanh-ha/","Xã Thanh Thủy")</f>
        <v>Xã Thanh Thủy</v>
      </c>
    </row>
    <row r="3465" spans="1:7" x14ac:dyDescent="0.25">
      <c r="A3465" s="2">
        <v>3464</v>
      </c>
      <c r="B3465" s="3" t="s">
        <v>21</v>
      </c>
      <c r="C3465" s="4" t="str">
        <f t="shared" si="293"/>
        <v>Hải Dương</v>
      </c>
      <c r="D3465" s="3" t="s">
        <v>268</v>
      </c>
      <c r="E3465" s="4" t="str">
        <f t="shared" si="295"/>
        <v>Huyện Thanh Hà</v>
      </c>
      <c r="F3465" s="3" t="s">
        <v>4229</v>
      </c>
      <c r="G3465" s="4" t="str">
        <f>HYPERLINK("https://diaocthongthai.com/xa-an-phuong-thanh-ha/","Xã An Phượng")</f>
        <v>Xã An Phượng</v>
      </c>
    </row>
    <row r="3466" spans="1:7" x14ac:dyDescent="0.25">
      <c r="A3466" s="2">
        <v>3465</v>
      </c>
      <c r="B3466" s="3" t="s">
        <v>21</v>
      </c>
      <c r="C3466" s="4" t="str">
        <f t="shared" si="293"/>
        <v>Hải Dương</v>
      </c>
      <c r="D3466" s="3" t="s">
        <v>268</v>
      </c>
      <c r="E3466" s="4" t="str">
        <f t="shared" si="295"/>
        <v>Huyện Thanh Hà</v>
      </c>
      <c r="F3466" s="3" t="s">
        <v>4230</v>
      </c>
      <c r="G3466" s="4" t="str">
        <f>HYPERLINK("https://diaocthongthai.com/xa-thanh-son-thanh-ha/","Xã Thanh Sơn")</f>
        <v>Xã Thanh Sơn</v>
      </c>
    </row>
    <row r="3467" spans="1:7" x14ac:dyDescent="0.25">
      <c r="A3467" s="2">
        <v>3466</v>
      </c>
      <c r="B3467" s="3" t="s">
        <v>21</v>
      </c>
      <c r="C3467" s="4" t="str">
        <f t="shared" si="293"/>
        <v>Hải Dương</v>
      </c>
      <c r="D3467" s="3" t="s">
        <v>268</v>
      </c>
      <c r="E3467" s="4" t="str">
        <f t="shared" si="295"/>
        <v>Huyện Thanh Hà</v>
      </c>
      <c r="F3467" s="3" t="s">
        <v>4231</v>
      </c>
      <c r="G3467" s="4" t="str">
        <f>HYPERLINK("https://diaocthongthai.com/xa-thanh-quang-thanh-ha/","Xã Thanh Quang")</f>
        <v>Xã Thanh Quang</v>
      </c>
    </row>
    <row r="3468" spans="1:7" x14ac:dyDescent="0.25">
      <c r="A3468" s="2">
        <v>3467</v>
      </c>
      <c r="B3468" s="3" t="s">
        <v>21</v>
      </c>
      <c r="C3468" s="4" t="str">
        <f t="shared" si="293"/>
        <v>Hải Dương</v>
      </c>
      <c r="D3468" s="3" t="s">
        <v>268</v>
      </c>
      <c r="E3468" s="4" t="str">
        <f t="shared" si="295"/>
        <v>Huyện Thanh Hà</v>
      </c>
      <c r="F3468" s="3" t="s">
        <v>4232</v>
      </c>
      <c r="G3468" s="4" t="str">
        <f>HYPERLINK("https://diaocthongthai.com/xa-thanh-hong-thanh-ha/","Xã Thanh Hồng")</f>
        <v>Xã Thanh Hồng</v>
      </c>
    </row>
    <row r="3469" spans="1:7" x14ac:dyDescent="0.25">
      <c r="A3469" s="2">
        <v>3468</v>
      </c>
      <c r="B3469" s="3" t="s">
        <v>21</v>
      </c>
      <c r="C3469" s="4" t="str">
        <f t="shared" si="293"/>
        <v>Hải Dương</v>
      </c>
      <c r="D3469" s="3" t="s">
        <v>268</v>
      </c>
      <c r="E3469" s="4" t="str">
        <f t="shared" si="295"/>
        <v>Huyện Thanh Hà</v>
      </c>
      <c r="F3469" s="3" t="s">
        <v>4233</v>
      </c>
      <c r="G3469" s="4" t="str">
        <f>HYPERLINK("https://diaocthongthai.com/xa-thanh-cuong-thanh-ha/","Xã Thanh Cường")</f>
        <v>Xã Thanh Cường</v>
      </c>
    </row>
    <row r="3470" spans="1:7" x14ac:dyDescent="0.25">
      <c r="A3470" s="2">
        <v>3469</v>
      </c>
      <c r="B3470" s="3" t="s">
        <v>21</v>
      </c>
      <c r="C3470" s="4" t="str">
        <f t="shared" si="293"/>
        <v>Hải Dương</v>
      </c>
      <c r="D3470" s="3" t="s">
        <v>268</v>
      </c>
      <c r="E3470" s="4" t="str">
        <f t="shared" si="295"/>
        <v>Huyện Thanh Hà</v>
      </c>
      <c r="F3470" s="3" t="s">
        <v>4234</v>
      </c>
      <c r="G3470" s="4" t="str">
        <f>HYPERLINK("https://diaocthongthai.com/xa-vinh-lap-thanh-ha/","Xã Vĩnh Lập")</f>
        <v>Xã Vĩnh Lập</v>
      </c>
    </row>
    <row r="3471" spans="1:7" x14ac:dyDescent="0.25">
      <c r="A3471" s="2">
        <v>3470</v>
      </c>
      <c r="B3471" s="3" t="s">
        <v>21</v>
      </c>
      <c r="C3471" s="4" t="str">
        <f t="shared" si="293"/>
        <v>Hải Dương</v>
      </c>
      <c r="D3471" s="3" t="s">
        <v>269</v>
      </c>
      <c r="E3471" s="4" t="str">
        <f t="shared" ref="E3471:E3487" si="296">HYPERLINK("https://diaocthongthai.com/ban-do-huyen-cam-giang-hai-duong/","Huyện Cẩm Giàng")</f>
        <v>Huyện Cẩm Giàng</v>
      </c>
      <c r="F3471" s="3" t="s">
        <v>4235</v>
      </c>
      <c r="G3471" s="4" t="str">
        <f>HYPERLINK("https://diaocthongthai.com/thi-tran-cam-giang-cam-giang/","Thị trấn Cẩm Giang")</f>
        <v>Thị trấn Cẩm Giang</v>
      </c>
    </row>
    <row r="3472" spans="1:7" x14ac:dyDescent="0.25">
      <c r="A3472" s="2">
        <v>3471</v>
      </c>
      <c r="B3472" s="3" t="s">
        <v>21</v>
      </c>
      <c r="C3472" s="4" t="str">
        <f t="shared" si="293"/>
        <v>Hải Dương</v>
      </c>
      <c r="D3472" s="3" t="s">
        <v>269</v>
      </c>
      <c r="E3472" s="4" t="str">
        <f t="shared" si="296"/>
        <v>Huyện Cẩm Giàng</v>
      </c>
      <c r="F3472" s="3" t="s">
        <v>4236</v>
      </c>
      <c r="G3472" s="4" t="str">
        <f>HYPERLINK("https://diaocthongthai.com/thi-tran-lai-cach-cam-giang/","Thị trấn Lai Cách")</f>
        <v>Thị trấn Lai Cách</v>
      </c>
    </row>
    <row r="3473" spans="1:7" x14ac:dyDescent="0.25">
      <c r="A3473" s="2">
        <v>3472</v>
      </c>
      <c r="B3473" s="3" t="s">
        <v>21</v>
      </c>
      <c r="C3473" s="4" t="str">
        <f t="shared" si="293"/>
        <v>Hải Dương</v>
      </c>
      <c r="D3473" s="3" t="s">
        <v>269</v>
      </c>
      <c r="E3473" s="4" t="str">
        <f t="shared" si="296"/>
        <v>Huyện Cẩm Giàng</v>
      </c>
      <c r="F3473" s="3" t="s">
        <v>4237</v>
      </c>
      <c r="G3473" s="4" t="str">
        <f>HYPERLINK("https://diaocthongthai.com/xa-cam-hung-cam-giang/","Xã Cẩm Hưng")</f>
        <v>Xã Cẩm Hưng</v>
      </c>
    </row>
    <row r="3474" spans="1:7" x14ac:dyDescent="0.25">
      <c r="A3474" s="2">
        <v>3473</v>
      </c>
      <c r="B3474" s="3" t="s">
        <v>21</v>
      </c>
      <c r="C3474" s="4" t="str">
        <f t="shared" si="293"/>
        <v>Hải Dương</v>
      </c>
      <c r="D3474" s="3" t="s">
        <v>269</v>
      </c>
      <c r="E3474" s="4" t="str">
        <f t="shared" si="296"/>
        <v>Huyện Cẩm Giàng</v>
      </c>
      <c r="F3474" s="3" t="s">
        <v>4238</v>
      </c>
      <c r="G3474" s="4" t="str">
        <f>HYPERLINK("https://diaocthongthai.com/xa-cam-hoang-cam-giang/","Xã Cẩm Hoàng")</f>
        <v>Xã Cẩm Hoàng</v>
      </c>
    </row>
    <row r="3475" spans="1:7" x14ac:dyDescent="0.25">
      <c r="A3475" s="2">
        <v>3474</v>
      </c>
      <c r="B3475" s="3" t="s">
        <v>21</v>
      </c>
      <c r="C3475" s="4" t="str">
        <f t="shared" ref="C3475:C3538" si="297">HYPERLINK("https://diaocthongthai.com/ban-do-hai-duong/","Hải Dương")</f>
        <v>Hải Dương</v>
      </c>
      <c r="D3475" s="3" t="s">
        <v>269</v>
      </c>
      <c r="E3475" s="4" t="str">
        <f t="shared" si="296"/>
        <v>Huyện Cẩm Giàng</v>
      </c>
      <c r="F3475" s="3" t="s">
        <v>4239</v>
      </c>
      <c r="G3475" s="4" t="str">
        <f>HYPERLINK("https://diaocthongthai.com/xa-cam-van-cam-giang/","Xã Cẩm Văn")</f>
        <v>Xã Cẩm Văn</v>
      </c>
    </row>
    <row r="3476" spans="1:7" x14ac:dyDescent="0.25">
      <c r="A3476" s="2">
        <v>3475</v>
      </c>
      <c r="B3476" s="3" t="s">
        <v>21</v>
      </c>
      <c r="C3476" s="4" t="str">
        <f t="shared" si="297"/>
        <v>Hải Dương</v>
      </c>
      <c r="D3476" s="3" t="s">
        <v>269</v>
      </c>
      <c r="E3476" s="4" t="str">
        <f t="shared" si="296"/>
        <v>Huyện Cẩm Giàng</v>
      </c>
      <c r="F3476" s="3" t="s">
        <v>4240</v>
      </c>
      <c r="G3476" s="4" t="str">
        <f>HYPERLINK("https://diaocthongthai.com/xa-ngoc-lien-cam-giang/","Xã Ngọc Liên")</f>
        <v>Xã Ngọc Liên</v>
      </c>
    </row>
    <row r="3477" spans="1:7" x14ac:dyDescent="0.25">
      <c r="A3477" s="2">
        <v>3476</v>
      </c>
      <c r="B3477" s="3" t="s">
        <v>21</v>
      </c>
      <c r="C3477" s="4" t="str">
        <f t="shared" si="297"/>
        <v>Hải Dương</v>
      </c>
      <c r="D3477" s="3" t="s">
        <v>269</v>
      </c>
      <c r="E3477" s="4" t="str">
        <f t="shared" si="296"/>
        <v>Huyện Cẩm Giàng</v>
      </c>
      <c r="F3477" s="3" t="s">
        <v>4241</v>
      </c>
      <c r="G3477" s="4" t="str">
        <f>HYPERLINK("https://diaocthongthai.com/xa-thach-loi-cam-giang/","Xã Thạch Lỗi")</f>
        <v>Xã Thạch Lỗi</v>
      </c>
    </row>
    <row r="3478" spans="1:7" x14ac:dyDescent="0.25">
      <c r="A3478" s="2">
        <v>3477</v>
      </c>
      <c r="B3478" s="3" t="s">
        <v>21</v>
      </c>
      <c r="C3478" s="4" t="str">
        <f t="shared" si="297"/>
        <v>Hải Dương</v>
      </c>
      <c r="D3478" s="3" t="s">
        <v>269</v>
      </c>
      <c r="E3478" s="4" t="str">
        <f t="shared" si="296"/>
        <v>Huyện Cẩm Giàng</v>
      </c>
      <c r="F3478" s="3" t="s">
        <v>4242</v>
      </c>
      <c r="G3478" s="4" t="str">
        <f>HYPERLINK("https://diaocthongthai.com/xa-cam-vu-cam-giang/","Xã Cẩm Vũ")</f>
        <v>Xã Cẩm Vũ</v>
      </c>
    </row>
    <row r="3479" spans="1:7" x14ac:dyDescent="0.25">
      <c r="A3479" s="2">
        <v>3478</v>
      </c>
      <c r="B3479" s="3" t="s">
        <v>21</v>
      </c>
      <c r="C3479" s="4" t="str">
        <f t="shared" si="297"/>
        <v>Hải Dương</v>
      </c>
      <c r="D3479" s="3" t="s">
        <v>269</v>
      </c>
      <c r="E3479" s="4" t="str">
        <f t="shared" si="296"/>
        <v>Huyện Cẩm Giàng</v>
      </c>
      <c r="F3479" s="3" t="s">
        <v>4243</v>
      </c>
      <c r="G3479" s="4" t="str">
        <f>HYPERLINK("https://diaocthongthai.com/xa-duc-chinh-cam-giang/","Xã Đức Chính")</f>
        <v>Xã Đức Chính</v>
      </c>
    </row>
    <row r="3480" spans="1:7" x14ac:dyDescent="0.25">
      <c r="A3480" s="2">
        <v>3479</v>
      </c>
      <c r="B3480" s="3" t="s">
        <v>21</v>
      </c>
      <c r="C3480" s="4" t="str">
        <f t="shared" si="297"/>
        <v>Hải Dương</v>
      </c>
      <c r="D3480" s="3" t="s">
        <v>269</v>
      </c>
      <c r="E3480" s="4" t="str">
        <f t="shared" si="296"/>
        <v>Huyện Cẩm Giàng</v>
      </c>
      <c r="F3480" s="3" t="s">
        <v>4244</v>
      </c>
      <c r="G3480" s="4" t="str">
        <f>HYPERLINK("https://diaocthongthai.com/xa-dinh-son-cam-giang/","Xã Định Sơn")</f>
        <v>Xã Định Sơn</v>
      </c>
    </row>
    <row r="3481" spans="1:7" x14ac:dyDescent="0.25">
      <c r="A3481" s="2">
        <v>3480</v>
      </c>
      <c r="B3481" s="3" t="s">
        <v>21</v>
      </c>
      <c r="C3481" s="4" t="str">
        <f t="shared" si="297"/>
        <v>Hải Dương</v>
      </c>
      <c r="D3481" s="3" t="s">
        <v>269</v>
      </c>
      <c r="E3481" s="4" t="str">
        <f t="shared" si="296"/>
        <v>Huyện Cẩm Giàng</v>
      </c>
      <c r="F3481" s="3" t="s">
        <v>4245</v>
      </c>
      <c r="G3481" s="4" t="str">
        <f>HYPERLINK("https://diaocthongthai.com/xa-luong-dien-cam-giang/","Xã Lương Điền")</f>
        <v>Xã Lương Điền</v>
      </c>
    </row>
    <row r="3482" spans="1:7" x14ac:dyDescent="0.25">
      <c r="A3482" s="2">
        <v>3481</v>
      </c>
      <c r="B3482" s="3" t="s">
        <v>21</v>
      </c>
      <c r="C3482" s="4" t="str">
        <f t="shared" si="297"/>
        <v>Hải Dương</v>
      </c>
      <c r="D3482" s="3" t="s">
        <v>269</v>
      </c>
      <c r="E3482" s="4" t="str">
        <f t="shared" si="296"/>
        <v>Huyện Cẩm Giàng</v>
      </c>
      <c r="F3482" s="3" t="s">
        <v>4246</v>
      </c>
      <c r="G3482" s="4" t="str">
        <f>HYPERLINK("https://diaocthongthai.com/xa-cao-an-cam-giang/","Xã Cao An")</f>
        <v>Xã Cao An</v>
      </c>
    </row>
    <row r="3483" spans="1:7" x14ac:dyDescent="0.25">
      <c r="A3483" s="2">
        <v>3482</v>
      </c>
      <c r="B3483" s="3" t="s">
        <v>21</v>
      </c>
      <c r="C3483" s="4" t="str">
        <f t="shared" si="297"/>
        <v>Hải Dương</v>
      </c>
      <c r="D3483" s="3" t="s">
        <v>269</v>
      </c>
      <c r="E3483" s="4" t="str">
        <f t="shared" si="296"/>
        <v>Huyện Cẩm Giàng</v>
      </c>
      <c r="F3483" s="3" t="s">
        <v>4247</v>
      </c>
      <c r="G3483" s="4" t="str">
        <f>HYPERLINK("https://diaocthongthai.com/xa-tan-truong-cam-giang/","Xã Tân Trường")</f>
        <v>Xã Tân Trường</v>
      </c>
    </row>
    <row r="3484" spans="1:7" x14ac:dyDescent="0.25">
      <c r="A3484" s="2">
        <v>3483</v>
      </c>
      <c r="B3484" s="3" t="s">
        <v>21</v>
      </c>
      <c r="C3484" s="4" t="str">
        <f t="shared" si="297"/>
        <v>Hải Dương</v>
      </c>
      <c r="D3484" s="3" t="s">
        <v>269</v>
      </c>
      <c r="E3484" s="4" t="str">
        <f t="shared" si="296"/>
        <v>Huyện Cẩm Giàng</v>
      </c>
      <c r="F3484" s="3" t="s">
        <v>4248</v>
      </c>
      <c r="G3484" s="4" t="str">
        <f>HYPERLINK("https://diaocthongthai.com/xa-cam-phuc-cam-giang/","Xã Cẩm Phúc")</f>
        <v>Xã Cẩm Phúc</v>
      </c>
    </row>
    <row r="3485" spans="1:7" x14ac:dyDescent="0.25">
      <c r="A3485" s="2">
        <v>3484</v>
      </c>
      <c r="B3485" s="3" t="s">
        <v>21</v>
      </c>
      <c r="C3485" s="4" t="str">
        <f t="shared" si="297"/>
        <v>Hải Dương</v>
      </c>
      <c r="D3485" s="3" t="s">
        <v>269</v>
      </c>
      <c r="E3485" s="4" t="str">
        <f t="shared" si="296"/>
        <v>Huyện Cẩm Giàng</v>
      </c>
      <c r="F3485" s="3" t="s">
        <v>4249</v>
      </c>
      <c r="G3485" s="4" t="str">
        <f>HYPERLINK("https://diaocthongthai.com/xa-cam-dien-cam-giang/","Xã Cẩm Điền")</f>
        <v>Xã Cẩm Điền</v>
      </c>
    </row>
    <row r="3486" spans="1:7" x14ac:dyDescent="0.25">
      <c r="A3486" s="2">
        <v>3485</v>
      </c>
      <c r="B3486" s="3" t="s">
        <v>21</v>
      </c>
      <c r="C3486" s="4" t="str">
        <f t="shared" si="297"/>
        <v>Hải Dương</v>
      </c>
      <c r="D3486" s="3" t="s">
        <v>269</v>
      </c>
      <c r="E3486" s="4" t="str">
        <f t="shared" si="296"/>
        <v>Huyện Cẩm Giàng</v>
      </c>
      <c r="F3486" s="3" t="s">
        <v>4250</v>
      </c>
      <c r="G3486" s="4" t="str">
        <f>HYPERLINK("https://diaocthongthai.com/xa-cam-dong-cam-giang/","Xã Cẩm Đông")</f>
        <v>Xã Cẩm Đông</v>
      </c>
    </row>
    <row r="3487" spans="1:7" x14ac:dyDescent="0.25">
      <c r="A3487" s="2">
        <v>3486</v>
      </c>
      <c r="B3487" s="3" t="s">
        <v>21</v>
      </c>
      <c r="C3487" s="4" t="str">
        <f t="shared" si="297"/>
        <v>Hải Dương</v>
      </c>
      <c r="D3487" s="3" t="s">
        <v>269</v>
      </c>
      <c r="E3487" s="4" t="str">
        <f t="shared" si="296"/>
        <v>Huyện Cẩm Giàng</v>
      </c>
      <c r="F3487" s="3" t="s">
        <v>4251</v>
      </c>
      <c r="G3487" s="4" t="str">
        <f>HYPERLINK("https://diaocthongthai.com/xa-cam-doai-cam-giang/","Xã Cẩm Đoài")</f>
        <v>Xã Cẩm Đoài</v>
      </c>
    </row>
    <row r="3488" spans="1:7" x14ac:dyDescent="0.25">
      <c r="A3488" s="2">
        <v>3487</v>
      </c>
      <c r="B3488" s="3" t="s">
        <v>21</v>
      </c>
      <c r="C3488" s="4" t="str">
        <f t="shared" si="297"/>
        <v>Hải Dương</v>
      </c>
      <c r="D3488" s="3" t="s">
        <v>270</v>
      </c>
      <c r="E3488" s="4" t="str">
        <f t="shared" ref="E3488:E3503" si="298">HYPERLINK("https://diaocthongthai.com/ban-do-huyen-binh-giang-hai-duong/","Huyện Bình Giang")</f>
        <v>Huyện Bình Giang</v>
      </c>
      <c r="F3488" s="3" t="s">
        <v>4252</v>
      </c>
      <c r="G3488" s="4" t="str">
        <f>HYPERLINK("https://diaocthongthai.com/thi-tran-ke-sat-binh-giang/","Thị trấn Kẻ Sặt")</f>
        <v>Thị trấn Kẻ Sặt</v>
      </c>
    </row>
    <row r="3489" spans="1:7" x14ac:dyDescent="0.25">
      <c r="A3489" s="2">
        <v>3488</v>
      </c>
      <c r="B3489" s="3" t="s">
        <v>21</v>
      </c>
      <c r="C3489" s="4" t="str">
        <f t="shared" si="297"/>
        <v>Hải Dương</v>
      </c>
      <c r="D3489" s="3" t="s">
        <v>270</v>
      </c>
      <c r="E3489" s="4" t="str">
        <f t="shared" si="298"/>
        <v>Huyện Bình Giang</v>
      </c>
      <c r="F3489" s="3" t="s">
        <v>4253</v>
      </c>
      <c r="G3489" s="4" t="str">
        <f>HYPERLINK("https://diaocthongthai.com/xa-vinh-hung-binh-giang/","Xã Vĩnh Hưng")</f>
        <v>Xã Vĩnh Hưng</v>
      </c>
    </row>
    <row r="3490" spans="1:7" x14ac:dyDescent="0.25">
      <c r="A3490" s="2">
        <v>3489</v>
      </c>
      <c r="B3490" s="3" t="s">
        <v>21</v>
      </c>
      <c r="C3490" s="4" t="str">
        <f t="shared" si="297"/>
        <v>Hải Dương</v>
      </c>
      <c r="D3490" s="3" t="s">
        <v>270</v>
      </c>
      <c r="E3490" s="4" t="str">
        <f t="shared" si="298"/>
        <v>Huyện Bình Giang</v>
      </c>
      <c r="F3490" s="3" t="s">
        <v>4254</v>
      </c>
      <c r="G3490" s="4" t="str">
        <f>HYPERLINK("https://diaocthongthai.com/xa-hung-thang-binh-giang/","Xã Hùng Thắng")</f>
        <v>Xã Hùng Thắng</v>
      </c>
    </row>
    <row r="3491" spans="1:7" x14ac:dyDescent="0.25">
      <c r="A3491" s="2">
        <v>3490</v>
      </c>
      <c r="B3491" s="3" t="s">
        <v>21</v>
      </c>
      <c r="C3491" s="4" t="str">
        <f t="shared" si="297"/>
        <v>Hải Dương</v>
      </c>
      <c r="D3491" s="3" t="s">
        <v>270</v>
      </c>
      <c r="E3491" s="4" t="str">
        <f t="shared" si="298"/>
        <v>Huyện Bình Giang</v>
      </c>
      <c r="F3491" s="3" t="s">
        <v>4255</v>
      </c>
      <c r="G3491" s="4" t="str">
        <f>HYPERLINK("https://diaocthongthai.com/xa-vinh-hong-binh-giang/","Xã Vĩnh Hồng")</f>
        <v>Xã Vĩnh Hồng</v>
      </c>
    </row>
    <row r="3492" spans="1:7" x14ac:dyDescent="0.25">
      <c r="A3492" s="2">
        <v>3491</v>
      </c>
      <c r="B3492" s="3" t="s">
        <v>21</v>
      </c>
      <c r="C3492" s="4" t="str">
        <f t="shared" si="297"/>
        <v>Hải Dương</v>
      </c>
      <c r="D3492" s="3" t="s">
        <v>270</v>
      </c>
      <c r="E3492" s="4" t="str">
        <f t="shared" si="298"/>
        <v>Huyện Bình Giang</v>
      </c>
      <c r="F3492" s="3" t="s">
        <v>4256</v>
      </c>
      <c r="G3492" s="4" t="str">
        <f>HYPERLINK("https://diaocthongthai.com/xa-long-xuyen-binh-giang/","Xã Long Xuyên")</f>
        <v>Xã Long Xuyên</v>
      </c>
    </row>
    <row r="3493" spans="1:7" x14ac:dyDescent="0.25">
      <c r="A3493" s="2">
        <v>3492</v>
      </c>
      <c r="B3493" s="3" t="s">
        <v>21</v>
      </c>
      <c r="C3493" s="4" t="str">
        <f t="shared" si="297"/>
        <v>Hải Dương</v>
      </c>
      <c r="D3493" s="3" t="s">
        <v>270</v>
      </c>
      <c r="E3493" s="4" t="str">
        <f t="shared" si="298"/>
        <v>Huyện Bình Giang</v>
      </c>
      <c r="F3493" s="3" t="s">
        <v>4257</v>
      </c>
      <c r="G3493" s="4" t="str">
        <f>HYPERLINK("https://diaocthongthai.com/xa-tan-viet-binh-giang/","Xã Tân Việt")</f>
        <v>Xã Tân Việt</v>
      </c>
    </row>
    <row r="3494" spans="1:7" x14ac:dyDescent="0.25">
      <c r="A3494" s="2">
        <v>3493</v>
      </c>
      <c r="B3494" s="3" t="s">
        <v>21</v>
      </c>
      <c r="C3494" s="4" t="str">
        <f t="shared" si="297"/>
        <v>Hải Dương</v>
      </c>
      <c r="D3494" s="3" t="s">
        <v>270</v>
      </c>
      <c r="E3494" s="4" t="str">
        <f t="shared" si="298"/>
        <v>Huyện Bình Giang</v>
      </c>
      <c r="F3494" s="3" t="s">
        <v>4258</v>
      </c>
      <c r="G3494" s="4" t="str">
        <f>HYPERLINK("https://diaocthongthai.com/xa-thuc-khang-binh-giang/","Xã Thúc Kháng")</f>
        <v>Xã Thúc Kháng</v>
      </c>
    </row>
    <row r="3495" spans="1:7" x14ac:dyDescent="0.25">
      <c r="A3495" s="2">
        <v>3494</v>
      </c>
      <c r="B3495" s="3" t="s">
        <v>21</v>
      </c>
      <c r="C3495" s="4" t="str">
        <f t="shared" si="297"/>
        <v>Hải Dương</v>
      </c>
      <c r="D3495" s="3" t="s">
        <v>270</v>
      </c>
      <c r="E3495" s="4" t="str">
        <f t="shared" si="298"/>
        <v>Huyện Bình Giang</v>
      </c>
      <c r="F3495" s="3" t="s">
        <v>4259</v>
      </c>
      <c r="G3495" s="4" t="str">
        <f>HYPERLINK("https://diaocthongthai.com/xa-tan-hong-binh-giang/","Xã Tân Hồng")</f>
        <v>Xã Tân Hồng</v>
      </c>
    </row>
    <row r="3496" spans="1:7" x14ac:dyDescent="0.25">
      <c r="A3496" s="2">
        <v>3495</v>
      </c>
      <c r="B3496" s="3" t="s">
        <v>21</v>
      </c>
      <c r="C3496" s="4" t="str">
        <f t="shared" si="297"/>
        <v>Hải Dương</v>
      </c>
      <c r="D3496" s="3" t="s">
        <v>270</v>
      </c>
      <c r="E3496" s="4" t="str">
        <f t="shared" si="298"/>
        <v>Huyện Bình Giang</v>
      </c>
      <c r="F3496" s="3" t="s">
        <v>4260</v>
      </c>
      <c r="G3496" s="4" t="str">
        <f>HYPERLINK("https://diaocthongthai.com/xa-binh-minh-binh-giang/","Xã Bình Minh")</f>
        <v>Xã Bình Minh</v>
      </c>
    </row>
    <row r="3497" spans="1:7" x14ac:dyDescent="0.25">
      <c r="A3497" s="2">
        <v>3496</v>
      </c>
      <c r="B3497" s="3" t="s">
        <v>21</v>
      </c>
      <c r="C3497" s="4" t="str">
        <f t="shared" si="297"/>
        <v>Hải Dương</v>
      </c>
      <c r="D3497" s="3" t="s">
        <v>270</v>
      </c>
      <c r="E3497" s="4" t="str">
        <f t="shared" si="298"/>
        <v>Huyện Bình Giang</v>
      </c>
      <c r="F3497" s="3" t="s">
        <v>4261</v>
      </c>
      <c r="G3497" s="4" t="str">
        <f>HYPERLINK("https://diaocthongthai.com/xa-hong-khe-binh-giang/","Xã Hồng Khê")</f>
        <v>Xã Hồng Khê</v>
      </c>
    </row>
    <row r="3498" spans="1:7" x14ac:dyDescent="0.25">
      <c r="A3498" s="2">
        <v>3497</v>
      </c>
      <c r="B3498" s="3" t="s">
        <v>21</v>
      </c>
      <c r="C3498" s="4" t="str">
        <f t="shared" si="297"/>
        <v>Hải Dương</v>
      </c>
      <c r="D3498" s="3" t="s">
        <v>270</v>
      </c>
      <c r="E3498" s="4" t="str">
        <f t="shared" si="298"/>
        <v>Huyện Bình Giang</v>
      </c>
      <c r="F3498" s="3" t="s">
        <v>4262</v>
      </c>
      <c r="G3498" s="4" t="str">
        <f>HYPERLINK("https://diaocthongthai.com/xa-thai-hoc-binh-giang/","Xã Thái Học")</f>
        <v>Xã Thái Học</v>
      </c>
    </row>
    <row r="3499" spans="1:7" x14ac:dyDescent="0.25">
      <c r="A3499" s="2">
        <v>3498</v>
      </c>
      <c r="B3499" s="3" t="s">
        <v>21</v>
      </c>
      <c r="C3499" s="4" t="str">
        <f t="shared" si="297"/>
        <v>Hải Dương</v>
      </c>
      <c r="D3499" s="3" t="s">
        <v>270</v>
      </c>
      <c r="E3499" s="4" t="str">
        <f t="shared" si="298"/>
        <v>Huyện Bình Giang</v>
      </c>
      <c r="F3499" s="3" t="s">
        <v>4263</v>
      </c>
      <c r="G3499" s="4" t="str">
        <f>HYPERLINK("https://diaocthongthai.com/xa-co-bi-binh-giang/","Xã Cổ Bì")</f>
        <v>Xã Cổ Bì</v>
      </c>
    </row>
    <row r="3500" spans="1:7" x14ac:dyDescent="0.25">
      <c r="A3500" s="2">
        <v>3499</v>
      </c>
      <c r="B3500" s="3" t="s">
        <v>21</v>
      </c>
      <c r="C3500" s="4" t="str">
        <f t="shared" si="297"/>
        <v>Hải Dương</v>
      </c>
      <c r="D3500" s="3" t="s">
        <v>270</v>
      </c>
      <c r="E3500" s="4" t="str">
        <f t="shared" si="298"/>
        <v>Huyện Bình Giang</v>
      </c>
      <c r="F3500" s="3" t="s">
        <v>4264</v>
      </c>
      <c r="G3500" s="4" t="str">
        <f>HYPERLINK("https://diaocthongthai.com/xa-nhan-quyen-binh-giang/","Xã Nhân Quyền")</f>
        <v>Xã Nhân Quyền</v>
      </c>
    </row>
    <row r="3501" spans="1:7" x14ac:dyDescent="0.25">
      <c r="A3501" s="2">
        <v>3500</v>
      </c>
      <c r="B3501" s="3" t="s">
        <v>21</v>
      </c>
      <c r="C3501" s="4" t="str">
        <f t="shared" si="297"/>
        <v>Hải Dương</v>
      </c>
      <c r="D3501" s="3" t="s">
        <v>270</v>
      </c>
      <c r="E3501" s="4" t="str">
        <f t="shared" si="298"/>
        <v>Huyện Bình Giang</v>
      </c>
      <c r="F3501" s="3" t="s">
        <v>4265</v>
      </c>
      <c r="G3501" s="4" t="str">
        <f>HYPERLINK("https://diaocthongthai.com/xa-thai-duong-binh-giang/","Xã Thái Dương")</f>
        <v>Xã Thái Dương</v>
      </c>
    </row>
    <row r="3502" spans="1:7" x14ac:dyDescent="0.25">
      <c r="A3502" s="2">
        <v>3501</v>
      </c>
      <c r="B3502" s="3" t="s">
        <v>21</v>
      </c>
      <c r="C3502" s="4" t="str">
        <f t="shared" si="297"/>
        <v>Hải Dương</v>
      </c>
      <c r="D3502" s="3" t="s">
        <v>270</v>
      </c>
      <c r="E3502" s="4" t="str">
        <f t="shared" si="298"/>
        <v>Huyện Bình Giang</v>
      </c>
      <c r="F3502" s="3" t="s">
        <v>4266</v>
      </c>
      <c r="G3502" s="4" t="str">
        <f>HYPERLINK("https://diaocthongthai.com/xa-thai-hoa-binh-giang/","Xã Thái Hòa")</f>
        <v>Xã Thái Hòa</v>
      </c>
    </row>
    <row r="3503" spans="1:7" x14ac:dyDescent="0.25">
      <c r="A3503" s="2">
        <v>3502</v>
      </c>
      <c r="B3503" s="3" t="s">
        <v>21</v>
      </c>
      <c r="C3503" s="4" t="str">
        <f t="shared" si="297"/>
        <v>Hải Dương</v>
      </c>
      <c r="D3503" s="3" t="s">
        <v>270</v>
      </c>
      <c r="E3503" s="4" t="str">
        <f t="shared" si="298"/>
        <v>Huyện Bình Giang</v>
      </c>
      <c r="F3503" s="3" t="s">
        <v>4267</v>
      </c>
      <c r="G3503" s="4" t="str">
        <f>HYPERLINK("https://diaocthongthai.com/xa-binh-xuyen-binh-giang/","Xã Bình Xuyên")</f>
        <v>Xã Bình Xuyên</v>
      </c>
    </row>
    <row r="3504" spans="1:7" x14ac:dyDescent="0.25">
      <c r="A3504" s="2">
        <v>3503</v>
      </c>
      <c r="B3504" s="3" t="s">
        <v>21</v>
      </c>
      <c r="C3504" s="4" t="str">
        <f t="shared" si="297"/>
        <v>Hải Dương</v>
      </c>
      <c r="D3504" s="3" t="s">
        <v>271</v>
      </c>
      <c r="E3504" s="4" t="str">
        <f t="shared" ref="E3504:E3521" si="299">HYPERLINK("https://diaocthongthai.com/ban-do-huyen-gia-loc-hai-duong/","Huyện Gia Lộc")</f>
        <v>Huyện Gia Lộc</v>
      </c>
      <c r="F3504" s="3" t="s">
        <v>4268</v>
      </c>
      <c r="G3504" s="4" t="str">
        <f>HYPERLINK("https://diaocthongthai.com/thi-tran-gia-loc-gia-loc/","Thị trấn Gia Lộc")</f>
        <v>Thị trấn Gia Lộc</v>
      </c>
    </row>
    <row r="3505" spans="1:7" x14ac:dyDescent="0.25">
      <c r="A3505" s="2">
        <v>3504</v>
      </c>
      <c r="B3505" s="3" t="s">
        <v>21</v>
      </c>
      <c r="C3505" s="4" t="str">
        <f t="shared" si="297"/>
        <v>Hải Dương</v>
      </c>
      <c r="D3505" s="3" t="s">
        <v>271</v>
      </c>
      <c r="E3505" s="4" t="str">
        <f t="shared" si="299"/>
        <v>Huyện Gia Lộc</v>
      </c>
      <c r="F3505" s="3" t="s">
        <v>4269</v>
      </c>
      <c r="G3505" s="4" t="str">
        <f>HYPERLINK("https://diaocthongthai.com/xa-thong-nhat-gia-loc/","Xã Thống Nhất")</f>
        <v>Xã Thống Nhất</v>
      </c>
    </row>
    <row r="3506" spans="1:7" x14ac:dyDescent="0.25">
      <c r="A3506" s="2">
        <v>3505</v>
      </c>
      <c r="B3506" s="3" t="s">
        <v>21</v>
      </c>
      <c r="C3506" s="4" t="str">
        <f t="shared" si="297"/>
        <v>Hải Dương</v>
      </c>
      <c r="D3506" s="3" t="s">
        <v>271</v>
      </c>
      <c r="E3506" s="4" t="str">
        <f t="shared" si="299"/>
        <v>Huyện Gia Lộc</v>
      </c>
      <c r="F3506" s="3" t="s">
        <v>4270</v>
      </c>
      <c r="G3506" s="4" t="str">
        <f>HYPERLINK("https://diaocthongthai.com/xa-yet-kieu-gia-loc/","Xã Yết Kiêu")</f>
        <v>Xã Yết Kiêu</v>
      </c>
    </row>
    <row r="3507" spans="1:7" x14ac:dyDescent="0.25">
      <c r="A3507" s="2">
        <v>3506</v>
      </c>
      <c r="B3507" s="3" t="s">
        <v>21</v>
      </c>
      <c r="C3507" s="4" t="str">
        <f t="shared" si="297"/>
        <v>Hải Dương</v>
      </c>
      <c r="D3507" s="3" t="s">
        <v>271</v>
      </c>
      <c r="E3507" s="4" t="str">
        <f t="shared" si="299"/>
        <v>Huyện Gia Lộc</v>
      </c>
      <c r="F3507" s="3" t="s">
        <v>4271</v>
      </c>
      <c r="G3507" s="4" t="str">
        <f>HYPERLINK("https://diaocthongthai.com/xa-gia-tan-gia-loc/","Xã Gia Tân")</f>
        <v>Xã Gia Tân</v>
      </c>
    </row>
    <row r="3508" spans="1:7" x14ac:dyDescent="0.25">
      <c r="A3508" s="2">
        <v>3507</v>
      </c>
      <c r="B3508" s="3" t="s">
        <v>21</v>
      </c>
      <c r="C3508" s="4" t="str">
        <f t="shared" si="297"/>
        <v>Hải Dương</v>
      </c>
      <c r="D3508" s="3" t="s">
        <v>271</v>
      </c>
      <c r="E3508" s="4" t="str">
        <f t="shared" si="299"/>
        <v>Huyện Gia Lộc</v>
      </c>
      <c r="F3508" s="3" t="s">
        <v>4272</v>
      </c>
      <c r="G3508" s="4" t="str">
        <f>HYPERLINK("https://diaocthongthai.com/xa-tan-tien-gia-loc/","Xã Tân Tiến")</f>
        <v>Xã Tân Tiến</v>
      </c>
    </row>
    <row r="3509" spans="1:7" x14ac:dyDescent="0.25">
      <c r="A3509" s="2">
        <v>3508</v>
      </c>
      <c r="B3509" s="3" t="s">
        <v>21</v>
      </c>
      <c r="C3509" s="4" t="str">
        <f t="shared" si="297"/>
        <v>Hải Dương</v>
      </c>
      <c r="D3509" s="3" t="s">
        <v>271</v>
      </c>
      <c r="E3509" s="4" t="str">
        <f t="shared" si="299"/>
        <v>Huyện Gia Lộc</v>
      </c>
      <c r="F3509" s="3" t="s">
        <v>4273</v>
      </c>
      <c r="G3509" s="4" t="str">
        <f>HYPERLINK("https://diaocthongthai.com/xa-gia-khanh-gia-loc/","Xã Gia Khánh")</f>
        <v>Xã Gia Khánh</v>
      </c>
    </row>
    <row r="3510" spans="1:7" x14ac:dyDescent="0.25">
      <c r="A3510" s="2">
        <v>3509</v>
      </c>
      <c r="B3510" s="3" t="s">
        <v>21</v>
      </c>
      <c r="C3510" s="4" t="str">
        <f t="shared" si="297"/>
        <v>Hải Dương</v>
      </c>
      <c r="D3510" s="3" t="s">
        <v>271</v>
      </c>
      <c r="E3510" s="4" t="str">
        <f t="shared" si="299"/>
        <v>Huyện Gia Lộc</v>
      </c>
      <c r="F3510" s="3" t="s">
        <v>4274</v>
      </c>
      <c r="G3510" s="4" t="str">
        <f>HYPERLINK("https://diaocthongthai.com/xa-gia-luong-gia-loc/","Xã Gia Lương")</f>
        <v>Xã Gia Lương</v>
      </c>
    </row>
    <row r="3511" spans="1:7" x14ac:dyDescent="0.25">
      <c r="A3511" s="2">
        <v>3510</v>
      </c>
      <c r="B3511" s="3" t="s">
        <v>21</v>
      </c>
      <c r="C3511" s="4" t="str">
        <f t="shared" si="297"/>
        <v>Hải Dương</v>
      </c>
      <c r="D3511" s="3" t="s">
        <v>271</v>
      </c>
      <c r="E3511" s="4" t="str">
        <f t="shared" si="299"/>
        <v>Huyện Gia Lộc</v>
      </c>
      <c r="F3511" s="3" t="s">
        <v>4275</v>
      </c>
      <c r="G3511" s="4" t="str">
        <f>HYPERLINK("https://diaocthongthai.com/xa-le-loi-gia-loc/","Xã Lê Lợi")</f>
        <v>Xã Lê Lợi</v>
      </c>
    </row>
    <row r="3512" spans="1:7" x14ac:dyDescent="0.25">
      <c r="A3512" s="2">
        <v>3511</v>
      </c>
      <c r="B3512" s="3" t="s">
        <v>21</v>
      </c>
      <c r="C3512" s="4" t="str">
        <f t="shared" si="297"/>
        <v>Hải Dương</v>
      </c>
      <c r="D3512" s="3" t="s">
        <v>271</v>
      </c>
      <c r="E3512" s="4" t="str">
        <f t="shared" si="299"/>
        <v>Huyện Gia Lộc</v>
      </c>
      <c r="F3512" s="3" t="s">
        <v>4276</v>
      </c>
      <c r="G3512" s="4" t="str">
        <f>HYPERLINK("https://diaocthongthai.com/xa-toan-thang-gia-loc/","Xã Toàn Thắng")</f>
        <v>Xã Toàn Thắng</v>
      </c>
    </row>
    <row r="3513" spans="1:7" x14ac:dyDescent="0.25">
      <c r="A3513" s="2">
        <v>3512</v>
      </c>
      <c r="B3513" s="3" t="s">
        <v>21</v>
      </c>
      <c r="C3513" s="4" t="str">
        <f t="shared" si="297"/>
        <v>Hải Dương</v>
      </c>
      <c r="D3513" s="3" t="s">
        <v>271</v>
      </c>
      <c r="E3513" s="4" t="str">
        <f t="shared" si="299"/>
        <v>Huyện Gia Lộc</v>
      </c>
      <c r="F3513" s="3" t="s">
        <v>4277</v>
      </c>
      <c r="G3513" s="4" t="str">
        <f>HYPERLINK("https://diaocthongthai.com/xa-hoang-dieu-gia-loc/","Xã Hoàng Diệu")</f>
        <v>Xã Hoàng Diệu</v>
      </c>
    </row>
    <row r="3514" spans="1:7" x14ac:dyDescent="0.25">
      <c r="A3514" s="2">
        <v>3513</v>
      </c>
      <c r="B3514" s="3" t="s">
        <v>21</v>
      </c>
      <c r="C3514" s="4" t="str">
        <f t="shared" si="297"/>
        <v>Hải Dương</v>
      </c>
      <c r="D3514" s="3" t="s">
        <v>271</v>
      </c>
      <c r="E3514" s="4" t="str">
        <f t="shared" si="299"/>
        <v>Huyện Gia Lộc</v>
      </c>
      <c r="F3514" s="3" t="s">
        <v>4278</v>
      </c>
      <c r="G3514" s="4" t="str">
        <f>HYPERLINK("https://diaocthongthai.com/xa-hong-hung-gia-loc/","Xã Hồng Hưng")</f>
        <v>Xã Hồng Hưng</v>
      </c>
    </row>
    <row r="3515" spans="1:7" x14ac:dyDescent="0.25">
      <c r="A3515" s="2">
        <v>3514</v>
      </c>
      <c r="B3515" s="3" t="s">
        <v>21</v>
      </c>
      <c r="C3515" s="4" t="str">
        <f t="shared" si="297"/>
        <v>Hải Dương</v>
      </c>
      <c r="D3515" s="3" t="s">
        <v>271</v>
      </c>
      <c r="E3515" s="4" t="str">
        <f t="shared" si="299"/>
        <v>Huyện Gia Lộc</v>
      </c>
      <c r="F3515" s="3" t="s">
        <v>4279</v>
      </c>
      <c r="G3515" s="4" t="str">
        <f>HYPERLINK("https://diaocthongthai.com/xa-pham-tran-gia-loc/","Xã Phạm Trấn")</f>
        <v>Xã Phạm Trấn</v>
      </c>
    </row>
    <row r="3516" spans="1:7" x14ac:dyDescent="0.25">
      <c r="A3516" s="2">
        <v>3515</v>
      </c>
      <c r="B3516" s="3" t="s">
        <v>21</v>
      </c>
      <c r="C3516" s="4" t="str">
        <f t="shared" si="297"/>
        <v>Hải Dương</v>
      </c>
      <c r="D3516" s="3" t="s">
        <v>271</v>
      </c>
      <c r="E3516" s="4" t="str">
        <f t="shared" si="299"/>
        <v>Huyện Gia Lộc</v>
      </c>
      <c r="F3516" s="3" t="s">
        <v>4280</v>
      </c>
      <c r="G3516" s="4" t="str">
        <f>HYPERLINK("https://diaocthongthai.com/xa-doan-thuong-gia-loc/","Xã Đoàn Thượng")</f>
        <v>Xã Đoàn Thượng</v>
      </c>
    </row>
    <row r="3517" spans="1:7" x14ac:dyDescent="0.25">
      <c r="A3517" s="2">
        <v>3516</v>
      </c>
      <c r="B3517" s="3" t="s">
        <v>21</v>
      </c>
      <c r="C3517" s="4" t="str">
        <f t="shared" si="297"/>
        <v>Hải Dương</v>
      </c>
      <c r="D3517" s="3" t="s">
        <v>271</v>
      </c>
      <c r="E3517" s="4" t="str">
        <f t="shared" si="299"/>
        <v>Huyện Gia Lộc</v>
      </c>
      <c r="F3517" s="3" t="s">
        <v>4281</v>
      </c>
      <c r="G3517" s="4" t="str">
        <f>HYPERLINK("https://diaocthongthai.com/xa-thong-kenh-gia-loc/","Xã Thống Kênh")</f>
        <v>Xã Thống Kênh</v>
      </c>
    </row>
    <row r="3518" spans="1:7" x14ac:dyDescent="0.25">
      <c r="A3518" s="2">
        <v>3517</v>
      </c>
      <c r="B3518" s="3" t="s">
        <v>21</v>
      </c>
      <c r="C3518" s="4" t="str">
        <f t="shared" si="297"/>
        <v>Hải Dương</v>
      </c>
      <c r="D3518" s="3" t="s">
        <v>271</v>
      </c>
      <c r="E3518" s="4" t="str">
        <f t="shared" si="299"/>
        <v>Huyện Gia Lộc</v>
      </c>
      <c r="F3518" s="3" t="s">
        <v>4282</v>
      </c>
      <c r="G3518" s="4" t="str">
        <f>HYPERLINK("https://diaocthongthai.com/xa-quang-minh-gia-loc/","Xã Quang Minh")</f>
        <v>Xã Quang Minh</v>
      </c>
    </row>
    <row r="3519" spans="1:7" x14ac:dyDescent="0.25">
      <c r="A3519" s="2">
        <v>3518</v>
      </c>
      <c r="B3519" s="3" t="s">
        <v>21</v>
      </c>
      <c r="C3519" s="4" t="str">
        <f t="shared" si="297"/>
        <v>Hải Dương</v>
      </c>
      <c r="D3519" s="3" t="s">
        <v>271</v>
      </c>
      <c r="E3519" s="4" t="str">
        <f t="shared" si="299"/>
        <v>Huyện Gia Lộc</v>
      </c>
      <c r="F3519" s="3" t="s">
        <v>4283</v>
      </c>
      <c r="G3519" s="4" t="str">
        <f>HYPERLINK("https://diaocthongthai.com/xa-dong-quang-gia-loc/","Xã Đồng Quang")</f>
        <v>Xã Đồng Quang</v>
      </c>
    </row>
    <row r="3520" spans="1:7" x14ac:dyDescent="0.25">
      <c r="A3520" s="2">
        <v>3519</v>
      </c>
      <c r="B3520" s="3" t="s">
        <v>21</v>
      </c>
      <c r="C3520" s="4" t="str">
        <f t="shared" si="297"/>
        <v>Hải Dương</v>
      </c>
      <c r="D3520" s="3" t="s">
        <v>271</v>
      </c>
      <c r="E3520" s="4" t="str">
        <f t="shared" si="299"/>
        <v>Huyện Gia Lộc</v>
      </c>
      <c r="F3520" s="3" t="s">
        <v>4284</v>
      </c>
      <c r="G3520" s="4" t="str">
        <f>HYPERLINK("https://diaocthongthai.com/xa-nhat-tan-gia-loc/","Xã Nhật Tân")</f>
        <v>Xã Nhật Tân</v>
      </c>
    </row>
    <row r="3521" spans="1:7" x14ac:dyDescent="0.25">
      <c r="A3521" s="2">
        <v>3520</v>
      </c>
      <c r="B3521" s="3" t="s">
        <v>21</v>
      </c>
      <c r="C3521" s="4" t="str">
        <f t="shared" si="297"/>
        <v>Hải Dương</v>
      </c>
      <c r="D3521" s="3" t="s">
        <v>271</v>
      </c>
      <c r="E3521" s="4" t="str">
        <f t="shared" si="299"/>
        <v>Huyện Gia Lộc</v>
      </c>
      <c r="F3521" s="3" t="s">
        <v>4285</v>
      </c>
      <c r="G3521" s="4" t="str">
        <f>HYPERLINK("https://diaocthongthai.com/xa-duc-xuong-gia-loc/","Xã Đức Xương")</f>
        <v>Xã Đức Xương</v>
      </c>
    </row>
    <row r="3522" spans="1:7" x14ac:dyDescent="0.25">
      <c r="A3522" s="2">
        <v>3521</v>
      </c>
      <c r="B3522" s="3" t="s">
        <v>21</v>
      </c>
      <c r="C3522" s="4" t="str">
        <f t="shared" si="297"/>
        <v>Hải Dương</v>
      </c>
      <c r="D3522" s="3" t="s">
        <v>272</v>
      </c>
      <c r="E3522" s="4" t="str">
        <f t="shared" ref="E3522:E3544" si="300">HYPERLINK("https://diaocthongthai.com/ban-do-huyen-tu-ky-hai-duong/","Huyện Tứ Kỳ")</f>
        <v>Huyện Tứ Kỳ</v>
      </c>
      <c r="F3522" s="3" t="s">
        <v>4286</v>
      </c>
      <c r="G3522" s="4" t="str">
        <f>HYPERLINK("https://diaocthongthai.com/thi-tran-tu-ky-tu-ky/","Thị trấn Tứ Kỳ")</f>
        <v>Thị trấn Tứ Kỳ</v>
      </c>
    </row>
    <row r="3523" spans="1:7" x14ac:dyDescent="0.25">
      <c r="A3523" s="2">
        <v>3522</v>
      </c>
      <c r="B3523" s="3" t="s">
        <v>21</v>
      </c>
      <c r="C3523" s="4" t="str">
        <f t="shared" si="297"/>
        <v>Hải Dương</v>
      </c>
      <c r="D3523" s="3" t="s">
        <v>272</v>
      </c>
      <c r="E3523" s="4" t="str">
        <f t="shared" si="300"/>
        <v>Huyện Tứ Kỳ</v>
      </c>
      <c r="F3523" s="3" t="s">
        <v>4287</v>
      </c>
      <c r="G3523" s="4" t="str">
        <f>HYPERLINK("https://diaocthongthai.com/xa-dai-son-tu-ky/","Xã Đại Sơn")</f>
        <v>Xã Đại Sơn</v>
      </c>
    </row>
    <row r="3524" spans="1:7" x14ac:dyDescent="0.25">
      <c r="A3524" s="2">
        <v>3523</v>
      </c>
      <c r="B3524" s="3" t="s">
        <v>21</v>
      </c>
      <c r="C3524" s="4" t="str">
        <f t="shared" si="297"/>
        <v>Hải Dương</v>
      </c>
      <c r="D3524" s="3" t="s">
        <v>272</v>
      </c>
      <c r="E3524" s="4" t="str">
        <f t="shared" si="300"/>
        <v>Huyện Tứ Kỳ</v>
      </c>
      <c r="F3524" s="3" t="s">
        <v>4288</v>
      </c>
      <c r="G3524" s="4" t="str">
        <f>HYPERLINK("https://diaocthongthai.com/xa-hung-dao-tu-ky/","Xã Hưng Đạo")</f>
        <v>Xã Hưng Đạo</v>
      </c>
    </row>
    <row r="3525" spans="1:7" x14ac:dyDescent="0.25">
      <c r="A3525" s="2">
        <v>3524</v>
      </c>
      <c r="B3525" s="3" t="s">
        <v>21</v>
      </c>
      <c r="C3525" s="4" t="str">
        <f t="shared" si="297"/>
        <v>Hải Dương</v>
      </c>
      <c r="D3525" s="3" t="s">
        <v>272</v>
      </c>
      <c r="E3525" s="4" t="str">
        <f t="shared" si="300"/>
        <v>Huyện Tứ Kỳ</v>
      </c>
      <c r="F3525" s="3" t="s">
        <v>4289</v>
      </c>
      <c r="G3525" s="4" t="str">
        <f>HYPERLINK("https://diaocthongthai.com/xa-ngoc-ky-tu-ky/","Xã Ngọc Kỳ")</f>
        <v>Xã Ngọc Kỳ</v>
      </c>
    </row>
    <row r="3526" spans="1:7" x14ac:dyDescent="0.25">
      <c r="A3526" s="2">
        <v>3525</v>
      </c>
      <c r="B3526" s="3" t="s">
        <v>21</v>
      </c>
      <c r="C3526" s="4" t="str">
        <f t="shared" si="297"/>
        <v>Hải Dương</v>
      </c>
      <c r="D3526" s="3" t="s">
        <v>272</v>
      </c>
      <c r="E3526" s="4" t="str">
        <f t="shared" si="300"/>
        <v>Huyện Tứ Kỳ</v>
      </c>
      <c r="F3526" s="3" t="s">
        <v>4290</v>
      </c>
      <c r="G3526" s="4" t="str">
        <f>HYPERLINK("https://diaocthongthai.com/xa-binh-lang-tu-ky/","Xã Bình Lăng")</f>
        <v>Xã Bình Lăng</v>
      </c>
    </row>
    <row r="3527" spans="1:7" x14ac:dyDescent="0.25">
      <c r="A3527" s="2">
        <v>3526</v>
      </c>
      <c r="B3527" s="3" t="s">
        <v>21</v>
      </c>
      <c r="C3527" s="4" t="str">
        <f t="shared" si="297"/>
        <v>Hải Dương</v>
      </c>
      <c r="D3527" s="3" t="s">
        <v>272</v>
      </c>
      <c r="E3527" s="4" t="str">
        <f t="shared" si="300"/>
        <v>Huyện Tứ Kỳ</v>
      </c>
      <c r="F3527" s="3" t="s">
        <v>4291</v>
      </c>
      <c r="G3527" s="4" t="str">
        <f>HYPERLINK("https://diaocthongthai.com/xa-chi-minh-tu-ky/","Xã Chí Minh")</f>
        <v>Xã Chí Minh</v>
      </c>
    </row>
    <row r="3528" spans="1:7" x14ac:dyDescent="0.25">
      <c r="A3528" s="2">
        <v>3527</v>
      </c>
      <c r="B3528" s="3" t="s">
        <v>21</v>
      </c>
      <c r="C3528" s="4" t="str">
        <f t="shared" si="297"/>
        <v>Hải Dương</v>
      </c>
      <c r="D3528" s="3" t="s">
        <v>272</v>
      </c>
      <c r="E3528" s="4" t="str">
        <f t="shared" si="300"/>
        <v>Huyện Tứ Kỳ</v>
      </c>
      <c r="F3528" s="3" t="s">
        <v>4292</v>
      </c>
      <c r="G3528" s="4" t="str">
        <f>HYPERLINK("https://diaocthongthai.com/xa-tai-son-tu-ky/","Xã Tái Sơn")</f>
        <v>Xã Tái Sơn</v>
      </c>
    </row>
    <row r="3529" spans="1:7" x14ac:dyDescent="0.25">
      <c r="A3529" s="2">
        <v>3528</v>
      </c>
      <c r="B3529" s="3" t="s">
        <v>21</v>
      </c>
      <c r="C3529" s="4" t="str">
        <f t="shared" si="297"/>
        <v>Hải Dương</v>
      </c>
      <c r="D3529" s="3" t="s">
        <v>272</v>
      </c>
      <c r="E3529" s="4" t="str">
        <f t="shared" si="300"/>
        <v>Huyện Tứ Kỳ</v>
      </c>
      <c r="F3529" s="3" t="s">
        <v>4293</v>
      </c>
      <c r="G3529" s="4" t="str">
        <f>HYPERLINK("https://diaocthongthai.com/xa-quang-phuc-tu-ky/","Xã Quang Phục")</f>
        <v>Xã Quang Phục</v>
      </c>
    </row>
    <row r="3530" spans="1:7" x14ac:dyDescent="0.25">
      <c r="A3530" s="2">
        <v>3529</v>
      </c>
      <c r="B3530" s="3" t="s">
        <v>21</v>
      </c>
      <c r="C3530" s="4" t="str">
        <f t="shared" si="297"/>
        <v>Hải Dương</v>
      </c>
      <c r="D3530" s="3" t="s">
        <v>272</v>
      </c>
      <c r="E3530" s="4" t="str">
        <f t="shared" si="300"/>
        <v>Huyện Tứ Kỳ</v>
      </c>
      <c r="F3530" s="3" t="s">
        <v>4294</v>
      </c>
      <c r="G3530" s="4" t="str">
        <f>HYPERLINK("https://diaocthongthai.com/xa-dan-chu-tu-ky/","Xã Dân Chủ")</f>
        <v>Xã Dân Chủ</v>
      </c>
    </row>
    <row r="3531" spans="1:7" x14ac:dyDescent="0.25">
      <c r="A3531" s="2">
        <v>3530</v>
      </c>
      <c r="B3531" s="3" t="s">
        <v>21</v>
      </c>
      <c r="C3531" s="4" t="str">
        <f t="shared" si="297"/>
        <v>Hải Dương</v>
      </c>
      <c r="D3531" s="3" t="s">
        <v>272</v>
      </c>
      <c r="E3531" s="4" t="str">
        <f t="shared" si="300"/>
        <v>Huyện Tứ Kỳ</v>
      </c>
      <c r="F3531" s="3" t="s">
        <v>4295</v>
      </c>
      <c r="G3531" s="4" t="str">
        <f>HYPERLINK("https://diaocthongthai.com/xa-tan-ky-tu-ky/","Xã Tân Kỳ")</f>
        <v>Xã Tân Kỳ</v>
      </c>
    </row>
    <row r="3532" spans="1:7" x14ac:dyDescent="0.25">
      <c r="A3532" s="2">
        <v>3531</v>
      </c>
      <c r="B3532" s="3" t="s">
        <v>21</v>
      </c>
      <c r="C3532" s="4" t="str">
        <f t="shared" si="297"/>
        <v>Hải Dương</v>
      </c>
      <c r="D3532" s="3" t="s">
        <v>272</v>
      </c>
      <c r="E3532" s="4" t="str">
        <f t="shared" si="300"/>
        <v>Huyện Tứ Kỳ</v>
      </c>
      <c r="F3532" s="3" t="s">
        <v>4296</v>
      </c>
      <c r="G3532" s="4" t="str">
        <f>HYPERLINK("https://diaocthongthai.com/xa-quang-khai-tu-ky/","Xã Quang Khải")</f>
        <v>Xã Quang Khải</v>
      </c>
    </row>
    <row r="3533" spans="1:7" x14ac:dyDescent="0.25">
      <c r="A3533" s="2">
        <v>3532</v>
      </c>
      <c r="B3533" s="3" t="s">
        <v>21</v>
      </c>
      <c r="C3533" s="4" t="str">
        <f t="shared" si="297"/>
        <v>Hải Dương</v>
      </c>
      <c r="D3533" s="3" t="s">
        <v>272</v>
      </c>
      <c r="E3533" s="4" t="str">
        <f t="shared" si="300"/>
        <v>Huyện Tứ Kỳ</v>
      </c>
      <c r="F3533" s="3" t="s">
        <v>4297</v>
      </c>
      <c r="G3533" s="4" t="str">
        <f>HYPERLINK("https://diaocthongthai.com/xa-dai-hop-tu-ky/","Xã Đại Hợp")</f>
        <v>Xã Đại Hợp</v>
      </c>
    </row>
    <row r="3534" spans="1:7" x14ac:dyDescent="0.25">
      <c r="A3534" s="2">
        <v>3533</v>
      </c>
      <c r="B3534" s="3" t="s">
        <v>21</v>
      </c>
      <c r="C3534" s="4" t="str">
        <f t="shared" si="297"/>
        <v>Hải Dương</v>
      </c>
      <c r="D3534" s="3" t="s">
        <v>272</v>
      </c>
      <c r="E3534" s="4" t="str">
        <f t="shared" si="300"/>
        <v>Huyện Tứ Kỳ</v>
      </c>
      <c r="F3534" s="3" t="s">
        <v>4298</v>
      </c>
      <c r="G3534" s="4" t="str">
        <f>HYPERLINK("https://diaocthongthai.com/xa-quang-nghiep-tu-ky/","Xã Quảng Nghiệp")</f>
        <v>Xã Quảng Nghiệp</v>
      </c>
    </row>
    <row r="3535" spans="1:7" x14ac:dyDescent="0.25">
      <c r="A3535" s="2">
        <v>3534</v>
      </c>
      <c r="B3535" s="3" t="s">
        <v>21</v>
      </c>
      <c r="C3535" s="4" t="str">
        <f t="shared" si="297"/>
        <v>Hải Dương</v>
      </c>
      <c r="D3535" s="3" t="s">
        <v>272</v>
      </c>
      <c r="E3535" s="4" t="str">
        <f t="shared" si="300"/>
        <v>Huyện Tứ Kỳ</v>
      </c>
      <c r="F3535" s="3" t="s">
        <v>4299</v>
      </c>
      <c r="G3535" s="4" t="str">
        <f>HYPERLINK("https://diaocthongthai.com/xa-an-thanh-tu-ky/","Xã An Thanh")</f>
        <v>Xã An Thanh</v>
      </c>
    </row>
    <row r="3536" spans="1:7" x14ac:dyDescent="0.25">
      <c r="A3536" s="2">
        <v>3535</v>
      </c>
      <c r="B3536" s="3" t="s">
        <v>21</v>
      </c>
      <c r="C3536" s="4" t="str">
        <f t="shared" si="297"/>
        <v>Hải Dương</v>
      </c>
      <c r="D3536" s="3" t="s">
        <v>272</v>
      </c>
      <c r="E3536" s="4" t="str">
        <f t="shared" si="300"/>
        <v>Huyện Tứ Kỳ</v>
      </c>
      <c r="F3536" s="3" t="s">
        <v>4300</v>
      </c>
      <c r="G3536" s="4" t="str">
        <f>HYPERLINK("https://diaocthongthai.com/xa-minh-duc-tu-ky/","Xã Minh Đức")</f>
        <v>Xã Minh Đức</v>
      </c>
    </row>
    <row r="3537" spans="1:7" x14ac:dyDescent="0.25">
      <c r="A3537" s="2">
        <v>3536</v>
      </c>
      <c r="B3537" s="3" t="s">
        <v>21</v>
      </c>
      <c r="C3537" s="4" t="str">
        <f t="shared" si="297"/>
        <v>Hải Dương</v>
      </c>
      <c r="D3537" s="3" t="s">
        <v>272</v>
      </c>
      <c r="E3537" s="4" t="str">
        <f t="shared" si="300"/>
        <v>Huyện Tứ Kỳ</v>
      </c>
      <c r="F3537" s="3" t="s">
        <v>4301</v>
      </c>
      <c r="G3537" s="4" t="str">
        <f>HYPERLINK("https://diaocthongthai.com/xa-van-to-tu-ky/","Xã Văn Tố")</f>
        <v>Xã Văn Tố</v>
      </c>
    </row>
    <row r="3538" spans="1:7" x14ac:dyDescent="0.25">
      <c r="A3538" s="2">
        <v>3537</v>
      </c>
      <c r="B3538" s="3" t="s">
        <v>21</v>
      </c>
      <c r="C3538" s="4" t="str">
        <f t="shared" si="297"/>
        <v>Hải Dương</v>
      </c>
      <c r="D3538" s="3" t="s">
        <v>272</v>
      </c>
      <c r="E3538" s="4" t="str">
        <f t="shared" si="300"/>
        <v>Huyện Tứ Kỳ</v>
      </c>
      <c r="F3538" s="3" t="s">
        <v>4302</v>
      </c>
      <c r="G3538" s="4" t="str">
        <f>HYPERLINK("https://diaocthongthai.com/xa-quang-trung-tu-ky/","Xã Quang Trung")</f>
        <v>Xã Quang Trung</v>
      </c>
    </row>
    <row r="3539" spans="1:7" x14ac:dyDescent="0.25">
      <c r="A3539" s="2">
        <v>3538</v>
      </c>
      <c r="B3539" s="3" t="s">
        <v>21</v>
      </c>
      <c r="C3539" s="4" t="str">
        <f t="shared" ref="C3539:C3581" si="301">HYPERLINK("https://diaocthongthai.com/ban-do-hai-duong/","Hải Dương")</f>
        <v>Hải Dương</v>
      </c>
      <c r="D3539" s="3" t="s">
        <v>272</v>
      </c>
      <c r="E3539" s="4" t="str">
        <f t="shared" si="300"/>
        <v>Huyện Tứ Kỳ</v>
      </c>
      <c r="F3539" s="3" t="s">
        <v>4303</v>
      </c>
      <c r="G3539" s="4" t="str">
        <f>HYPERLINK("https://diaocthongthai.com/xa-phuong-ky-tu-ky/","Xã Phượng Kỳ")</f>
        <v>Xã Phượng Kỳ</v>
      </c>
    </row>
    <row r="3540" spans="1:7" x14ac:dyDescent="0.25">
      <c r="A3540" s="2">
        <v>3539</v>
      </c>
      <c r="B3540" s="3" t="s">
        <v>21</v>
      </c>
      <c r="C3540" s="4" t="str">
        <f t="shared" si="301"/>
        <v>Hải Dương</v>
      </c>
      <c r="D3540" s="3" t="s">
        <v>272</v>
      </c>
      <c r="E3540" s="4" t="str">
        <f t="shared" si="300"/>
        <v>Huyện Tứ Kỳ</v>
      </c>
      <c r="F3540" s="3" t="s">
        <v>4304</v>
      </c>
      <c r="G3540" s="4" t="str">
        <f>HYPERLINK("https://diaocthongthai.com/xa-cong-lac-tu-ky/","Xã Cộng Lạc")</f>
        <v>Xã Cộng Lạc</v>
      </c>
    </row>
    <row r="3541" spans="1:7" x14ac:dyDescent="0.25">
      <c r="A3541" s="2">
        <v>3540</v>
      </c>
      <c r="B3541" s="3" t="s">
        <v>21</v>
      </c>
      <c r="C3541" s="4" t="str">
        <f t="shared" si="301"/>
        <v>Hải Dương</v>
      </c>
      <c r="D3541" s="3" t="s">
        <v>272</v>
      </c>
      <c r="E3541" s="4" t="str">
        <f t="shared" si="300"/>
        <v>Huyện Tứ Kỳ</v>
      </c>
      <c r="F3541" s="3" t="s">
        <v>4305</v>
      </c>
      <c r="G3541" s="4" t="str">
        <f>HYPERLINK("https://diaocthongthai.com/xa-tien-dong-tu-ky/","Xã Tiên Động")</f>
        <v>Xã Tiên Động</v>
      </c>
    </row>
    <row r="3542" spans="1:7" x14ac:dyDescent="0.25">
      <c r="A3542" s="2">
        <v>3541</v>
      </c>
      <c r="B3542" s="3" t="s">
        <v>21</v>
      </c>
      <c r="C3542" s="4" t="str">
        <f t="shared" si="301"/>
        <v>Hải Dương</v>
      </c>
      <c r="D3542" s="3" t="s">
        <v>272</v>
      </c>
      <c r="E3542" s="4" t="str">
        <f t="shared" si="300"/>
        <v>Huyện Tứ Kỳ</v>
      </c>
      <c r="F3542" s="3" t="s">
        <v>4306</v>
      </c>
      <c r="G3542" s="4" t="str">
        <f>HYPERLINK("https://diaocthongthai.com/xa-nguyen-giap-tu-ky/","Xã Nguyên Giáp")</f>
        <v>Xã Nguyên Giáp</v>
      </c>
    </row>
    <row r="3543" spans="1:7" x14ac:dyDescent="0.25">
      <c r="A3543" s="2">
        <v>3542</v>
      </c>
      <c r="B3543" s="3" t="s">
        <v>21</v>
      </c>
      <c r="C3543" s="4" t="str">
        <f t="shared" si="301"/>
        <v>Hải Dương</v>
      </c>
      <c r="D3543" s="3" t="s">
        <v>272</v>
      </c>
      <c r="E3543" s="4" t="str">
        <f t="shared" si="300"/>
        <v>Huyện Tứ Kỳ</v>
      </c>
      <c r="F3543" s="3" t="s">
        <v>4307</v>
      </c>
      <c r="G3543" s="4" t="str">
        <f>HYPERLINK("https://diaocthongthai.com/xa-ha-ky-tu-ky/","Xã Hà Kỳ")</f>
        <v>Xã Hà Kỳ</v>
      </c>
    </row>
    <row r="3544" spans="1:7" x14ac:dyDescent="0.25">
      <c r="A3544" s="2">
        <v>3543</v>
      </c>
      <c r="B3544" s="3" t="s">
        <v>21</v>
      </c>
      <c r="C3544" s="4" t="str">
        <f t="shared" si="301"/>
        <v>Hải Dương</v>
      </c>
      <c r="D3544" s="3" t="s">
        <v>272</v>
      </c>
      <c r="E3544" s="4" t="str">
        <f t="shared" si="300"/>
        <v>Huyện Tứ Kỳ</v>
      </c>
      <c r="F3544" s="3" t="s">
        <v>4308</v>
      </c>
      <c r="G3544" s="4" t="str">
        <f>HYPERLINK("https://diaocthongthai.com/xa-ha-thanh-tu-ky/","Xã Hà Thanh")</f>
        <v>Xã Hà Thanh</v>
      </c>
    </row>
    <row r="3545" spans="1:7" x14ac:dyDescent="0.25">
      <c r="A3545" s="2">
        <v>3544</v>
      </c>
      <c r="B3545" s="3" t="s">
        <v>21</v>
      </c>
      <c r="C3545" s="4" t="str">
        <f t="shared" si="301"/>
        <v>Hải Dương</v>
      </c>
      <c r="D3545" s="3" t="s">
        <v>273</v>
      </c>
      <c r="E3545" s="4" t="str">
        <f t="shared" ref="E3545:E3564" si="302">HYPERLINK("https://diaocthongthai.com/ban-do-huyen-ninh-giang-hai-duong/","Huyện Ninh Giang")</f>
        <v>Huyện Ninh Giang</v>
      </c>
      <c r="F3545" s="3" t="s">
        <v>4309</v>
      </c>
      <c r="G3545" s="4" t="str">
        <f>HYPERLINK("https://diaocthongthai.com/thi-tran-ninh-giang-ninh-giang/","Thị trấn Ninh Giang")</f>
        <v>Thị trấn Ninh Giang</v>
      </c>
    </row>
    <row r="3546" spans="1:7" x14ac:dyDescent="0.25">
      <c r="A3546" s="2">
        <v>3545</v>
      </c>
      <c r="B3546" s="3" t="s">
        <v>21</v>
      </c>
      <c r="C3546" s="4" t="str">
        <f t="shared" si="301"/>
        <v>Hải Dương</v>
      </c>
      <c r="D3546" s="3" t="s">
        <v>273</v>
      </c>
      <c r="E3546" s="4" t="str">
        <f t="shared" si="302"/>
        <v>Huyện Ninh Giang</v>
      </c>
      <c r="F3546" s="3" t="s">
        <v>4310</v>
      </c>
      <c r="G3546" s="4" t="str">
        <f>HYPERLINK("https://diaocthongthai.com/xa-ung-hoe-ninh-giang/","Xã Ứng Hoè")</f>
        <v>Xã Ứng Hoè</v>
      </c>
    </row>
    <row r="3547" spans="1:7" x14ac:dyDescent="0.25">
      <c r="A3547" s="2">
        <v>3546</v>
      </c>
      <c r="B3547" s="3" t="s">
        <v>21</v>
      </c>
      <c r="C3547" s="4" t="str">
        <f t="shared" si="301"/>
        <v>Hải Dương</v>
      </c>
      <c r="D3547" s="3" t="s">
        <v>273</v>
      </c>
      <c r="E3547" s="4" t="str">
        <f t="shared" si="302"/>
        <v>Huyện Ninh Giang</v>
      </c>
      <c r="F3547" s="3" t="s">
        <v>4311</v>
      </c>
      <c r="G3547" s="4" t="str">
        <f>HYPERLINK("https://diaocthongthai.com/xa-nghia-an-ninh-giang/","Xã Nghĩa An")</f>
        <v>Xã Nghĩa An</v>
      </c>
    </row>
    <row r="3548" spans="1:7" x14ac:dyDescent="0.25">
      <c r="A3548" s="2">
        <v>3547</v>
      </c>
      <c r="B3548" s="3" t="s">
        <v>21</v>
      </c>
      <c r="C3548" s="4" t="str">
        <f t="shared" si="301"/>
        <v>Hải Dương</v>
      </c>
      <c r="D3548" s="3" t="s">
        <v>273</v>
      </c>
      <c r="E3548" s="4" t="str">
        <f t="shared" si="302"/>
        <v>Huyện Ninh Giang</v>
      </c>
      <c r="F3548" s="3" t="s">
        <v>4312</v>
      </c>
      <c r="G3548" s="4" t="str">
        <f>HYPERLINK("https://diaocthongthai.com/xa-hong-duc-ninh-giang/","Xã Hồng Đức")</f>
        <v>Xã Hồng Đức</v>
      </c>
    </row>
    <row r="3549" spans="1:7" x14ac:dyDescent="0.25">
      <c r="A3549" s="2">
        <v>3548</v>
      </c>
      <c r="B3549" s="3" t="s">
        <v>21</v>
      </c>
      <c r="C3549" s="4" t="str">
        <f t="shared" si="301"/>
        <v>Hải Dương</v>
      </c>
      <c r="D3549" s="3" t="s">
        <v>273</v>
      </c>
      <c r="E3549" s="4" t="str">
        <f t="shared" si="302"/>
        <v>Huyện Ninh Giang</v>
      </c>
      <c r="F3549" s="3" t="s">
        <v>4313</v>
      </c>
      <c r="G3549" s="4" t="str">
        <f>HYPERLINK("https://diaocthongthai.com/xa-an-duc-ninh-giang/","Xã An Đức")</f>
        <v>Xã An Đức</v>
      </c>
    </row>
    <row r="3550" spans="1:7" x14ac:dyDescent="0.25">
      <c r="A3550" s="2">
        <v>3549</v>
      </c>
      <c r="B3550" s="3" t="s">
        <v>21</v>
      </c>
      <c r="C3550" s="4" t="str">
        <f t="shared" si="301"/>
        <v>Hải Dương</v>
      </c>
      <c r="D3550" s="3" t="s">
        <v>273</v>
      </c>
      <c r="E3550" s="4" t="str">
        <f t="shared" si="302"/>
        <v>Huyện Ninh Giang</v>
      </c>
      <c r="F3550" s="3" t="s">
        <v>4314</v>
      </c>
      <c r="G3550" s="4" t="str">
        <f>HYPERLINK("https://diaocthongthai.com/xa-van-phuc-ninh-giang/","Xã Vạn Phúc")</f>
        <v>Xã Vạn Phúc</v>
      </c>
    </row>
    <row r="3551" spans="1:7" x14ac:dyDescent="0.25">
      <c r="A3551" s="2">
        <v>3550</v>
      </c>
      <c r="B3551" s="3" t="s">
        <v>21</v>
      </c>
      <c r="C3551" s="4" t="str">
        <f t="shared" si="301"/>
        <v>Hải Dương</v>
      </c>
      <c r="D3551" s="3" t="s">
        <v>273</v>
      </c>
      <c r="E3551" s="4" t="str">
        <f t="shared" si="302"/>
        <v>Huyện Ninh Giang</v>
      </c>
      <c r="F3551" s="3" t="s">
        <v>4315</v>
      </c>
      <c r="G3551" s="4" t="str">
        <f>HYPERLINK("https://diaocthongthai.com/xa-tan-huong-ninh-giang/","Xã Tân Hương")</f>
        <v>Xã Tân Hương</v>
      </c>
    </row>
    <row r="3552" spans="1:7" x14ac:dyDescent="0.25">
      <c r="A3552" s="2">
        <v>3551</v>
      </c>
      <c r="B3552" s="3" t="s">
        <v>21</v>
      </c>
      <c r="C3552" s="4" t="str">
        <f t="shared" si="301"/>
        <v>Hải Dương</v>
      </c>
      <c r="D3552" s="3" t="s">
        <v>273</v>
      </c>
      <c r="E3552" s="4" t="str">
        <f t="shared" si="302"/>
        <v>Huyện Ninh Giang</v>
      </c>
      <c r="F3552" s="3" t="s">
        <v>4316</v>
      </c>
      <c r="G3552" s="4" t="str">
        <f>HYPERLINK("https://diaocthongthai.com/xa-vinh-hoa-ninh-giang/","Xã Vĩnh Hòa")</f>
        <v>Xã Vĩnh Hòa</v>
      </c>
    </row>
    <row r="3553" spans="1:7" x14ac:dyDescent="0.25">
      <c r="A3553" s="2">
        <v>3552</v>
      </c>
      <c r="B3553" s="3" t="s">
        <v>21</v>
      </c>
      <c r="C3553" s="4" t="str">
        <f t="shared" si="301"/>
        <v>Hải Dương</v>
      </c>
      <c r="D3553" s="3" t="s">
        <v>273</v>
      </c>
      <c r="E3553" s="4" t="str">
        <f t="shared" si="302"/>
        <v>Huyện Ninh Giang</v>
      </c>
      <c r="F3553" s="3" t="s">
        <v>4317</v>
      </c>
      <c r="G3553" s="4" t="str">
        <f>HYPERLINK("https://diaocthongthai.com/xa-dong-xuyen-ninh-giang/","Xã Đông Xuyên")</f>
        <v>Xã Đông Xuyên</v>
      </c>
    </row>
    <row r="3554" spans="1:7" x14ac:dyDescent="0.25">
      <c r="A3554" s="2">
        <v>3553</v>
      </c>
      <c r="B3554" s="3" t="s">
        <v>21</v>
      </c>
      <c r="C3554" s="4" t="str">
        <f t="shared" si="301"/>
        <v>Hải Dương</v>
      </c>
      <c r="D3554" s="3" t="s">
        <v>273</v>
      </c>
      <c r="E3554" s="4" t="str">
        <f t="shared" si="302"/>
        <v>Huyện Ninh Giang</v>
      </c>
      <c r="F3554" s="3" t="s">
        <v>4318</v>
      </c>
      <c r="G3554" s="4" t="str">
        <f>HYPERLINK("https://diaocthongthai.com/xa-tan-phong-ninh-giang/","Xã Tân Phong")</f>
        <v>Xã Tân Phong</v>
      </c>
    </row>
    <row r="3555" spans="1:7" x14ac:dyDescent="0.25">
      <c r="A3555" s="2">
        <v>3554</v>
      </c>
      <c r="B3555" s="3" t="s">
        <v>21</v>
      </c>
      <c r="C3555" s="4" t="str">
        <f t="shared" si="301"/>
        <v>Hải Dương</v>
      </c>
      <c r="D3555" s="3" t="s">
        <v>273</v>
      </c>
      <c r="E3555" s="4" t="str">
        <f t="shared" si="302"/>
        <v>Huyện Ninh Giang</v>
      </c>
      <c r="F3555" s="3" t="s">
        <v>4319</v>
      </c>
      <c r="G3555" s="4" t="str">
        <f>HYPERLINK("https://diaocthongthai.com/xa-ninh-hai-ninh-giang/","Xã Ninh Hải")</f>
        <v>Xã Ninh Hải</v>
      </c>
    </row>
    <row r="3556" spans="1:7" x14ac:dyDescent="0.25">
      <c r="A3556" s="2">
        <v>3555</v>
      </c>
      <c r="B3556" s="3" t="s">
        <v>21</v>
      </c>
      <c r="C3556" s="4" t="str">
        <f t="shared" si="301"/>
        <v>Hải Dương</v>
      </c>
      <c r="D3556" s="3" t="s">
        <v>273</v>
      </c>
      <c r="E3556" s="4" t="str">
        <f t="shared" si="302"/>
        <v>Huyện Ninh Giang</v>
      </c>
      <c r="F3556" s="3" t="s">
        <v>4320</v>
      </c>
      <c r="G3556" s="4" t="str">
        <f>HYPERLINK("https://diaocthongthai.com/xa-dong-tam-ninh-giang/","Xã Đồng Tâm")</f>
        <v>Xã Đồng Tâm</v>
      </c>
    </row>
    <row r="3557" spans="1:7" x14ac:dyDescent="0.25">
      <c r="A3557" s="2">
        <v>3556</v>
      </c>
      <c r="B3557" s="3" t="s">
        <v>21</v>
      </c>
      <c r="C3557" s="4" t="str">
        <f t="shared" si="301"/>
        <v>Hải Dương</v>
      </c>
      <c r="D3557" s="3" t="s">
        <v>273</v>
      </c>
      <c r="E3557" s="4" t="str">
        <f t="shared" si="302"/>
        <v>Huyện Ninh Giang</v>
      </c>
      <c r="F3557" s="3" t="s">
        <v>4321</v>
      </c>
      <c r="G3557" s="4" t="str">
        <f>HYPERLINK("https://diaocthongthai.com/xa-tan-quang-ninh-giang/","Xã Tân Quang")</f>
        <v>Xã Tân Quang</v>
      </c>
    </row>
    <row r="3558" spans="1:7" x14ac:dyDescent="0.25">
      <c r="A3558" s="2">
        <v>3557</v>
      </c>
      <c r="B3558" s="3" t="s">
        <v>21</v>
      </c>
      <c r="C3558" s="4" t="str">
        <f t="shared" si="301"/>
        <v>Hải Dương</v>
      </c>
      <c r="D3558" s="3" t="s">
        <v>273</v>
      </c>
      <c r="E3558" s="4" t="str">
        <f t="shared" si="302"/>
        <v>Huyện Ninh Giang</v>
      </c>
      <c r="F3558" s="3" t="s">
        <v>4322</v>
      </c>
      <c r="G3558" s="4" t="str">
        <f>HYPERLINK("https://diaocthongthai.com/xa-kien-quoc-ninh-giang/","Xã Kiến Quốc")</f>
        <v>Xã Kiến Quốc</v>
      </c>
    </row>
    <row r="3559" spans="1:7" x14ac:dyDescent="0.25">
      <c r="A3559" s="2">
        <v>3558</v>
      </c>
      <c r="B3559" s="3" t="s">
        <v>21</v>
      </c>
      <c r="C3559" s="4" t="str">
        <f t="shared" si="301"/>
        <v>Hải Dương</v>
      </c>
      <c r="D3559" s="3" t="s">
        <v>273</v>
      </c>
      <c r="E3559" s="4" t="str">
        <f t="shared" si="302"/>
        <v>Huyện Ninh Giang</v>
      </c>
      <c r="F3559" s="3" t="s">
        <v>4323</v>
      </c>
      <c r="G3559" s="4" t="str">
        <f>HYPERLINK("https://diaocthongthai.com/xa-hong-du-ninh-giang/","Xã Hồng Dụ")</f>
        <v>Xã Hồng Dụ</v>
      </c>
    </row>
    <row r="3560" spans="1:7" x14ac:dyDescent="0.25">
      <c r="A3560" s="2">
        <v>3559</v>
      </c>
      <c r="B3560" s="3" t="s">
        <v>21</v>
      </c>
      <c r="C3560" s="4" t="str">
        <f t="shared" si="301"/>
        <v>Hải Dương</v>
      </c>
      <c r="D3560" s="3" t="s">
        <v>273</v>
      </c>
      <c r="E3560" s="4" t="str">
        <f t="shared" si="302"/>
        <v>Huyện Ninh Giang</v>
      </c>
      <c r="F3560" s="3" t="s">
        <v>4324</v>
      </c>
      <c r="G3560" s="4" t="str">
        <f>HYPERLINK("https://diaocthongthai.com/xa-van-hoi-ninh-giang/","Xã Văn Hội")</f>
        <v>Xã Văn Hội</v>
      </c>
    </row>
    <row r="3561" spans="1:7" x14ac:dyDescent="0.25">
      <c r="A3561" s="2">
        <v>3560</v>
      </c>
      <c r="B3561" s="3" t="s">
        <v>21</v>
      </c>
      <c r="C3561" s="4" t="str">
        <f t="shared" si="301"/>
        <v>Hải Dương</v>
      </c>
      <c r="D3561" s="3" t="s">
        <v>273</v>
      </c>
      <c r="E3561" s="4" t="str">
        <f t="shared" si="302"/>
        <v>Huyện Ninh Giang</v>
      </c>
      <c r="F3561" s="3" t="s">
        <v>4325</v>
      </c>
      <c r="G3561" s="4" t="str">
        <f>HYPERLINK("https://diaocthongthai.com/xa-hong-phong-ninh-giang/","Xã Hồng Phong")</f>
        <v>Xã Hồng Phong</v>
      </c>
    </row>
    <row r="3562" spans="1:7" x14ac:dyDescent="0.25">
      <c r="A3562" s="2">
        <v>3561</v>
      </c>
      <c r="B3562" s="3" t="s">
        <v>21</v>
      </c>
      <c r="C3562" s="4" t="str">
        <f t="shared" si="301"/>
        <v>Hải Dương</v>
      </c>
      <c r="D3562" s="3" t="s">
        <v>273</v>
      </c>
      <c r="E3562" s="4" t="str">
        <f t="shared" si="302"/>
        <v>Huyện Ninh Giang</v>
      </c>
      <c r="F3562" s="3" t="s">
        <v>4326</v>
      </c>
      <c r="G3562" s="4" t="str">
        <f>HYPERLINK("https://diaocthongthai.com/xa-hiep-luc-ninh-giang/","Xã Hiệp Lực")</f>
        <v>Xã Hiệp Lực</v>
      </c>
    </row>
    <row r="3563" spans="1:7" x14ac:dyDescent="0.25">
      <c r="A3563" s="2">
        <v>3562</v>
      </c>
      <c r="B3563" s="3" t="s">
        <v>21</v>
      </c>
      <c r="C3563" s="4" t="str">
        <f t="shared" si="301"/>
        <v>Hải Dương</v>
      </c>
      <c r="D3563" s="3" t="s">
        <v>273</v>
      </c>
      <c r="E3563" s="4" t="str">
        <f t="shared" si="302"/>
        <v>Huyện Ninh Giang</v>
      </c>
      <c r="F3563" s="3" t="s">
        <v>4327</v>
      </c>
      <c r="G3563" s="4" t="str">
        <f>HYPERLINK("https://diaocthongthai.com/xa-hong-phuc-ninh-giang/","Xã Hồng Phúc")</f>
        <v>Xã Hồng Phúc</v>
      </c>
    </row>
    <row r="3564" spans="1:7" x14ac:dyDescent="0.25">
      <c r="A3564" s="2">
        <v>3563</v>
      </c>
      <c r="B3564" s="3" t="s">
        <v>21</v>
      </c>
      <c r="C3564" s="4" t="str">
        <f t="shared" si="301"/>
        <v>Hải Dương</v>
      </c>
      <c r="D3564" s="3" t="s">
        <v>273</v>
      </c>
      <c r="E3564" s="4" t="str">
        <f t="shared" si="302"/>
        <v>Huyện Ninh Giang</v>
      </c>
      <c r="F3564" s="3" t="s">
        <v>4328</v>
      </c>
      <c r="G3564" s="4" t="str">
        <f>HYPERLINK("https://diaocthongthai.com/xa-hung-long-ninh-giang/","Xã Hưng Long")</f>
        <v>Xã Hưng Long</v>
      </c>
    </row>
    <row r="3565" spans="1:7" x14ac:dyDescent="0.25">
      <c r="A3565" s="2">
        <v>3564</v>
      </c>
      <c r="B3565" s="3" t="s">
        <v>21</v>
      </c>
      <c r="C3565" s="4" t="str">
        <f t="shared" si="301"/>
        <v>Hải Dương</v>
      </c>
      <c r="D3565" s="3" t="s">
        <v>274</v>
      </c>
      <c r="E3565" s="4" t="str">
        <f t="shared" ref="E3565:E3581" si="303">HYPERLINK("https://diaocthongthai.com/ban-do-huyen-thanh-mien-hai-duong/","Huyện Thanh Miện")</f>
        <v>Huyện Thanh Miện</v>
      </c>
      <c r="F3565" s="3" t="s">
        <v>4329</v>
      </c>
      <c r="G3565" s="4" t="str">
        <f>HYPERLINK("https://diaocthongthai.com/thi-tran-thanh-mien-thanh-mien/","Thị trấn Thanh Miện")</f>
        <v>Thị trấn Thanh Miện</v>
      </c>
    </row>
    <row r="3566" spans="1:7" x14ac:dyDescent="0.25">
      <c r="A3566" s="2">
        <v>3565</v>
      </c>
      <c r="B3566" s="3" t="s">
        <v>21</v>
      </c>
      <c r="C3566" s="4" t="str">
        <f t="shared" si="301"/>
        <v>Hải Dương</v>
      </c>
      <c r="D3566" s="3" t="s">
        <v>274</v>
      </c>
      <c r="E3566" s="4" t="str">
        <f t="shared" si="303"/>
        <v>Huyện Thanh Miện</v>
      </c>
      <c r="F3566" s="3" t="s">
        <v>4330</v>
      </c>
      <c r="G3566" s="4" t="str">
        <f>HYPERLINK("https://diaocthongthai.com/xa-thanh-tung-thanh-mien/","Xã Thanh Tùng")</f>
        <v>Xã Thanh Tùng</v>
      </c>
    </row>
    <row r="3567" spans="1:7" x14ac:dyDescent="0.25">
      <c r="A3567" s="2">
        <v>3566</v>
      </c>
      <c r="B3567" s="3" t="s">
        <v>21</v>
      </c>
      <c r="C3567" s="4" t="str">
        <f t="shared" si="301"/>
        <v>Hải Dương</v>
      </c>
      <c r="D3567" s="3" t="s">
        <v>274</v>
      </c>
      <c r="E3567" s="4" t="str">
        <f t="shared" si="303"/>
        <v>Huyện Thanh Miện</v>
      </c>
      <c r="F3567" s="3" t="s">
        <v>4331</v>
      </c>
      <c r="G3567" s="4" t="str">
        <f>HYPERLINK("https://diaocthongthai.com/xa-pham-kha-thanh-mien/","Xã Phạm Kha")</f>
        <v>Xã Phạm Kha</v>
      </c>
    </row>
    <row r="3568" spans="1:7" x14ac:dyDescent="0.25">
      <c r="A3568" s="2">
        <v>3567</v>
      </c>
      <c r="B3568" s="3" t="s">
        <v>21</v>
      </c>
      <c r="C3568" s="4" t="str">
        <f t="shared" si="301"/>
        <v>Hải Dương</v>
      </c>
      <c r="D3568" s="3" t="s">
        <v>274</v>
      </c>
      <c r="E3568" s="4" t="str">
        <f t="shared" si="303"/>
        <v>Huyện Thanh Miện</v>
      </c>
      <c r="F3568" s="3" t="s">
        <v>4332</v>
      </c>
      <c r="G3568" s="4" t="str">
        <f>HYPERLINK("https://diaocthongthai.com/xa-ngo-quyen-thanh-mien/","Xã Ngô Quyền")</f>
        <v>Xã Ngô Quyền</v>
      </c>
    </row>
    <row r="3569" spans="1:7" x14ac:dyDescent="0.25">
      <c r="A3569" s="2">
        <v>3568</v>
      </c>
      <c r="B3569" s="3" t="s">
        <v>21</v>
      </c>
      <c r="C3569" s="4" t="str">
        <f t="shared" si="301"/>
        <v>Hải Dương</v>
      </c>
      <c r="D3569" s="3" t="s">
        <v>274</v>
      </c>
      <c r="E3569" s="4" t="str">
        <f t="shared" si="303"/>
        <v>Huyện Thanh Miện</v>
      </c>
      <c r="F3569" s="3" t="s">
        <v>4333</v>
      </c>
      <c r="G3569" s="4" t="str">
        <f>HYPERLINK("https://diaocthongthai.com/xa-doan-tung-thanh-mien/","Xã Đoàn Tùng")</f>
        <v>Xã Đoàn Tùng</v>
      </c>
    </row>
    <row r="3570" spans="1:7" x14ac:dyDescent="0.25">
      <c r="A3570" s="2">
        <v>3569</v>
      </c>
      <c r="B3570" s="3" t="s">
        <v>21</v>
      </c>
      <c r="C3570" s="4" t="str">
        <f t="shared" si="301"/>
        <v>Hải Dương</v>
      </c>
      <c r="D3570" s="3" t="s">
        <v>274</v>
      </c>
      <c r="E3570" s="4" t="str">
        <f t="shared" si="303"/>
        <v>Huyện Thanh Miện</v>
      </c>
      <c r="F3570" s="3" t="s">
        <v>4334</v>
      </c>
      <c r="G3570" s="4" t="str">
        <f>HYPERLINK("https://diaocthongthai.com/xa-hong-quang-thanh-mien/","Xã Hồng Quang")</f>
        <v>Xã Hồng Quang</v>
      </c>
    </row>
    <row r="3571" spans="1:7" x14ac:dyDescent="0.25">
      <c r="A3571" s="2">
        <v>3570</v>
      </c>
      <c r="B3571" s="3" t="s">
        <v>21</v>
      </c>
      <c r="C3571" s="4" t="str">
        <f t="shared" si="301"/>
        <v>Hải Dương</v>
      </c>
      <c r="D3571" s="3" t="s">
        <v>274</v>
      </c>
      <c r="E3571" s="4" t="str">
        <f t="shared" si="303"/>
        <v>Huyện Thanh Miện</v>
      </c>
      <c r="F3571" s="3" t="s">
        <v>4335</v>
      </c>
      <c r="G3571" s="4" t="str">
        <f>HYPERLINK("https://diaocthongthai.com/xa-tan-trao-thanh-mien/","Xã Tân Trào")</f>
        <v>Xã Tân Trào</v>
      </c>
    </row>
    <row r="3572" spans="1:7" x14ac:dyDescent="0.25">
      <c r="A3572" s="2">
        <v>3571</v>
      </c>
      <c r="B3572" s="3" t="s">
        <v>21</v>
      </c>
      <c r="C3572" s="4" t="str">
        <f t="shared" si="301"/>
        <v>Hải Dương</v>
      </c>
      <c r="D3572" s="3" t="s">
        <v>274</v>
      </c>
      <c r="E3572" s="4" t="str">
        <f t="shared" si="303"/>
        <v>Huyện Thanh Miện</v>
      </c>
      <c r="F3572" s="3" t="s">
        <v>4336</v>
      </c>
      <c r="G3572" s="4" t="str">
        <f>HYPERLINK("https://diaocthongthai.com/xa-lam-son-thanh-mien/","Xã Lam Sơn")</f>
        <v>Xã Lam Sơn</v>
      </c>
    </row>
    <row r="3573" spans="1:7" x14ac:dyDescent="0.25">
      <c r="A3573" s="2">
        <v>3572</v>
      </c>
      <c r="B3573" s="3" t="s">
        <v>21</v>
      </c>
      <c r="C3573" s="4" t="str">
        <f t="shared" si="301"/>
        <v>Hải Dương</v>
      </c>
      <c r="D3573" s="3" t="s">
        <v>274</v>
      </c>
      <c r="E3573" s="4" t="str">
        <f t="shared" si="303"/>
        <v>Huyện Thanh Miện</v>
      </c>
      <c r="F3573" s="3" t="s">
        <v>4337</v>
      </c>
      <c r="G3573" s="4" t="str">
        <f>HYPERLINK("https://diaocthongthai.com/xa-doan-ket-thanh-mien/","Xã Đoàn Kết")</f>
        <v>Xã Đoàn Kết</v>
      </c>
    </row>
    <row r="3574" spans="1:7" x14ac:dyDescent="0.25">
      <c r="A3574" s="2">
        <v>3573</v>
      </c>
      <c r="B3574" s="3" t="s">
        <v>21</v>
      </c>
      <c r="C3574" s="4" t="str">
        <f t="shared" si="301"/>
        <v>Hải Dương</v>
      </c>
      <c r="D3574" s="3" t="s">
        <v>274</v>
      </c>
      <c r="E3574" s="4" t="str">
        <f t="shared" si="303"/>
        <v>Huyện Thanh Miện</v>
      </c>
      <c r="F3574" s="3" t="s">
        <v>4338</v>
      </c>
      <c r="G3574" s="4" t="str">
        <f>HYPERLINK("https://diaocthongthai.com/xa-le-hong-thanh-mien/","Xã Lê Hồng")</f>
        <v>Xã Lê Hồng</v>
      </c>
    </row>
    <row r="3575" spans="1:7" x14ac:dyDescent="0.25">
      <c r="A3575" s="2">
        <v>3574</v>
      </c>
      <c r="B3575" s="3" t="s">
        <v>21</v>
      </c>
      <c r="C3575" s="4" t="str">
        <f t="shared" si="301"/>
        <v>Hải Dương</v>
      </c>
      <c r="D3575" s="3" t="s">
        <v>274</v>
      </c>
      <c r="E3575" s="4" t="str">
        <f t="shared" si="303"/>
        <v>Huyện Thanh Miện</v>
      </c>
      <c r="F3575" s="3" t="s">
        <v>4339</v>
      </c>
      <c r="G3575" s="4" t="str">
        <f>HYPERLINK("https://diaocthongthai.com/xa-tu-cuong-thanh-mien/","Xã Tứ Cường")</f>
        <v>Xã Tứ Cường</v>
      </c>
    </row>
    <row r="3576" spans="1:7" x14ac:dyDescent="0.25">
      <c r="A3576" s="2">
        <v>3575</v>
      </c>
      <c r="B3576" s="3" t="s">
        <v>21</v>
      </c>
      <c r="C3576" s="4" t="str">
        <f t="shared" si="301"/>
        <v>Hải Dương</v>
      </c>
      <c r="D3576" s="3" t="s">
        <v>274</v>
      </c>
      <c r="E3576" s="4" t="str">
        <f t="shared" si="303"/>
        <v>Huyện Thanh Miện</v>
      </c>
      <c r="F3576" s="3" t="s">
        <v>4340</v>
      </c>
      <c r="G3576" s="4" t="str">
        <f>HYPERLINK("https://diaocthongthai.com/xa-ngu-hung-thanh-mien/","Xã Ngũ Hùng")</f>
        <v>Xã Ngũ Hùng</v>
      </c>
    </row>
    <row r="3577" spans="1:7" x14ac:dyDescent="0.25">
      <c r="A3577" s="2">
        <v>3576</v>
      </c>
      <c r="B3577" s="3" t="s">
        <v>21</v>
      </c>
      <c r="C3577" s="4" t="str">
        <f t="shared" si="301"/>
        <v>Hải Dương</v>
      </c>
      <c r="D3577" s="3" t="s">
        <v>274</v>
      </c>
      <c r="E3577" s="4" t="str">
        <f t="shared" si="303"/>
        <v>Huyện Thanh Miện</v>
      </c>
      <c r="F3577" s="3" t="s">
        <v>4341</v>
      </c>
      <c r="G3577" s="4" t="str">
        <f>HYPERLINK("https://diaocthongthai.com/xa-cao-thang-thanh-mien/","Xã Cao Thắng")</f>
        <v>Xã Cao Thắng</v>
      </c>
    </row>
    <row r="3578" spans="1:7" x14ac:dyDescent="0.25">
      <c r="A3578" s="2">
        <v>3577</v>
      </c>
      <c r="B3578" s="3" t="s">
        <v>21</v>
      </c>
      <c r="C3578" s="4" t="str">
        <f t="shared" si="301"/>
        <v>Hải Dương</v>
      </c>
      <c r="D3578" s="3" t="s">
        <v>274</v>
      </c>
      <c r="E3578" s="4" t="str">
        <f t="shared" si="303"/>
        <v>Huyện Thanh Miện</v>
      </c>
      <c r="F3578" s="3" t="s">
        <v>4342</v>
      </c>
      <c r="G3578" s="4" t="str">
        <f>HYPERLINK("https://diaocthongthai.com/xa-chi-lang-bac-thanh-mien/","Xã Chi Lăng Bắc")</f>
        <v>Xã Chi Lăng Bắc</v>
      </c>
    </row>
    <row r="3579" spans="1:7" x14ac:dyDescent="0.25">
      <c r="A3579" s="2">
        <v>3578</v>
      </c>
      <c r="B3579" s="3" t="s">
        <v>21</v>
      </c>
      <c r="C3579" s="4" t="str">
        <f t="shared" si="301"/>
        <v>Hải Dương</v>
      </c>
      <c r="D3579" s="3" t="s">
        <v>274</v>
      </c>
      <c r="E3579" s="4" t="str">
        <f t="shared" si="303"/>
        <v>Huyện Thanh Miện</v>
      </c>
      <c r="F3579" s="3" t="s">
        <v>4343</v>
      </c>
      <c r="G3579" s="4" t="str">
        <f>HYPERLINK("https://diaocthongthai.com/xa-chi-lang-nam-thanh-mien/","Xã Chi Lăng Nam")</f>
        <v>Xã Chi Lăng Nam</v>
      </c>
    </row>
    <row r="3580" spans="1:7" x14ac:dyDescent="0.25">
      <c r="A3580" s="2">
        <v>3579</v>
      </c>
      <c r="B3580" s="3" t="s">
        <v>21</v>
      </c>
      <c r="C3580" s="4" t="str">
        <f t="shared" si="301"/>
        <v>Hải Dương</v>
      </c>
      <c r="D3580" s="3" t="s">
        <v>274</v>
      </c>
      <c r="E3580" s="4" t="str">
        <f t="shared" si="303"/>
        <v>Huyện Thanh Miện</v>
      </c>
      <c r="F3580" s="3" t="s">
        <v>4344</v>
      </c>
      <c r="G3580" s="4" t="str">
        <f>HYPERLINK("https://diaocthongthai.com/xa-thanh-giang-thanh-mien/","Xã Thanh Giang")</f>
        <v>Xã Thanh Giang</v>
      </c>
    </row>
    <row r="3581" spans="1:7" x14ac:dyDescent="0.25">
      <c r="A3581" s="2">
        <v>3580</v>
      </c>
      <c r="B3581" s="3" t="s">
        <v>21</v>
      </c>
      <c r="C3581" s="4" t="str">
        <f t="shared" si="301"/>
        <v>Hải Dương</v>
      </c>
      <c r="D3581" s="3" t="s">
        <v>274</v>
      </c>
      <c r="E3581" s="4" t="str">
        <f t="shared" si="303"/>
        <v>Huyện Thanh Miện</v>
      </c>
      <c r="F3581" s="3" t="s">
        <v>4345</v>
      </c>
      <c r="G3581" s="4" t="str">
        <f>HYPERLINK("https://diaocthongthai.com/xa-hong-phong-thanh-mien/","Xã Hồng Phong")</f>
        <v>Xã Hồng Phong</v>
      </c>
    </row>
    <row r="3582" spans="1:7" x14ac:dyDescent="0.25">
      <c r="A3582" s="2">
        <v>3581</v>
      </c>
      <c r="B3582" s="3" t="s">
        <v>22</v>
      </c>
      <c r="C3582" s="4" t="str">
        <f t="shared" ref="C3582:C3645" si="304">HYPERLINK("https://diaocthongthai.com/ban-do-hai-phong/","Hải Phòng")</f>
        <v>Hải Phòng</v>
      </c>
      <c r="D3582" s="3" t="s">
        <v>275</v>
      </c>
      <c r="E3582" s="4" t="str">
        <f t="shared" ref="E3582:E3590" si="305">HYPERLINK("https://diaocthongthai.com/ban-do-quan-hong-bang-tp-hai-phong/","Quận Hồng Bàng")</f>
        <v>Quận Hồng Bàng</v>
      </c>
      <c r="F3582" s="3" t="s">
        <v>4346</v>
      </c>
      <c r="G3582" s="4" t="str">
        <f>HYPERLINK("https://diaocthongthai.com/phuong-quan-toan-quan-hong-bang/","Phường Quán Toan")</f>
        <v>Phường Quán Toan</v>
      </c>
    </row>
    <row r="3583" spans="1:7" x14ac:dyDescent="0.25">
      <c r="A3583" s="2">
        <v>3582</v>
      </c>
      <c r="B3583" s="3" t="s">
        <v>22</v>
      </c>
      <c r="C3583" s="4" t="str">
        <f t="shared" si="304"/>
        <v>Hải Phòng</v>
      </c>
      <c r="D3583" s="3" t="s">
        <v>275</v>
      </c>
      <c r="E3583" s="4" t="str">
        <f t="shared" si="305"/>
        <v>Quận Hồng Bàng</v>
      </c>
      <c r="F3583" s="3" t="s">
        <v>4347</v>
      </c>
      <c r="G3583" s="4" t="str">
        <f>HYPERLINK("https://diaocthongthai.com/phuong-hung-vuong-quan-hong-bang/","Phường Hùng Vương")</f>
        <v>Phường Hùng Vương</v>
      </c>
    </row>
    <row r="3584" spans="1:7" x14ac:dyDescent="0.25">
      <c r="A3584" s="2">
        <v>3583</v>
      </c>
      <c r="B3584" s="3" t="s">
        <v>22</v>
      </c>
      <c r="C3584" s="4" t="str">
        <f t="shared" si="304"/>
        <v>Hải Phòng</v>
      </c>
      <c r="D3584" s="3" t="s">
        <v>275</v>
      </c>
      <c r="E3584" s="4" t="str">
        <f t="shared" si="305"/>
        <v>Quận Hồng Bàng</v>
      </c>
      <c r="F3584" s="3" t="s">
        <v>4348</v>
      </c>
      <c r="G3584" s="4" t="str">
        <f>HYPERLINK("https://diaocthongthai.com/phuong-so-dau-quan-hong-bang/","Phường Sở Dầu")</f>
        <v>Phường Sở Dầu</v>
      </c>
    </row>
    <row r="3585" spans="1:7" x14ac:dyDescent="0.25">
      <c r="A3585" s="2">
        <v>3584</v>
      </c>
      <c r="B3585" s="3" t="s">
        <v>22</v>
      </c>
      <c r="C3585" s="4" t="str">
        <f t="shared" si="304"/>
        <v>Hải Phòng</v>
      </c>
      <c r="D3585" s="3" t="s">
        <v>275</v>
      </c>
      <c r="E3585" s="4" t="str">
        <f t="shared" si="305"/>
        <v>Quận Hồng Bàng</v>
      </c>
      <c r="F3585" s="3" t="s">
        <v>4349</v>
      </c>
      <c r="G3585" s="4" t="str">
        <f>HYPERLINK("https://diaocthongthai.com/phuong-thuong-ly-quan-hong-bang/","Phường Thượng Lý")</f>
        <v>Phường Thượng Lý</v>
      </c>
    </row>
    <row r="3586" spans="1:7" x14ac:dyDescent="0.25">
      <c r="A3586" s="2">
        <v>3585</v>
      </c>
      <c r="B3586" s="3" t="s">
        <v>22</v>
      </c>
      <c r="C3586" s="4" t="str">
        <f t="shared" si="304"/>
        <v>Hải Phòng</v>
      </c>
      <c r="D3586" s="3" t="s">
        <v>275</v>
      </c>
      <c r="E3586" s="4" t="str">
        <f t="shared" si="305"/>
        <v>Quận Hồng Bàng</v>
      </c>
      <c r="F3586" s="3" t="s">
        <v>4350</v>
      </c>
      <c r="G3586" s="4" t="str">
        <f>HYPERLINK("https://diaocthongthai.com/phuong-ha-ly-quan-hong-bang/","Phường Hạ Lý")</f>
        <v>Phường Hạ Lý</v>
      </c>
    </row>
    <row r="3587" spans="1:7" x14ac:dyDescent="0.25">
      <c r="A3587" s="2">
        <v>3586</v>
      </c>
      <c r="B3587" s="3" t="s">
        <v>22</v>
      </c>
      <c r="C3587" s="4" t="str">
        <f t="shared" si="304"/>
        <v>Hải Phòng</v>
      </c>
      <c r="D3587" s="3" t="s">
        <v>275</v>
      </c>
      <c r="E3587" s="4" t="str">
        <f t="shared" si="305"/>
        <v>Quận Hồng Bàng</v>
      </c>
      <c r="F3587" s="3" t="s">
        <v>4351</v>
      </c>
      <c r="G3587" s="4" t="str">
        <f>HYPERLINK("https://diaocthongthai.com/phuong-minh-khai-quan-hong-bang/","Phường Minh Khai")</f>
        <v>Phường Minh Khai</v>
      </c>
    </row>
    <row r="3588" spans="1:7" x14ac:dyDescent="0.25">
      <c r="A3588" s="2">
        <v>3587</v>
      </c>
      <c r="B3588" s="3" t="s">
        <v>22</v>
      </c>
      <c r="C3588" s="4" t="str">
        <f t="shared" si="304"/>
        <v>Hải Phòng</v>
      </c>
      <c r="D3588" s="3" t="s">
        <v>275</v>
      </c>
      <c r="E3588" s="4" t="str">
        <f t="shared" si="305"/>
        <v>Quận Hồng Bàng</v>
      </c>
      <c r="F3588" s="3" t="s">
        <v>4352</v>
      </c>
      <c r="G3588" s="4" t="str">
        <f>HYPERLINK("https://diaocthongthai.com/phuong-trai-chuoi-quan-hong-bang/","Phường Trại Chuối")</f>
        <v>Phường Trại Chuối</v>
      </c>
    </row>
    <row r="3589" spans="1:7" x14ac:dyDescent="0.25">
      <c r="A3589" s="2">
        <v>3588</v>
      </c>
      <c r="B3589" s="3" t="s">
        <v>22</v>
      </c>
      <c r="C3589" s="4" t="str">
        <f t="shared" si="304"/>
        <v>Hải Phòng</v>
      </c>
      <c r="D3589" s="3" t="s">
        <v>275</v>
      </c>
      <c r="E3589" s="4" t="str">
        <f t="shared" si="305"/>
        <v>Quận Hồng Bàng</v>
      </c>
      <c r="F3589" s="3" t="s">
        <v>4353</v>
      </c>
      <c r="G3589" s="4" t="str">
        <f>HYPERLINK("https://diaocthongthai.com/phuong-hoang-van-thu-quan-hong-bang/","Phường Hoàng Văn Thụ")</f>
        <v>Phường Hoàng Văn Thụ</v>
      </c>
    </row>
    <row r="3590" spans="1:7" x14ac:dyDescent="0.25">
      <c r="A3590" s="2">
        <v>3589</v>
      </c>
      <c r="B3590" s="3" t="s">
        <v>22</v>
      </c>
      <c r="C3590" s="4" t="str">
        <f t="shared" si="304"/>
        <v>Hải Phòng</v>
      </c>
      <c r="D3590" s="3" t="s">
        <v>275</v>
      </c>
      <c r="E3590" s="4" t="str">
        <f t="shared" si="305"/>
        <v>Quận Hồng Bàng</v>
      </c>
      <c r="F3590" s="3" t="s">
        <v>4354</v>
      </c>
      <c r="G3590" s="4" t="str">
        <f>HYPERLINK("https://diaocthongthai.com/phuong-phan-boi-chau-quan-hong-bang/","Phường Phan Bội Châu")</f>
        <v>Phường Phan Bội Châu</v>
      </c>
    </row>
    <row r="3591" spans="1:7" x14ac:dyDescent="0.25">
      <c r="A3591" s="2">
        <v>3590</v>
      </c>
      <c r="B3591" s="3" t="s">
        <v>22</v>
      </c>
      <c r="C3591" s="4" t="str">
        <f t="shared" si="304"/>
        <v>Hải Phòng</v>
      </c>
      <c r="D3591" s="3" t="s">
        <v>276</v>
      </c>
      <c r="E3591" s="4" t="str">
        <f t="shared" ref="E3591:E3602" si="306">HYPERLINK("https://diaocthongthai.com/ban-do-quan-ngo-quyen-tp-hai-phong/","Quận Ngô Quyền")</f>
        <v>Quận Ngô Quyền</v>
      </c>
      <c r="F3591" s="3" t="s">
        <v>4355</v>
      </c>
      <c r="G3591" s="4" t="str">
        <f>HYPERLINK("https://diaocthongthai.com/phuong-may-chai-quan-ngo-quyen/","Phường Máy Chai")</f>
        <v>Phường Máy Chai</v>
      </c>
    </row>
    <row r="3592" spans="1:7" x14ac:dyDescent="0.25">
      <c r="A3592" s="2">
        <v>3591</v>
      </c>
      <c r="B3592" s="3" t="s">
        <v>22</v>
      </c>
      <c r="C3592" s="4" t="str">
        <f t="shared" si="304"/>
        <v>Hải Phòng</v>
      </c>
      <c r="D3592" s="3" t="s">
        <v>276</v>
      </c>
      <c r="E3592" s="4" t="str">
        <f t="shared" si="306"/>
        <v>Quận Ngô Quyền</v>
      </c>
      <c r="F3592" s="3" t="s">
        <v>4356</v>
      </c>
      <c r="G3592" s="4" t="str">
        <f>HYPERLINK("https://diaocthongthai.com/phuong-may-to-quan-ngo-quyen/","Phường Máy Tơ")</f>
        <v>Phường Máy Tơ</v>
      </c>
    </row>
    <row r="3593" spans="1:7" x14ac:dyDescent="0.25">
      <c r="A3593" s="2">
        <v>3592</v>
      </c>
      <c r="B3593" s="3" t="s">
        <v>22</v>
      </c>
      <c r="C3593" s="4" t="str">
        <f t="shared" si="304"/>
        <v>Hải Phòng</v>
      </c>
      <c r="D3593" s="3" t="s">
        <v>276</v>
      </c>
      <c r="E3593" s="4" t="str">
        <f t="shared" si="306"/>
        <v>Quận Ngô Quyền</v>
      </c>
      <c r="F3593" s="3" t="s">
        <v>4357</v>
      </c>
      <c r="G3593" s="4" t="str">
        <f>HYPERLINK("https://diaocthongthai.com/phuong-van-my-quan-ngo-quyen/","Phường Vạn Mỹ")</f>
        <v>Phường Vạn Mỹ</v>
      </c>
    </row>
    <row r="3594" spans="1:7" x14ac:dyDescent="0.25">
      <c r="A3594" s="2">
        <v>3593</v>
      </c>
      <c r="B3594" s="3" t="s">
        <v>22</v>
      </c>
      <c r="C3594" s="4" t="str">
        <f t="shared" si="304"/>
        <v>Hải Phòng</v>
      </c>
      <c r="D3594" s="3" t="s">
        <v>276</v>
      </c>
      <c r="E3594" s="4" t="str">
        <f t="shared" si="306"/>
        <v>Quận Ngô Quyền</v>
      </c>
      <c r="F3594" s="3" t="s">
        <v>4358</v>
      </c>
      <c r="G3594" s="4" t="str">
        <f>HYPERLINK("https://diaocthongthai.com/phuong-cau-tre-quan-ngo-quyen/","Phường Cầu Tre")</f>
        <v>Phường Cầu Tre</v>
      </c>
    </row>
    <row r="3595" spans="1:7" x14ac:dyDescent="0.25">
      <c r="A3595" s="2">
        <v>3594</v>
      </c>
      <c r="B3595" s="3" t="s">
        <v>22</v>
      </c>
      <c r="C3595" s="4" t="str">
        <f t="shared" si="304"/>
        <v>Hải Phòng</v>
      </c>
      <c r="D3595" s="3" t="s">
        <v>276</v>
      </c>
      <c r="E3595" s="4" t="str">
        <f t="shared" si="306"/>
        <v>Quận Ngô Quyền</v>
      </c>
      <c r="F3595" s="3" t="s">
        <v>4359</v>
      </c>
      <c r="G3595" s="4" t="str">
        <f>HYPERLINK("https://diaocthongthai.com/phuong-lac-vien-quan-ngo-quyen/","Phường Lạc Viên")</f>
        <v>Phường Lạc Viên</v>
      </c>
    </row>
    <row r="3596" spans="1:7" x14ac:dyDescent="0.25">
      <c r="A3596" s="2">
        <v>3595</v>
      </c>
      <c r="B3596" s="3" t="s">
        <v>22</v>
      </c>
      <c r="C3596" s="4" t="str">
        <f t="shared" si="304"/>
        <v>Hải Phòng</v>
      </c>
      <c r="D3596" s="3" t="s">
        <v>276</v>
      </c>
      <c r="E3596" s="4" t="str">
        <f t="shared" si="306"/>
        <v>Quận Ngô Quyền</v>
      </c>
      <c r="F3596" s="3" t="s">
        <v>4360</v>
      </c>
      <c r="G3596" s="4" t="str">
        <f>HYPERLINK("https://diaocthongthai.com/phuong-cau-dat-quan-ngo-quyen/","Phường Cầu Đất")</f>
        <v>Phường Cầu Đất</v>
      </c>
    </row>
    <row r="3597" spans="1:7" x14ac:dyDescent="0.25">
      <c r="A3597" s="2">
        <v>3596</v>
      </c>
      <c r="B3597" s="3" t="s">
        <v>22</v>
      </c>
      <c r="C3597" s="4" t="str">
        <f t="shared" si="304"/>
        <v>Hải Phòng</v>
      </c>
      <c r="D3597" s="3" t="s">
        <v>276</v>
      </c>
      <c r="E3597" s="4" t="str">
        <f t="shared" si="306"/>
        <v>Quận Ngô Quyền</v>
      </c>
      <c r="F3597" s="3" t="s">
        <v>4361</v>
      </c>
      <c r="G3597" s="4" t="str">
        <f>HYPERLINK("https://diaocthongthai.com/phuong-gia-vien-quan-ngo-quyen/","Phường Gia Viên")</f>
        <v>Phường Gia Viên</v>
      </c>
    </row>
    <row r="3598" spans="1:7" x14ac:dyDescent="0.25">
      <c r="A3598" s="2">
        <v>3597</v>
      </c>
      <c r="B3598" s="3" t="s">
        <v>22</v>
      </c>
      <c r="C3598" s="4" t="str">
        <f t="shared" si="304"/>
        <v>Hải Phòng</v>
      </c>
      <c r="D3598" s="3" t="s">
        <v>276</v>
      </c>
      <c r="E3598" s="4" t="str">
        <f t="shared" si="306"/>
        <v>Quận Ngô Quyền</v>
      </c>
      <c r="F3598" s="3" t="s">
        <v>4362</v>
      </c>
      <c r="G3598" s="4" t="str">
        <f>HYPERLINK("https://diaocthongthai.com/phuong-dong-khe-quan-ngo-quyen/","Phường Đông Khê")</f>
        <v>Phường Đông Khê</v>
      </c>
    </row>
    <row r="3599" spans="1:7" x14ac:dyDescent="0.25">
      <c r="A3599" s="2">
        <v>3598</v>
      </c>
      <c r="B3599" s="3" t="s">
        <v>22</v>
      </c>
      <c r="C3599" s="4" t="str">
        <f t="shared" si="304"/>
        <v>Hải Phòng</v>
      </c>
      <c r="D3599" s="3" t="s">
        <v>276</v>
      </c>
      <c r="E3599" s="4" t="str">
        <f t="shared" si="306"/>
        <v>Quận Ngô Quyền</v>
      </c>
      <c r="F3599" s="3" t="s">
        <v>4363</v>
      </c>
      <c r="G3599" s="4" t="str">
        <f>HYPERLINK("https://diaocthongthai.com/phuong-le-loi-quan-ngo-quyen/","Phường Lê Lợi")</f>
        <v>Phường Lê Lợi</v>
      </c>
    </row>
    <row r="3600" spans="1:7" x14ac:dyDescent="0.25">
      <c r="A3600" s="2">
        <v>3599</v>
      </c>
      <c r="B3600" s="3" t="s">
        <v>22</v>
      </c>
      <c r="C3600" s="4" t="str">
        <f t="shared" si="304"/>
        <v>Hải Phòng</v>
      </c>
      <c r="D3600" s="3" t="s">
        <v>276</v>
      </c>
      <c r="E3600" s="4" t="str">
        <f t="shared" si="306"/>
        <v>Quận Ngô Quyền</v>
      </c>
      <c r="F3600" s="3" t="s">
        <v>4364</v>
      </c>
      <c r="G3600" s="4" t="str">
        <f>HYPERLINK("https://diaocthongthai.com/phuong-dang-giang-quan-ngo-quyen/","Phường Đằng Giang")</f>
        <v>Phường Đằng Giang</v>
      </c>
    </row>
    <row r="3601" spans="1:7" x14ac:dyDescent="0.25">
      <c r="A3601" s="2">
        <v>3600</v>
      </c>
      <c r="B3601" s="3" t="s">
        <v>22</v>
      </c>
      <c r="C3601" s="4" t="str">
        <f t="shared" si="304"/>
        <v>Hải Phòng</v>
      </c>
      <c r="D3601" s="3" t="s">
        <v>276</v>
      </c>
      <c r="E3601" s="4" t="str">
        <f t="shared" si="306"/>
        <v>Quận Ngô Quyền</v>
      </c>
      <c r="F3601" s="3" t="s">
        <v>4365</v>
      </c>
      <c r="G3601" s="4" t="str">
        <f>HYPERLINK("https://diaocthongthai.com/phuong-lach-tray-quan-ngo-quyen/","Phường Lạch Tray")</f>
        <v>Phường Lạch Tray</v>
      </c>
    </row>
    <row r="3602" spans="1:7" x14ac:dyDescent="0.25">
      <c r="A3602" s="2">
        <v>3601</v>
      </c>
      <c r="B3602" s="3" t="s">
        <v>22</v>
      </c>
      <c r="C3602" s="4" t="str">
        <f t="shared" si="304"/>
        <v>Hải Phòng</v>
      </c>
      <c r="D3602" s="3" t="s">
        <v>276</v>
      </c>
      <c r="E3602" s="4" t="str">
        <f t="shared" si="306"/>
        <v>Quận Ngô Quyền</v>
      </c>
      <c r="F3602" s="3" t="s">
        <v>4366</v>
      </c>
      <c r="G3602" s="4" t="str">
        <f>HYPERLINK("https://diaocthongthai.com/phuong-dong-quoc-binh-quan-ngo-quyen/","Phường Đổng Quốc Bình")</f>
        <v>Phường Đổng Quốc Bình</v>
      </c>
    </row>
    <row r="3603" spans="1:7" x14ac:dyDescent="0.25">
      <c r="A3603" s="2">
        <v>3602</v>
      </c>
      <c r="B3603" s="3" t="s">
        <v>22</v>
      </c>
      <c r="C3603" s="4" t="str">
        <f t="shared" si="304"/>
        <v>Hải Phòng</v>
      </c>
      <c r="D3603" s="3" t="s">
        <v>277</v>
      </c>
      <c r="E3603" s="4" t="str">
        <f t="shared" ref="E3603:E3617" si="307">HYPERLINK("https://diaocthongthai.com/ban-do-quan-le-chan-tp-hai-phong/","Quận Lê Chân")</f>
        <v>Quận Lê Chân</v>
      </c>
      <c r="F3603" s="3" t="s">
        <v>4367</v>
      </c>
      <c r="G3603" s="4" t="str">
        <f>HYPERLINK("https://diaocthongthai.com/phuong-cat-dai-quan-le-chan/","Phường Cát Dài")</f>
        <v>Phường Cát Dài</v>
      </c>
    </row>
    <row r="3604" spans="1:7" x14ac:dyDescent="0.25">
      <c r="A3604" s="2">
        <v>3603</v>
      </c>
      <c r="B3604" s="3" t="s">
        <v>22</v>
      </c>
      <c r="C3604" s="4" t="str">
        <f t="shared" si="304"/>
        <v>Hải Phòng</v>
      </c>
      <c r="D3604" s="3" t="s">
        <v>277</v>
      </c>
      <c r="E3604" s="4" t="str">
        <f t="shared" si="307"/>
        <v>Quận Lê Chân</v>
      </c>
      <c r="F3604" s="3" t="s">
        <v>4368</v>
      </c>
      <c r="G3604" s="4" t="str">
        <f>HYPERLINK("https://diaocthongthai.com/phuong-an-bien-quan-le-chan/","Phường An Biên")</f>
        <v>Phường An Biên</v>
      </c>
    </row>
    <row r="3605" spans="1:7" x14ac:dyDescent="0.25">
      <c r="A3605" s="2">
        <v>3604</v>
      </c>
      <c r="B3605" s="3" t="s">
        <v>22</v>
      </c>
      <c r="C3605" s="4" t="str">
        <f t="shared" si="304"/>
        <v>Hải Phòng</v>
      </c>
      <c r="D3605" s="3" t="s">
        <v>277</v>
      </c>
      <c r="E3605" s="4" t="str">
        <f t="shared" si="307"/>
        <v>Quận Lê Chân</v>
      </c>
      <c r="F3605" s="3" t="s">
        <v>4369</v>
      </c>
      <c r="G3605" s="4" t="str">
        <f>HYPERLINK("https://diaocthongthai.com/phuong-lam-son-quan-le-chan/","Phường Lam Sơn")</f>
        <v>Phường Lam Sơn</v>
      </c>
    </row>
    <row r="3606" spans="1:7" x14ac:dyDescent="0.25">
      <c r="A3606" s="2">
        <v>3605</v>
      </c>
      <c r="B3606" s="3" t="s">
        <v>22</v>
      </c>
      <c r="C3606" s="4" t="str">
        <f t="shared" si="304"/>
        <v>Hải Phòng</v>
      </c>
      <c r="D3606" s="3" t="s">
        <v>277</v>
      </c>
      <c r="E3606" s="4" t="str">
        <f t="shared" si="307"/>
        <v>Quận Lê Chân</v>
      </c>
      <c r="F3606" s="3" t="s">
        <v>4370</v>
      </c>
      <c r="G3606" s="4" t="str">
        <f>HYPERLINK("https://diaocthongthai.com/phuong-an-duong-quan-le-chan/","Phường An Dương")</f>
        <v>Phường An Dương</v>
      </c>
    </row>
    <row r="3607" spans="1:7" x14ac:dyDescent="0.25">
      <c r="A3607" s="2">
        <v>3606</v>
      </c>
      <c r="B3607" s="3" t="s">
        <v>22</v>
      </c>
      <c r="C3607" s="4" t="str">
        <f t="shared" si="304"/>
        <v>Hải Phòng</v>
      </c>
      <c r="D3607" s="3" t="s">
        <v>277</v>
      </c>
      <c r="E3607" s="4" t="str">
        <f t="shared" si="307"/>
        <v>Quận Lê Chân</v>
      </c>
      <c r="F3607" s="3" t="s">
        <v>4371</v>
      </c>
      <c r="G3607" s="4" t="str">
        <f>HYPERLINK("https://diaocthongthai.com/phuong-tran-nguyen-han-quan-le-chan/","Phường Trần Nguyên Hãn")</f>
        <v>Phường Trần Nguyên Hãn</v>
      </c>
    </row>
    <row r="3608" spans="1:7" x14ac:dyDescent="0.25">
      <c r="A3608" s="2">
        <v>3607</v>
      </c>
      <c r="B3608" s="3" t="s">
        <v>22</v>
      </c>
      <c r="C3608" s="4" t="str">
        <f t="shared" si="304"/>
        <v>Hải Phòng</v>
      </c>
      <c r="D3608" s="3" t="s">
        <v>277</v>
      </c>
      <c r="E3608" s="4" t="str">
        <f t="shared" si="307"/>
        <v>Quận Lê Chân</v>
      </c>
      <c r="F3608" s="3" t="s">
        <v>4372</v>
      </c>
      <c r="G3608" s="4" t="str">
        <f>HYPERLINK("https://diaocthongthai.com/phuong-ho-nam-quan-le-chan/","Phường Hồ Nam")</f>
        <v>Phường Hồ Nam</v>
      </c>
    </row>
    <row r="3609" spans="1:7" x14ac:dyDescent="0.25">
      <c r="A3609" s="2">
        <v>3608</v>
      </c>
      <c r="B3609" s="3" t="s">
        <v>22</v>
      </c>
      <c r="C3609" s="4" t="str">
        <f t="shared" si="304"/>
        <v>Hải Phòng</v>
      </c>
      <c r="D3609" s="3" t="s">
        <v>277</v>
      </c>
      <c r="E3609" s="4" t="str">
        <f t="shared" si="307"/>
        <v>Quận Lê Chân</v>
      </c>
      <c r="F3609" s="3" t="s">
        <v>4373</v>
      </c>
      <c r="G3609" s="4" t="str">
        <f>HYPERLINK("https://diaocthongthai.com/phuong-trai-cau-quan-le-chan/","Phường Trại Cau")</f>
        <v>Phường Trại Cau</v>
      </c>
    </row>
    <row r="3610" spans="1:7" x14ac:dyDescent="0.25">
      <c r="A3610" s="2">
        <v>3609</v>
      </c>
      <c r="B3610" s="3" t="s">
        <v>22</v>
      </c>
      <c r="C3610" s="4" t="str">
        <f t="shared" si="304"/>
        <v>Hải Phòng</v>
      </c>
      <c r="D3610" s="3" t="s">
        <v>277</v>
      </c>
      <c r="E3610" s="4" t="str">
        <f t="shared" si="307"/>
        <v>Quận Lê Chân</v>
      </c>
      <c r="F3610" s="3" t="s">
        <v>4374</v>
      </c>
      <c r="G3610" s="4" t="str">
        <f>HYPERLINK("https://diaocthongthai.com/phuong-du-hang-quan-le-chan/","Phường Dư Hàng")</f>
        <v>Phường Dư Hàng</v>
      </c>
    </row>
    <row r="3611" spans="1:7" x14ac:dyDescent="0.25">
      <c r="A3611" s="2">
        <v>3610</v>
      </c>
      <c r="B3611" s="3" t="s">
        <v>22</v>
      </c>
      <c r="C3611" s="4" t="str">
        <f t="shared" si="304"/>
        <v>Hải Phòng</v>
      </c>
      <c r="D3611" s="3" t="s">
        <v>277</v>
      </c>
      <c r="E3611" s="4" t="str">
        <f t="shared" si="307"/>
        <v>Quận Lê Chân</v>
      </c>
      <c r="F3611" s="3" t="s">
        <v>4375</v>
      </c>
      <c r="G3611" s="4" t="str">
        <f>HYPERLINK("https://diaocthongthai.com/phuong-hang-kenh-quan-le-chan/","Phường Hàng Kênh")</f>
        <v>Phường Hàng Kênh</v>
      </c>
    </row>
    <row r="3612" spans="1:7" x14ac:dyDescent="0.25">
      <c r="A3612" s="2">
        <v>3611</v>
      </c>
      <c r="B3612" s="3" t="s">
        <v>22</v>
      </c>
      <c r="C3612" s="4" t="str">
        <f t="shared" si="304"/>
        <v>Hải Phòng</v>
      </c>
      <c r="D3612" s="3" t="s">
        <v>277</v>
      </c>
      <c r="E3612" s="4" t="str">
        <f t="shared" si="307"/>
        <v>Quận Lê Chân</v>
      </c>
      <c r="F3612" s="3" t="s">
        <v>4376</v>
      </c>
      <c r="G3612" s="4" t="str">
        <f>HYPERLINK("https://diaocthongthai.com/phuong-dong-hai-quan-le-chan/","Phường Đông Hải")</f>
        <v>Phường Đông Hải</v>
      </c>
    </row>
    <row r="3613" spans="1:7" x14ac:dyDescent="0.25">
      <c r="A3613" s="2">
        <v>3612</v>
      </c>
      <c r="B3613" s="3" t="s">
        <v>22</v>
      </c>
      <c r="C3613" s="4" t="str">
        <f t="shared" si="304"/>
        <v>Hải Phòng</v>
      </c>
      <c r="D3613" s="3" t="s">
        <v>277</v>
      </c>
      <c r="E3613" s="4" t="str">
        <f t="shared" si="307"/>
        <v>Quận Lê Chân</v>
      </c>
      <c r="F3613" s="3" t="s">
        <v>4377</v>
      </c>
      <c r="G3613" s="4" t="str">
        <f>HYPERLINK("https://diaocthongthai.com/phuong-niem-nghia-quan-le-chan/","Phường Niệm Nghĩa")</f>
        <v>Phường Niệm Nghĩa</v>
      </c>
    </row>
    <row r="3614" spans="1:7" x14ac:dyDescent="0.25">
      <c r="A3614" s="2">
        <v>3613</v>
      </c>
      <c r="B3614" s="3" t="s">
        <v>22</v>
      </c>
      <c r="C3614" s="4" t="str">
        <f t="shared" si="304"/>
        <v>Hải Phòng</v>
      </c>
      <c r="D3614" s="3" t="s">
        <v>277</v>
      </c>
      <c r="E3614" s="4" t="str">
        <f t="shared" si="307"/>
        <v>Quận Lê Chân</v>
      </c>
      <c r="F3614" s="3" t="s">
        <v>4378</v>
      </c>
      <c r="G3614" s="4" t="str">
        <f>HYPERLINK("https://diaocthongthai.com/phuong-nghia-xa-quan-le-chan/","Phường Nghĩa Xá")</f>
        <v>Phường Nghĩa Xá</v>
      </c>
    </row>
    <row r="3615" spans="1:7" x14ac:dyDescent="0.25">
      <c r="A3615" s="2">
        <v>3614</v>
      </c>
      <c r="B3615" s="3" t="s">
        <v>22</v>
      </c>
      <c r="C3615" s="4" t="str">
        <f t="shared" si="304"/>
        <v>Hải Phòng</v>
      </c>
      <c r="D3615" s="3" t="s">
        <v>277</v>
      </c>
      <c r="E3615" s="4" t="str">
        <f t="shared" si="307"/>
        <v>Quận Lê Chân</v>
      </c>
      <c r="F3615" s="3" t="s">
        <v>4379</v>
      </c>
      <c r="G3615" s="4" t="str">
        <f>HYPERLINK("https://diaocthongthai.com/phuong-du-hang-kenh-quan-le-chan/","Phường Dư Hàng Kênh")</f>
        <v>Phường Dư Hàng Kênh</v>
      </c>
    </row>
    <row r="3616" spans="1:7" x14ac:dyDescent="0.25">
      <c r="A3616" s="2">
        <v>3615</v>
      </c>
      <c r="B3616" s="3" t="s">
        <v>22</v>
      </c>
      <c r="C3616" s="4" t="str">
        <f t="shared" si="304"/>
        <v>Hải Phòng</v>
      </c>
      <c r="D3616" s="3" t="s">
        <v>277</v>
      </c>
      <c r="E3616" s="4" t="str">
        <f t="shared" si="307"/>
        <v>Quận Lê Chân</v>
      </c>
      <c r="F3616" s="3" t="s">
        <v>4380</v>
      </c>
      <c r="G3616" s="4" t="str">
        <f>HYPERLINK("https://diaocthongthai.com/phuong-kenh-duong-quan-le-chan/","Phường Kênh Dương")</f>
        <v>Phường Kênh Dương</v>
      </c>
    </row>
    <row r="3617" spans="1:7" x14ac:dyDescent="0.25">
      <c r="A3617" s="2">
        <v>3616</v>
      </c>
      <c r="B3617" s="3" t="s">
        <v>22</v>
      </c>
      <c r="C3617" s="4" t="str">
        <f t="shared" si="304"/>
        <v>Hải Phòng</v>
      </c>
      <c r="D3617" s="3" t="s">
        <v>277</v>
      </c>
      <c r="E3617" s="4" t="str">
        <f t="shared" si="307"/>
        <v>Quận Lê Chân</v>
      </c>
      <c r="F3617" s="3" t="s">
        <v>4381</v>
      </c>
      <c r="G3617" s="4" t="str">
        <f>HYPERLINK("https://diaocthongthai.com/phuong-vinh-niem-quan-le-chan/","Phường Vĩnh Niệm")</f>
        <v>Phường Vĩnh Niệm</v>
      </c>
    </row>
    <row r="3618" spans="1:7" x14ac:dyDescent="0.25">
      <c r="A3618" s="2">
        <v>3617</v>
      </c>
      <c r="B3618" s="3" t="s">
        <v>22</v>
      </c>
      <c r="C3618" s="4" t="str">
        <f t="shared" si="304"/>
        <v>Hải Phòng</v>
      </c>
      <c r="D3618" s="3" t="s">
        <v>278</v>
      </c>
      <c r="E3618" s="4" t="str">
        <f t="shared" ref="E3618:E3625" si="308">HYPERLINK("https://diaocthongthai.com/ban-do-quan-hai-an-tp-hai-phong/","Quận Hải An")</f>
        <v>Quận Hải An</v>
      </c>
      <c r="F3618" s="3" t="s">
        <v>4382</v>
      </c>
      <c r="G3618" s="4" t="str">
        <f>HYPERLINK("https://diaocthongthai.com/phuong-dong-hai-1-quan-hai-an/","Phường Đông Hải 1")</f>
        <v>Phường Đông Hải 1</v>
      </c>
    </row>
    <row r="3619" spans="1:7" x14ac:dyDescent="0.25">
      <c r="A3619" s="2">
        <v>3618</v>
      </c>
      <c r="B3619" s="3" t="s">
        <v>22</v>
      </c>
      <c r="C3619" s="4" t="str">
        <f t="shared" si="304"/>
        <v>Hải Phòng</v>
      </c>
      <c r="D3619" s="3" t="s">
        <v>278</v>
      </c>
      <c r="E3619" s="4" t="str">
        <f t="shared" si="308"/>
        <v>Quận Hải An</v>
      </c>
      <c r="F3619" s="3" t="s">
        <v>4383</v>
      </c>
      <c r="G3619" s="4" t="str">
        <f>HYPERLINK("https://diaocthongthai.com/phuong-dong-hai-2-quan-hai-an/","Phường Đông Hải 2")</f>
        <v>Phường Đông Hải 2</v>
      </c>
    </row>
    <row r="3620" spans="1:7" x14ac:dyDescent="0.25">
      <c r="A3620" s="2">
        <v>3619</v>
      </c>
      <c r="B3620" s="3" t="s">
        <v>22</v>
      </c>
      <c r="C3620" s="4" t="str">
        <f t="shared" si="304"/>
        <v>Hải Phòng</v>
      </c>
      <c r="D3620" s="3" t="s">
        <v>278</v>
      </c>
      <c r="E3620" s="4" t="str">
        <f t="shared" si="308"/>
        <v>Quận Hải An</v>
      </c>
      <c r="F3620" s="3" t="s">
        <v>4384</v>
      </c>
      <c r="G3620" s="4" t="str">
        <f>HYPERLINK("https://diaocthongthai.com/phuong-dang-lam-quan-hai-an/","Phường Đằng Lâm")</f>
        <v>Phường Đằng Lâm</v>
      </c>
    </row>
    <row r="3621" spans="1:7" x14ac:dyDescent="0.25">
      <c r="A3621" s="2">
        <v>3620</v>
      </c>
      <c r="B3621" s="3" t="s">
        <v>22</v>
      </c>
      <c r="C3621" s="4" t="str">
        <f t="shared" si="304"/>
        <v>Hải Phòng</v>
      </c>
      <c r="D3621" s="3" t="s">
        <v>278</v>
      </c>
      <c r="E3621" s="4" t="str">
        <f t="shared" si="308"/>
        <v>Quận Hải An</v>
      </c>
      <c r="F3621" s="3" t="s">
        <v>4385</v>
      </c>
      <c r="G3621" s="4" t="str">
        <f>HYPERLINK("https://diaocthongthai.com/phuong-thanh-to-quan-hai-an/","Phường Thành Tô")</f>
        <v>Phường Thành Tô</v>
      </c>
    </row>
    <row r="3622" spans="1:7" x14ac:dyDescent="0.25">
      <c r="A3622" s="2">
        <v>3621</v>
      </c>
      <c r="B3622" s="3" t="s">
        <v>22</v>
      </c>
      <c r="C3622" s="4" t="str">
        <f t="shared" si="304"/>
        <v>Hải Phòng</v>
      </c>
      <c r="D3622" s="3" t="s">
        <v>278</v>
      </c>
      <c r="E3622" s="4" t="str">
        <f t="shared" si="308"/>
        <v>Quận Hải An</v>
      </c>
      <c r="F3622" s="3" t="s">
        <v>4386</v>
      </c>
      <c r="G3622" s="4" t="str">
        <f>HYPERLINK("https://diaocthongthai.com/phuong-dang-hai-quan-hai-an/","Phường Đằng Hải")</f>
        <v>Phường Đằng Hải</v>
      </c>
    </row>
    <row r="3623" spans="1:7" x14ac:dyDescent="0.25">
      <c r="A3623" s="2">
        <v>3622</v>
      </c>
      <c r="B3623" s="3" t="s">
        <v>22</v>
      </c>
      <c r="C3623" s="4" t="str">
        <f t="shared" si="304"/>
        <v>Hải Phòng</v>
      </c>
      <c r="D3623" s="3" t="s">
        <v>278</v>
      </c>
      <c r="E3623" s="4" t="str">
        <f t="shared" si="308"/>
        <v>Quận Hải An</v>
      </c>
      <c r="F3623" s="3" t="s">
        <v>4387</v>
      </c>
      <c r="G3623" s="4" t="str">
        <f>HYPERLINK("https://diaocthongthai.com/phuong-nam-hai-quan-hai-an/","Phường Nam Hải")</f>
        <v>Phường Nam Hải</v>
      </c>
    </row>
    <row r="3624" spans="1:7" x14ac:dyDescent="0.25">
      <c r="A3624" s="2">
        <v>3623</v>
      </c>
      <c r="B3624" s="3" t="s">
        <v>22</v>
      </c>
      <c r="C3624" s="4" t="str">
        <f t="shared" si="304"/>
        <v>Hải Phòng</v>
      </c>
      <c r="D3624" s="3" t="s">
        <v>278</v>
      </c>
      <c r="E3624" s="4" t="str">
        <f t="shared" si="308"/>
        <v>Quận Hải An</v>
      </c>
      <c r="F3624" s="3" t="s">
        <v>4388</v>
      </c>
      <c r="G3624" s="4" t="str">
        <f>HYPERLINK("https://diaocthongthai.com/phuong-cat-bi-quan-hai-an/","Phường Cát Bi")</f>
        <v>Phường Cát Bi</v>
      </c>
    </row>
    <row r="3625" spans="1:7" x14ac:dyDescent="0.25">
      <c r="A3625" s="2">
        <v>3624</v>
      </c>
      <c r="B3625" s="3" t="s">
        <v>22</v>
      </c>
      <c r="C3625" s="4" t="str">
        <f t="shared" si="304"/>
        <v>Hải Phòng</v>
      </c>
      <c r="D3625" s="3" t="s">
        <v>278</v>
      </c>
      <c r="E3625" s="4" t="str">
        <f t="shared" si="308"/>
        <v>Quận Hải An</v>
      </c>
      <c r="F3625" s="3" t="s">
        <v>4389</v>
      </c>
      <c r="G3625" s="4" t="str">
        <f>HYPERLINK("https://diaocthongthai.com/phuong-trang-cat-quan-hai-an/","Phường Tràng Cát")</f>
        <v>Phường Tràng Cát</v>
      </c>
    </row>
    <row r="3626" spans="1:7" x14ac:dyDescent="0.25">
      <c r="A3626" s="2">
        <v>3625</v>
      </c>
      <c r="B3626" s="3" t="s">
        <v>22</v>
      </c>
      <c r="C3626" s="4" t="str">
        <f t="shared" si="304"/>
        <v>Hải Phòng</v>
      </c>
      <c r="D3626" s="3" t="s">
        <v>279</v>
      </c>
      <c r="E3626" s="4" t="str">
        <f t="shared" ref="E3626:E3635" si="309">HYPERLINK("https://diaocthongthai.com/ban-do-quan-kien-an-tp-hai-phong/","Quận Kiến An")</f>
        <v>Quận Kiến An</v>
      </c>
      <c r="F3626" s="3" t="s">
        <v>4390</v>
      </c>
      <c r="G3626" s="4" t="str">
        <f>HYPERLINK("https://diaocthongthai.com/phuong-quan-tru-quan-kien-an/","Phường Quán Trữ")</f>
        <v>Phường Quán Trữ</v>
      </c>
    </row>
    <row r="3627" spans="1:7" x14ac:dyDescent="0.25">
      <c r="A3627" s="2">
        <v>3626</v>
      </c>
      <c r="B3627" s="3" t="s">
        <v>22</v>
      </c>
      <c r="C3627" s="4" t="str">
        <f t="shared" si="304"/>
        <v>Hải Phòng</v>
      </c>
      <c r="D3627" s="3" t="s">
        <v>279</v>
      </c>
      <c r="E3627" s="4" t="str">
        <f t="shared" si="309"/>
        <v>Quận Kiến An</v>
      </c>
      <c r="F3627" s="3" t="s">
        <v>4391</v>
      </c>
      <c r="G3627" s="4" t="str">
        <f>HYPERLINK("https://diaocthongthai.com/phuong-lam-ha-quan-kien-an/","Phường Lãm Hà")</f>
        <v>Phường Lãm Hà</v>
      </c>
    </row>
    <row r="3628" spans="1:7" x14ac:dyDescent="0.25">
      <c r="A3628" s="2">
        <v>3627</v>
      </c>
      <c r="B3628" s="3" t="s">
        <v>22</v>
      </c>
      <c r="C3628" s="4" t="str">
        <f t="shared" si="304"/>
        <v>Hải Phòng</v>
      </c>
      <c r="D3628" s="3" t="s">
        <v>279</v>
      </c>
      <c r="E3628" s="4" t="str">
        <f t="shared" si="309"/>
        <v>Quận Kiến An</v>
      </c>
      <c r="F3628" s="3" t="s">
        <v>4392</v>
      </c>
      <c r="G3628" s="4" t="str">
        <f>HYPERLINK("https://diaocthongthai.com/phuong-dong-hoa-quan-kien-an/","Phường Đồng Hoà")</f>
        <v>Phường Đồng Hoà</v>
      </c>
    </row>
    <row r="3629" spans="1:7" x14ac:dyDescent="0.25">
      <c r="A3629" s="2">
        <v>3628</v>
      </c>
      <c r="B3629" s="3" t="s">
        <v>22</v>
      </c>
      <c r="C3629" s="4" t="str">
        <f t="shared" si="304"/>
        <v>Hải Phòng</v>
      </c>
      <c r="D3629" s="3" t="s">
        <v>279</v>
      </c>
      <c r="E3629" s="4" t="str">
        <f t="shared" si="309"/>
        <v>Quận Kiến An</v>
      </c>
      <c r="F3629" s="3" t="s">
        <v>4393</v>
      </c>
      <c r="G3629" s="4" t="str">
        <f>HYPERLINK("https://diaocthongthai.com/phuong-bac-son-quan-kien-an/","Phường Bắc Sơn")</f>
        <v>Phường Bắc Sơn</v>
      </c>
    </row>
    <row r="3630" spans="1:7" x14ac:dyDescent="0.25">
      <c r="A3630" s="2">
        <v>3629</v>
      </c>
      <c r="B3630" s="3" t="s">
        <v>22</v>
      </c>
      <c r="C3630" s="4" t="str">
        <f t="shared" si="304"/>
        <v>Hải Phòng</v>
      </c>
      <c r="D3630" s="3" t="s">
        <v>279</v>
      </c>
      <c r="E3630" s="4" t="str">
        <f t="shared" si="309"/>
        <v>Quận Kiến An</v>
      </c>
      <c r="F3630" s="3" t="s">
        <v>4394</v>
      </c>
      <c r="G3630" s="4" t="str">
        <f>HYPERLINK("https://diaocthongthai.com/phuong-nam-son-quan-kien-an/","Phường Nam Sơn")</f>
        <v>Phường Nam Sơn</v>
      </c>
    </row>
    <row r="3631" spans="1:7" x14ac:dyDescent="0.25">
      <c r="A3631" s="2">
        <v>3630</v>
      </c>
      <c r="B3631" s="3" t="s">
        <v>22</v>
      </c>
      <c r="C3631" s="4" t="str">
        <f t="shared" si="304"/>
        <v>Hải Phòng</v>
      </c>
      <c r="D3631" s="3" t="s">
        <v>279</v>
      </c>
      <c r="E3631" s="4" t="str">
        <f t="shared" si="309"/>
        <v>Quận Kiến An</v>
      </c>
      <c r="F3631" s="3" t="s">
        <v>4395</v>
      </c>
      <c r="G3631" s="4" t="str">
        <f>HYPERLINK("https://diaocthongthai.com/phuong-ngoc-son-quan-kien-an/","Phường Ngọc Sơn")</f>
        <v>Phường Ngọc Sơn</v>
      </c>
    </row>
    <row r="3632" spans="1:7" x14ac:dyDescent="0.25">
      <c r="A3632" s="2">
        <v>3631</v>
      </c>
      <c r="B3632" s="3" t="s">
        <v>22</v>
      </c>
      <c r="C3632" s="4" t="str">
        <f t="shared" si="304"/>
        <v>Hải Phòng</v>
      </c>
      <c r="D3632" s="3" t="s">
        <v>279</v>
      </c>
      <c r="E3632" s="4" t="str">
        <f t="shared" si="309"/>
        <v>Quận Kiến An</v>
      </c>
      <c r="F3632" s="3" t="s">
        <v>4396</v>
      </c>
      <c r="G3632" s="4" t="str">
        <f>HYPERLINK("https://diaocthongthai.com/phuong-tran-thanh-ngo-quan-kien-an/","Phường Trần Thành Ngọ")</f>
        <v>Phường Trần Thành Ngọ</v>
      </c>
    </row>
    <row r="3633" spans="1:7" x14ac:dyDescent="0.25">
      <c r="A3633" s="2">
        <v>3632</v>
      </c>
      <c r="B3633" s="3" t="s">
        <v>22</v>
      </c>
      <c r="C3633" s="4" t="str">
        <f t="shared" si="304"/>
        <v>Hải Phòng</v>
      </c>
      <c r="D3633" s="3" t="s">
        <v>279</v>
      </c>
      <c r="E3633" s="4" t="str">
        <f t="shared" si="309"/>
        <v>Quận Kiến An</v>
      </c>
      <c r="F3633" s="3" t="s">
        <v>4397</v>
      </c>
      <c r="G3633" s="4" t="str">
        <f>HYPERLINK("https://diaocthongthai.com/phuong-van-dau-quan-kien-an/","Phường Văn Đẩu")</f>
        <v>Phường Văn Đẩu</v>
      </c>
    </row>
    <row r="3634" spans="1:7" x14ac:dyDescent="0.25">
      <c r="A3634" s="2">
        <v>3633</v>
      </c>
      <c r="B3634" s="3" t="s">
        <v>22</v>
      </c>
      <c r="C3634" s="4" t="str">
        <f t="shared" si="304"/>
        <v>Hải Phòng</v>
      </c>
      <c r="D3634" s="3" t="s">
        <v>279</v>
      </c>
      <c r="E3634" s="4" t="str">
        <f t="shared" si="309"/>
        <v>Quận Kiến An</v>
      </c>
      <c r="F3634" s="3" t="s">
        <v>4398</v>
      </c>
      <c r="G3634" s="4" t="str">
        <f>HYPERLINK("https://diaocthongthai.com/phuong-phu-lien-quan-kien-an/","Phường Phù Liễn")</f>
        <v>Phường Phù Liễn</v>
      </c>
    </row>
    <row r="3635" spans="1:7" x14ac:dyDescent="0.25">
      <c r="A3635" s="2">
        <v>3634</v>
      </c>
      <c r="B3635" s="3" t="s">
        <v>22</v>
      </c>
      <c r="C3635" s="4" t="str">
        <f t="shared" si="304"/>
        <v>Hải Phòng</v>
      </c>
      <c r="D3635" s="3" t="s">
        <v>279</v>
      </c>
      <c r="E3635" s="4" t="str">
        <f t="shared" si="309"/>
        <v>Quận Kiến An</v>
      </c>
      <c r="F3635" s="3" t="s">
        <v>4399</v>
      </c>
      <c r="G3635" s="4" t="str">
        <f>HYPERLINK("https://diaocthongthai.com/phuong-trang-minh-quan-kien-an/","Phường Tràng Minh")</f>
        <v>Phường Tràng Minh</v>
      </c>
    </row>
    <row r="3636" spans="1:7" x14ac:dyDescent="0.25">
      <c r="A3636" s="2">
        <v>3635</v>
      </c>
      <c r="B3636" s="3" t="s">
        <v>22</v>
      </c>
      <c r="C3636" s="4" t="str">
        <f t="shared" si="304"/>
        <v>Hải Phòng</v>
      </c>
      <c r="D3636" s="3" t="s">
        <v>280</v>
      </c>
      <c r="E3636" s="4" t="str">
        <f t="shared" ref="E3636:E3641" si="310">HYPERLINK("https://diaocthongthai.com/ban-do-quan-do-son-tp-hai-phong/","Quận Đồ Sơn")</f>
        <v>Quận Đồ Sơn</v>
      </c>
      <c r="F3636" s="3" t="s">
        <v>4400</v>
      </c>
      <c r="G3636" s="4" t="str">
        <f>HYPERLINK("https://diaocthongthai.com/phuong-ngoc-xuyen-quan-do-son/","Phường Ngọc Xuyên")</f>
        <v>Phường Ngọc Xuyên</v>
      </c>
    </row>
    <row r="3637" spans="1:7" x14ac:dyDescent="0.25">
      <c r="A3637" s="2">
        <v>3636</v>
      </c>
      <c r="B3637" s="3" t="s">
        <v>22</v>
      </c>
      <c r="C3637" s="4" t="str">
        <f t="shared" si="304"/>
        <v>Hải Phòng</v>
      </c>
      <c r="D3637" s="3" t="s">
        <v>280</v>
      </c>
      <c r="E3637" s="4" t="str">
        <f t="shared" si="310"/>
        <v>Quận Đồ Sơn</v>
      </c>
      <c r="F3637" s="3" t="s">
        <v>4401</v>
      </c>
      <c r="G3637" s="4" t="str">
        <f>HYPERLINK("https://diaocthongthai.com/phuong-hai-son-quan-do-son/","Phường Hải Sơn")</f>
        <v>Phường Hải Sơn</v>
      </c>
    </row>
    <row r="3638" spans="1:7" x14ac:dyDescent="0.25">
      <c r="A3638" s="2">
        <v>3637</v>
      </c>
      <c r="B3638" s="3" t="s">
        <v>22</v>
      </c>
      <c r="C3638" s="4" t="str">
        <f t="shared" si="304"/>
        <v>Hải Phòng</v>
      </c>
      <c r="D3638" s="3" t="s">
        <v>280</v>
      </c>
      <c r="E3638" s="4" t="str">
        <f t="shared" si="310"/>
        <v>Quận Đồ Sơn</v>
      </c>
      <c r="F3638" s="3" t="s">
        <v>4402</v>
      </c>
      <c r="G3638" s="4" t="str">
        <f>HYPERLINK("https://diaocthongthai.com/phuong-van-huong-quan-do-son/","Phường Vạn Hương")</f>
        <v>Phường Vạn Hương</v>
      </c>
    </row>
    <row r="3639" spans="1:7" x14ac:dyDescent="0.25">
      <c r="A3639" s="2">
        <v>3638</v>
      </c>
      <c r="B3639" s="3" t="s">
        <v>22</v>
      </c>
      <c r="C3639" s="4" t="str">
        <f t="shared" si="304"/>
        <v>Hải Phòng</v>
      </c>
      <c r="D3639" s="3" t="s">
        <v>280</v>
      </c>
      <c r="E3639" s="4" t="str">
        <f t="shared" si="310"/>
        <v>Quận Đồ Sơn</v>
      </c>
      <c r="F3639" s="3" t="s">
        <v>4403</v>
      </c>
      <c r="G3639" s="4" t="str">
        <f>HYPERLINK("https://diaocthongthai.com/phuong-minh-duc-quan-do-son/","Phường Minh Đức")</f>
        <v>Phường Minh Đức</v>
      </c>
    </row>
    <row r="3640" spans="1:7" x14ac:dyDescent="0.25">
      <c r="A3640" s="2">
        <v>3639</v>
      </c>
      <c r="B3640" s="3" t="s">
        <v>22</v>
      </c>
      <c r="C3640" s="4" t="str">
        <f t="shared" si="304"/>
        <v>Hải Phòng</v>
      </c>
      <c r="D3640" s="3" t="s">
        <v>280</v>
      </c>
      <c r="E3640" s="4" t="str">
        <f t="shared" si="310"/>
        <v>Quận Đồ Sơn</v>
      </c>
      <c r="F3640" s="3" t="s">
        <v>4404</v>
      </c>
      <c r="G3640" s="4" t="str">
        <f>HYPERLINK("https://diaocthongthai.com/phuong-bang-la-quan-do-son/","Phường Bàng La")</f>
        <v>Phường Bàng La</v>
      </c>
    </row>
    <row r="3641" spans="1:7" x14ac:dyDescent="0.25">
      <c r="A3641" s="2">
        <v>3640</v>
      </c>
      <c r="B3641" s="3" t="s">
        <v>22</v>
      </c>
      <c r="C3641" s="4" t="str">
        <f t="shared" si="304"/>
        <v>Hải Phòng</v>
      </c>
      <c r="D3641" s="3" t="s">
        <v>280</v>
      </c>
      <c r="E3641" s="4" t="str">
        <f t="shared" si="310"/>
        <v>Quận Đồ Sơn</v>
      </c>
      <c r="F3641" s="3" t="s">
        <v>4405</v>
      </c>
      <c r="G3641" s="4" t="str">
        <f>HYPERLINK("https://diaocthongthai.com/phuong-hop-duc-quan-do-son/","Phường Hợp Đức")</f>
        <v>Phường Hợp Đức</v>
      </c>
    </row>
    <row r="3642" spans="1:7" x14ac:dyDescent="0.25">
      <c r="A3642" s="2">
        <v>3641</v>
      </c>
      <c r="B3642" s="3" t="s">
        <v>22</v>
      </c>
      <c r="C3642" s="4" t="str">
        <f t="shared" si="304"/>
        <v>Hải Phòng</v>
      </c>
      <c r="D3642" s="3" t="s">
        <v>281</v>
      </c>
      <c r="E3642" s="4" t="str">
        <f t="shared" ref="E3642:E3647" si="311">HYPERLINK("https://diaocthongthai.com/ban-do-quan-duong-kinh-tp-hai-phong/","Quận Dương Kinh")</f>
        <v>Quận Dương Kinh</v>
      </c>
      <c r="F3642" s="3" t="s">
        <v>4406</v>
      </c>
      <c r="G3642" s="4" t="str">
        <f>HYPERLINK("https://diaocthongthai.com/phuong-da-phuc-quan-duong-kinh/","Phường Đa Phúc")</f>
        <v>Phường Đa Phúc</v>
      </c>
    </row>
    <row r="3643" spans="1:7" x14ac:dyDescent="0.25">
      <c r="A3643" s="2">
        <v>3642</v>
      </c>
      <c r="B3643" s="3" t="s">
        <v>22</v>
      </c>
      <c r="C3643" s="4" t="str">
        <f t="shared" si="304"/>
        <v>Hải Phòng</v>
      </c>
      <c r="D3643" s="3" t="s">
        <v>281</v>
      </c>
      <c r="E3643" s="4" t="str">
        <f t="shared" si="311"/>
        <v>Quận Dương Kinh</v>
      </c>
      <c r="F3643" s="3" t="s">
        <v>4407</v>
      </c>
      <c r="G3643" s="4" t="str">
        <f>HYPERLINK("https://diaocthongthai.com/phuong-hung-dao-quan-duong-kinh/","Phường Hưng Đạo")</f>
        <v>Phường Hưng Đạo</v>
      </c>
    </row>
    <row r="3644" spans="1:7" x14ac:dyDescent="0.25">
      <c r="A3644" s="2">
        <v>3643</v>
      </c>
      <c r="B3644" s="3" t="s">
        <v>22</v>
      </c>
      <c r="C3644" s="4" t="str">
        <f t="shared" si="304"/>
        <v>Hải Phòng</v>
      </c>
      <c r="D3644" s="3" t="s">
        <v>281</v>
      </c>
      <c r="E3644" s="4" t="str">
        <f t="shared" si="311"/>
        <v>Quận Dương Kinh</v>
      </c>
      <c r="F3644" s="3" t="s">
        <v>4408</v>
      </c>
      <c r="G3644" s="4" t="str">
        <f>HYPERLINK("https://diaocthongthai.com/phuong-anh-dung-quan-duong-kinh/","Phường Anh Dũng")</f>
        <v>Phường Anh Dũng</v>
      </c>
    </row>
    <row r="3645" spans="1:7" x14ac:dyDescent="0.25">
      <c r="A3645" s="2">
        <v>3644</v>
      </c>
      <c r="B3645" s="3" t="s">
        <v>22</v>
      </c>
      <c r="C3645" s="4" t="str">
        <f t="shared" si="304"/>
        <v>Hải Phòng</v>
      </c>
      <c r="D3645" s="3" t="s">
        <v>281</v>
      </c>
      <c r="E3645" s="4" t="str">
        <f t="shared" si="311"/>
        <v>Quận Dương Kinh</v>
      </c>
      <c r="F3645" s="3" t="s">
        <v>4409</v>
      </c>
      <c r="G3645" s="4" t="str">
        <f>HYPERLINK("https://diaocthongthai.com/phuong-hai-thanh-quan-duong-kinh/","Phường Hải Thành")</f>
        <v>Phường Hải Thành</v>
      </c>
    </row>
    <row r="3646" spans="1:7" x14ac:dyDescent="0.25">
      <c r="A3646" s="2">
        <v>3645</v>
      </c>
      <c r="B3646" s="3" t="s">
        <v>22</v>
      </c>
      <c r="C3646" s="4" t="str">
        <f t="shared" ref="C3646:C3709" si="312">HYPERLINK("https://diaocthongthai.com/ban-do-hai-phong/","Hải Phòng")</f>
        <v>Hải Phòng</v>
      </c>
      <c r="D3646" s="3" t="s">
        <v>281</v>
      </c>
      <c r="E3646" s="4" t="str">
        <f t="shared" si="311"/>
        <v>Quận Dương Kinh</v>
      </c>
      <c r="F3646" s="3" t="s">
        <v>4410</v>
      </c>
      <c r="G3646" s="4" t="str">
        <f>HYPERLINK("https://diaocthongthai.com/phuong-hoa-nghia-quan-duong-kinh/","Phường Hoà Nghĩa")</f>
        <v>Phường Hoà Nghĩa</v>
      </c>
    </row>
    <row r="3647" spans="1:7" x14ac:dyDescent="0.25">
      <c r="A3647" s="2">
        <v>3646</v>
      </c>
      <c r="B3647" s="3" t="s">
        <v>22</v>
      </c>
      <c r="C3647" s="4" t="str">
        <f t="shared" si="312"/>
        <v>Hải Phòng</v>
      </c>
      <c r="D3647" s="3" t="s">
        <v>281</v>
      </c>
      <c r="E3647" s="4" t="str">
        <f t="shared" si="311"/>
        <v>Quận Dương Kinh</v>
      </c>
      <c r="F3647" s="3" t="s">
        <v>4411</v>
      </c>
      <c r="G3647" s="4" t="str">
        <f>HYPERLINK("https://diaocthongthai.com/phuong-tan-thanh-quan-duong-kinh/","Phường Tân Thành")</f>
        <v>Phường Tân Thành</v>
      </c>
    </row>
    <row r="3648" spans="1:7" x14ac:dyDescent="0.25">
      <c r="A3648" s="2">
        <v>3647</v>
      </c>
      <c r="B3648" s="3" t="s">
        <v>22</v>
      </c>
      <c r="C3648" s="4" t="str">
        <f t="shared" si="312"/>
        <v>Hải Phòng</v>
      </c>
      <c r="D3648" s="3" t="s">
        <v>282</v>
      </c>
      <c r="E3648" s="4" t="str">
        <f t="shared" ref="E3648:E3684" si="313">HYPERLINK("https://diaocthongthai.com/ban-do-huyen-thuy-nguyen-tp-hai-phong/","Huyện Thuỷ Nguyên")</f>
        <v>Huyện Thuỷ Nguyên</v>
      </c>
      <c r="F3648" s="3" t="s">
        <v>4412</v>
      </c>
      <c r="G3648" s="4" t="str">
        <f>HYPERLINK("https://diaocthongthai.com/thi-tran-nui-deo-thuy-nguyen/","Thị trấn Núi Đèo")</f>
        <v>Thị trấn Núi Đèo</v>
      </c>
    </row>
    <row r="3649" spans="1:7" x14ac:dyDescent="0.25">
      <c r="A3649" s="2">
        <v>3648</v>
      </c>
      <c r="B3649" s="3" t="s">
        <v>22</v>
      </c>
      <c r="C3649" s="4" t="str">
        <f t="shared" si="312"/>
        <v>Hải Phòng</v>
      </c>
      <c r="D3649" s="3" t="s">
        <v>282</v>
      </c>
      <c r="E3649" s="4" t="str">
        <f t="shared" si="313"/>
        <v>Huyện Thuỷ Nguyên</v>
      </c>
      <c r="F3649" s="3" t="s">
        <v>4413</v>
      </c>
      <c r="G3649" s="4" t="str">
        <f>HYPERLINK("https://diaocthongthai.com/thi-tran-minh-duc-thuy-nguyen/","Thị trấn Minh Đức")</f>
        <v>Thị trấn Minh Đức</v>
      </c>
    </row>
    <row r="3650" spans="1:7" x14ac:dyDescent="0.25">
      <c r="A3650" s="2">
        <v>3649</v>
      </c>
      <c r="B3650" s="3" t="s">
        <v>22</v>
      </c>
      <c r="C3650" s="4" t="str">
        <f t="shared" si="312"/>
        <v>Hải Phòng</v>
      </c>
      <c r="D3650" s="3" t="s">
        <v>282</v>
      </c>
      <c r="E3650" s="4" t="str">
        <f t="shared" si="313"/>
        <v>Huyện Thuỷ Nguyên</v>
      </c>
      <c r="F3650" s="3" t="s">
        <v>4414</v>
      </c>
      <c r="G3650" s="4" t="str">
        <f>HYPERLINK("https://diaocthongthai.com/xa-lai-xuan-thuy-nguyen/","Xã Lại Xuân")</f>
        <v>Xã Lại Xuân</v>
      </c>
    </row>
    <row r="3651" spans="1:7" x14ac:dyDescent="0.25">
      <c r="A3651" s="2">
        <v>3650</v>
      </c>
      <c r="B3651" s="3" t="s">
        <v>22</v>
      </c>
      <c r="C3651" s="4" t="str">
        <f t="shared" si="312"/>
        <v>Hải Phòng</v>
      </c>
      <c r="D3651" s="3" t="s">
        <v>282</v>
      </c>
      <c r="E3651" s="4" t="str">
        <f t="shared" si="313"/>
        <v>Huyện Thuỷ Nguyên</v>
      </c>
      <c r="F3651" s="3" t="s">
        <v>4415</v>
      </c>
      <c r="G3651" s="4" t="str">
        <f>HYPERLINK("https://diaocthongthai.com/xa-an-son-thuy-nguyen/","Xã An Sơn")</f>
        <v>Xã An Sơn</v>
      </c>
    </row>
    <row r="3652" spans="1:7" x14ac:dyDescent="0.25">
      <c r="A3652" s="2">
        <v>3651</v>
      </c>
      <c r="B3652" s="3" t="s">
        <v>22</v>
      </c>
      <c r="C3652" s="4" t="str">
        <f t="shared" si="312"/>
        <v>Hải Phòng</v>
      </c>
      <c r="D3652" s="3" t="s">
        <v>282</v>
      </c>
      <c r="E3652" s="4" t="str">
        <f t="shared" si="313"/>
        <v>Huyện Thuỷ Nguyên</v>
      </c>
      <c r="F3652" s="3" t="s">
        <v>4416</v>
      </c>
      <c r="G3652" s="4" t="str">
        <f>HYPERLINK("https://diaocthongthai.com/xa-ky-son-thuy-nguyen/","Xã Kỳ Sơn")</f>
        <v>Xã Kỳ Sơn</v>
      </c>
    </row>
    <row r="3653" spans="1:7" x14ac:dyDescent="0.25">
      <c r="A3653" s="2">
        <v>3652</v>
      </c>
      <c r="B3653" s="3" t="s">
        <v>22</v>
      </c>
      <c r="C3653" s="4" t="str">
        <f t="shared" si="312"/>
        <v>Hải Phòng</v>
      </c>
      <c r="D3653" s="3" t="s">
        <v>282</v>
      </c>
      <c r="E3653" s="4" t="str">
        <f t="shared" si="313"/>
        <v>Huyện Thuỷ Nguyên</v>
      </c>
      <c r="F3653" s="3" t="s">
        <v>4417</v>
      </c>
      <c r="G3653" s="4" t="str">
        <f>HYPERLINK("https://diaocthongthai.com/xa-lien-khe-thuy-nguyen/","Xã Liên Khê")</f>
        <v>Xã Liên Khê</v>
      </c>
    </row>
    <row r="3654" spans="1:7" x14ac:dyDescent="0.25">
      <c r="A3654" s="2">
        <v>3653</v>
      </c>
      <c r="B3654" s="3" t="s">
        <v>22</v>
      </c>
      <c r="C3654" s="4" t="str">
        <f t="shared" si="312"/>
        <v>Hải Phòng</v>
      </c>
      <c r="D3654" s="3" t="s">
        <v>282</v>
      </c>
      <c r="E3654" s="4" t="str">
        <f t="shared" si="313"/>
        <v>Huyện Thuỷ Nguyên</v>
      </c>
      <c r="F3654" s="3" t="s">
        <v>4418</v>
      </c>
      <c r="G3654" s="4" t="str">
        <f>HYPERLINK("https://diaocthongthai.com/xa-luu-kiem-thuy-nguyen/","Xã Lưu Kiếm")</f>
        <v>Xã Lưu Kiếm</v>
      </c>
    </row>
    <row r="3655" spans="1:7" x14ac:dyDescent="0.25">
      <c r="A3655" s="2">
        <v>3654</v>
      </c>
      <c r="B3655" s="3" t="s">
        <v>22</v>
      </c>
      <c r="C3655" s="4" t="str">
        <f t="shared" si="312"/>
        <v>Hải Phòng</v>
      </c>
      <c r="D3655" s="3" t="s">
        <v>282</v>
      </c>
      <c r="E3655" s="4" t="str">
        <f t="shared" si="313"/>
        <v>Huyện Thuỷ Nguyên</v>
      </c>
      <c r="F3655" s="3" t="s">
        <v>4419</v>
      </c>
      <c r="G3655" s="4" t="str">
        <f>HYPERLINK("https://diaocthongthai.com/xa-luu-ky-thuy-nguyen/","Xã Lưu Kỳ")</f>
        <v>Xã Lưu Kỳ</v>
      </c>
    </row>
    <row r="3656" spans="1:7" x14ac:dyDescent="0.25">
      <c r="A3656" s="2">
        <v>3655</v>
      </c>
      <c r="B3656" s="3" t="s">
        <v>22</v>
      </c>
      <c r="C3656" s="4" t="str">
        <f t="shared" si="312"/>
        <v>Hải Phòng</v>
      </c>
      <c r="D3656" s="3" t="s">
        <v>282</v>
      </c>
      <c r="E3656" s="4" t="str">
        <f t="shared" si="313"/>
        <v>Huyện Thuỷ Nguyên</v>
      </c>
      <c r="F3656" s="3" t="s">
        <v>4420</v>
      </c>
      <c r="G3656" s="4" t="str">
        <f>HYPERLINK("https://diaocthongthai.com/xa-gia-minh-thuy-nguyen/","Xã Gia Minh")</f>
        <v>Xã Gia Minh</v>
      </c>
    </row>
    <row r="3657" spans="1:7" x14ac:dyDescent="0.25">
      <c r="A3657" s="2">
        <v>3656</v>
      </c>
      <c r="B3657" s="3" t="s">
        <v>22</v>
      </c>
      <c r="C3657" s="4" t="str">
        <f t="shared" si="312"/>
        <v>Hải Phòng</v>
      </c>
      <c r="D3657" s="3" t="s">
        <v>282</v>
      </c>
      <c r="E3657" s="4" t="str">
        <f t="shared" si="313"/>
        <v>Huyện Thuỷ Nguyên</v>
      </c>
      <c r="F3657" s="3" t="s">
        <v>4421</v>
      </c>
      <c r="G3657" s="4" t="str">
        <f>HYPERLINK("https://diaocthongthai.com/xa-gia-duc-thuy-nguyen/","Xã Gia Đức")</f>
        <v>Xã Gia Đức</v>
      </c>
    </row>
    <row r="3658" spans="1:7" x14ac:dyDescent="0.25">
      <c r="A3658" s="2">
        <v>3657</v>
      </c>
      <c r="B3658" s="3" t="s">
        <v>22</v>
      </c>
      <c r="C3658" s="4" t="str">
        <f t="shared" si="312"/>
        <v>Hải Phòng</v>
      </c>
      <c r="D3658" s="3" t="s">
        <v>282</v>
      </c>
      <c r="E3658" s="4" t="str">
        <f t="shared" si="313"/>
        <v>Huyện Thuỷ Nguyên</v>
      </c>
      <c r="F3658" s="3" t="s">
        <v>4422</v>
      </c>
      <c r="G3658" s="4" t="str">
        <f>HYPERLINK("https://diaocthongthai.com/xa-minh-tan-thuy-nguyen/","Xã Minh Tân")</f>
        <v>Xã Minh Tân</v>
      </c>
    </row>
    <row r="3659" spans="1:7" x14ac:dyDescent="0.25">
      <c r="A3659" s="2">
        <v>3658</v>
      </c>
      <c r="B3659" s="3" t="s">
        <v>22</v>
      </c>
      <c r="C3659" s="4" t="str">
        <f t="shared" si="312"/>
        <v>Hải Phòng</v>
      </c>
      <c r="D3659" s="3" t="s">
        <v>282</v>
      </c>
      <c r="E3659" s="4" t="str">
        <f t="shared" si="313"/>
        <v>Huyện Thuỷ Nguyên</v>
      </c>
      <c r="F3659" s="3" t="s">
        <v>4423</v>
      </c>
      <c r="G3659" s="4" t="str">
        <f>HYPERLINK("https://diaocthongthai.com/xa-phu-ninh-thuy-nguyen/","Xã Phù Ninh")</f>
        <v>Xã Phù Ninh</v>
      </c>
    </row>
    <row r="3660" spans="1:7" x14ac:dyDescent="0.25">
      <c r="A3660" s="2">
        <v>3659</v>
      </c>
      <c r="B3660" s="3" t="s">
        <v>22</v>
      </c>
      <c r="C3660" s="4" t="str">
        <f t="shared" si="312"/>
        <v>Hải Phòng</v>
      </c>
      <c r="D3660" s="3" t="s">
        <v>282</v>
      </c>
      <c r="E3660" s="4" t="str">
        <f t="shared" si="313"/>
        <v>Huyện Thuỷ Nguyên</v>
      </c>
      <c r="F3660" s="3" t="s">
        <v>4424</v>
      </c>
      <c r="G3660" s="4" t="str">
        <f>HYPERLINK("https://diaocthongthai.com/xa-quang-thanh-thuy-nguyen/","Xã Quảng Thanh")</f>
        <v>Xã Quảng Thanh</v>
      </c>
    </row>
    <row r="3661" spans="1:7" x14ac:dyDescent="0.25">
      <c r="A3661" s="2">
        <v>3660</v>
      </c>
      <c r="B3661" s="3" t="s">
        <v>22</v>
      </c>
      <c r="C3661" s="4" t="str">
        <f t="shared" si="312"/>
        <v>Hải Phòng</v>
      </c>
      <c r="D3661" s="3" t="s">
        <v>282</v>
      </c>
      <c r="E3661" s="4" t="str">
        <f t="shared" si="313"/>
        <v>Huyện Thuỷ Nguyên</v>
      </c>
      <c r="F3661" s="3" t="s">
        <v>4425</v>
      </c>
      <c r="G3661" s="4" t="str">
        <f>HYPERLINK("https://diaocthongthai.com/xa-chinh-my-thuy-nguyen/","Xã Chính Mỹ")</f>
        <v>Xã Chính Mỹ</v>
      </c>
    </row>
    <row r="3662" spans="1:7" x14ac:dyDescent="0.25">
      <c r="A3662" s="2">
        <v>3661</v>
      </c>
      <c r="B3662" s="3" t="s">
        <v>22</v>
      </c>
      <c r="C3662" s="4" t="str">
        <f t="shared" si="312"/>
        <v>Hải Phòng</v>
      </c>
      <c r="D3662" s="3" t="s">
        <v>282</v>
      </c>
      <c r="E3662" s="4" t="str">
        <f t="shared" si="313"/>
        <v>Huyện Thuỷ Nguyên</v>
      </c>
      <c r="F3662" s="3" t="s">
        <v>4426</v>
      </c>
      <c r="G3662" s="4" t="str">
        <f>HYPERLINK("https://diaocthongthai.com/xa-kenh-giang-thuy-nguyen/","Xã Kênh Giang")</f>
        <v>Xã Kênh Giang</v>
      </c>
    </row>
    <row r="3663" spans="1:7" x14ac:dyDescent="0.25">
      <c r="A3663" s="2">
        <v>3662</v>
      </c>
      <c r="B3663" s="3" t="s">
        <v>22</v>
      </c>
      <c r="C3663" s="4" t="str">
        <f t="shared" si="312"/>
        <v>Hải Phòng</v>
      </c>
      <c r="D3663" s="3" t="s">
        <v>282</v>
      </c>
      <c r="E3663" s="4" t="str">
        <f t="shared" si="313"/>
        <v>Huyện Thuỷ Nguyên</v>
      </c>
      <c r="F3663" s="3" t="s">
        <v>4427</v>
      </c>
      <c r="G3663" s="4" t="str">
        <f>HYPERLINK("https://diaocthongthai.com/xa-hop-thanh-thuy-nguyen/","Xã Hợp Thành")</f>
        <v>Xã Hợp Thành</v>
      </c>
    </row>
    <row r="3664" spans="1:7" x14ac:dyDescent="0.25">
      <c r="A3664" s="2">
        <v>3663</v>
      </c>
      <c r="B3664" s="3" t="s">
        <v>22</v>
      </c>
      <c r="C3664" s="4" t="str">
        <f t="shared" si="312"/>
        <v>Hải Phòng</v>
      </c>
      <c r="D3664" s="3" t="s">
        <v>282</v>
      </c>
      <c r="E3664" s="4" t="str">
        <f t="shared" si="313"/>
        <v>Huyện Thuỷ Nguyên</v>
      </c>
      <c r="F3664" s="3" t="s">
        <v>4428</v>
      </c>
      <c r="G3664" s="4" t="str">
        <f>HYPERLINK("https://diaocthongthai.com/xa-cao-nhan-thuy-nguyen/","Xã Cao Nhân")</f>
        <v>Xã Cao Nhân</v>
      </c>
    </row>
    <row r="3665" spans="1:7" x14ac:dyDescent="0.25">
      <c r="A3665" s="2">
        <v>3664</v>
      </c>
      <c r="B3665" s="3" t="s">
        <v>22</v>
      </c>
      <c r="C3665" s="4" t="str">
        <f t="shared" si="312"/>
        <v>Hải Phòng</v>
      </c>
      <c r="D3665" s="3" t="s">
        <v>282</v>
      </c>
      <c r="E3665" s="4" t="str">
        <f t="shared" si="313"/>
        <v>Huyện Thuỷ Nguyên</v>
      </c>
      <c r="F3665" s="3" t="s">
        <v>4429</v>
      </c>
      <c r="G3665" s="4" t="str">
        <f>HYPERLINK("https://diaocthongthai.com/xa-my-dong-thuy-nguyen/","Xã Mỹ Đồng")</f>
        <v>Xã Mỹ Đồng</v>
      </c>
    </row>
    <row r="3666" spans="1:7" x14ac:dyDescent="0.25">
      <c r="A3666" s="2">
        <v>3665</v>
      </c>
      <c r="B3666" s="3" t="s">
        <v>22</v>
      </c>
      <c r="C3666" s="4" t="str">
        <f t="shared" si="312"/>
        <v>Hải Phòng</v>
      </c>
      <c r="D3666" s="3" t="s">
        <v>282</v>
      </c>
      <c r="E3666" s="4" t="str">
        <f t="shared" si="313"/>
        <v>Huyện Thuỷ Nguyên</v>
      </c>
      <c r="F3666" s="3" t="s">
        <v>4430</v>
      </c>
      <c r="G3666" s="4" t="str">
        <f>HYPERLINK("https://diaocthongthai.com/xa-dong-son-thuy-nguyen/","Xã Đông Sơn")</f>
        <v>Xã Đông Sơn</v>
      </c>
    </row>
    <row r="3667" spans="1:7" x14ac:dyDescent="0.25">
      <c r="A3667" s="2">
        <v>3666</v>
      </c>
      <c r="B3667" s="3" t="s">
        <v>22</v>
      </c>
      <c r="C3667" s="4" t="str">
        <f t="shared" si="312"/>
        <v>Hải Phòng</v>
      </c>
      <c r="D3667" s="3" t="s">
        <v>282</v>
      </c>
      <c r="E3667" s="4" t="str">
        <f t="shared" si="313"/>
        <v>Huyện Thuỷ Nguyên</v>
      </c>
      <c r="F3667" s="3" t="s">
        <v>4431</v>
      </c>
      <c r="G3667" s="4" t="str">
        <f>HYPERLINK("https://diaocthongthai.com/xa-hoa-binh-thuy-nguyen/","Xã Hoà Bình")</f>
        <v>Xã Hoà Bình</v>
      </c>
    </row>
    <row r="3668" spans="1:7" x14ac:dyDescent="0.25">
      <c r="A3668" s="2">
        <v>3667</v>
      </c>
      <c r="B3668" s="3" t="s">
        <v>22</v>
      </c>
      <c r="C3668" s="4" t="str">
        <f t="shared" si="312"/>
        <v>Hải Phòng</v>
      </c>
      <c r="D3668" s="3" t="s">
        <v>282</v>
      </c>
      <c r="E3668" s="4" t="str">
        <f t="shared" si="313"/>
        <v>Huyện Thuỷ Nguyên</v>
      </c>
      <c r="F3668" s="3" t="s">
        <v>4432</v>
      </c>
      <c r="G3668" s="4" t="str">
        <f>HYPERLINK("https://diaocthongthai.com/xa-trung-ha-thuy-nguyen/","Xã Trung Hà")</f>
        <v>Xã Trung Hà</v>
      </c>
    </row>
    <row r="3669" spans="1:7" x14ac:dyDescent="0.25">
      <c r="A3669" s="2">
        <v>3668</v>
      </c>
      <c r="B3669" s="3" t="s">
        <v>22</v>
      </c>
      <c r="C3669" s="4" t="str">
        <f t="shared" si="312"/>
        <v>Hải Phòng</v>
      </c>
      <c r="D3669" s="3" t="s">
        <v>282</v>
      </c>
      <c r="E3669" s="4" t="str">
        <f t="shared" si="313"/>
        <v>Huyện Thuỷ Nguyên</v>
      </c>
      <c r="F3669" s="3" t="s">
        <v>4433</v>
      </c>
      <c r="G3669" s="4" t="str">
        <f>HYPERLINK("https://diaocthongthai.com/xa-an-lu-thuy-nguyen/","Xã An Lư")</f>
        <v>Xã An Lư</v>
      </c>
    </row>
    <row r="3670" spans="1:7" x14ac:dyDescent="0.25">
      <c r="A3670" s="2">
        <v>3669</v>
      </c>
      <c r="B3670" s="3" t="s">
        <v>22</v>
      </c>
      <c r="C3670" s="4" t="str">
        <f t="shared" si="312"/>
        <v>Hải Phòng</v>
      </c>
      <c r="D3670" s="3" t="s">
        <v>282</v>
      </c>
      <c r="E3670" s="4" t="str">
        <f t="shared" si="313"/>
        <v>Huyện Thuỷ Nguyên</v>
      </c>
      <c r="F3670" s="3" t="s">
        <v>4434</v>
      </c>
      <c r="G3670" s="4" t="str">
        <f>HYPERLINK("https://diaocthongthai.com/xa-thuy-trieu-thuy-nguyen/","Xã Thuỷ Triều")</f>
        <v>Xã Thuỷ Triều</v>
      </c>
    </row>
    <row r="3671" spans="1:7" x14ac:dyDescent="0.25">
      <c r="A3671" s="2">
        <v>3670</v>
      </c>
      <c r="B3671" s="3" t="s">
        <v>22</v>
      </c>
      <c r="C3671" s="4" t="str">
        <f t="shared" si="312"/>
        <v>Hải Phòng</v>
      </c>
      <c r="D3671" s="3" t="s">
        <v>282</v>
      </c>
      <c r="E3671" s="4" t="str">
        <f t="shared" si="313"/>
        <v>Huyện Thuỷ Nguyên</v>
      </c>
      <c r="F3671" s="3" t="s">
        <v>4435</v>
      </c>
      <c r="G3671" s="4" t="str">
        <f>HYPERLINK("https://diaocthongthai.com/xa-ngu-lao-thuy-nguyen/","Xã Ngũ Lão")</f>
        <v>Xã Ngũ Lão</v>
      </c>
    </row>
    <row r="3672" spans="1:7" x14ac:dyDescent="0.25">
      <c r="A3672" s="2">
        <v>3671</v>
      </c>
      <c r="B3672" s="3" t="s">
        <v>22</v>
      </c>
      <c r="C3672" s="4" t="str">
        <f t="shared" si="312"/>
        <v>Hải Phòng</v>
      </c>
      <c r="D3672" s="3" t="s">
        <v>282</v>
      </c>
      <c r="E3672" s="4" t="str">
        <f t="shared" si="313"/>
        <v>Huyện Thuỷ Nguyên</v>
      </c>
      <c r="F3672" s="3" t="s">
        <v>4436</v>
      </c>
      <c r="G3672" s="4" t="str">
        <f>HYPERLINK("https://diaocthongthai.com/xa-phuc-le-thuy-nguyen/","Xã Phục Lễ")</f>
        <v>Xã Phục Lễ</v>
      </c>
    </row>
    <row r="3673" spans="1:7" x14ac:dyDescent="0.25">
      <c r="A3673" s="2">
        <v>3672</v>
      </c>
      <c r="B3673" s="3" t="s">
        <v>22</v>
      </c>
      <c r="C3673" s="4" t="str">
        <f t="shared" si="312"/>
        <v>Hải Phòng</v>
      </c>
      <c r="D3673" s="3" t="s">
        <v>282</v>
      </c>
      <c r="E3673" s="4" t="str">
        <f t="shared" si="313"/>
        <v>Huyện Thuỷ Nguyên</v>
      </c>
      <c r="F3673" s="3" t="s">
        <v>4437</v>
      </c>
      <c r="G3673" s="4" t="str">
        <f>HYPERLINK("https://diaocthongthai.com/xa-tam-hung-thuy-nguyen/","Xã Tam Hưng")</f>
        <v>Xã Tam Hưng</v>
      </c>
    </row>
    <row r="3674" spans="1:7" x14ac:dyDescent="0.25">
      <c r="A3674" s="2">
        <v>3673</v>
      </c>
      <c r="B3674" s="3" t="s">
        <v>22</v>
      </c>
      <c r="C3674" s="4" t="str">
        <f t="shared" si="312"/>
        <v>Hải Phòng</v>
      </c>
      <c r="D3674" s="3" t="s">
        <v>282</v>
      </c>
      <c r="E3674" s="4" t="str">
        <f t="shared" si="313"/>
        <v>Huyện Thuỷ Nguyên</v>
      </c>
      <c r="F3674" s="3" t="s">
        <v>4438</v>
      </c>
      <c r="G3674" s="4" t="str">
        <f>HYPERLINK("https://diaocthongthai.com/xa-pha-le-thuy-nguyen/","Xã Phả Lễ")</f>
        <v>Xã Phả Lễ</v>
      </c>
    </row>
    <row r="3675" spans="1:7" x14ac:dyDescent="0.25">
      <c r="A3675" s="2">
        <v>3674</v>
      </c>
      <c r="B3675" s="3" t="s">
        <v>22</v>
      </c>
      <c r="C3675" s="4" t="str">
        <f t="shared" si="312"/>
        <v>Hải Phòng</v>
      </c>
      <c r="D3675" s="3" t="s">
        <v>282</v>
      </c>
      <c r="E3675" s="4" t="str">
        <f t="shared" si="313"/>
        <v>Huyện Thuỷ Nguyên</v>
      </c>
      <c r="F3675" s="3" t="s">
        <v>4439</v>
      </c>
      <c r="G3675" s="4" t="str">
        <f>HYPERLINK("https://diaocthongthai.com/xa-lap-le-thuy-nguyen/","Xã Lập Lễ")</f>
        <v>Xã Lập Lễ</v>
      </c>
    </row>
    <row r="3676" spans="1:7" x14ac:dyDescent="0.25">
      <c r="A3676" s="2">
        <v>3675</v>
      </c>
      <c r="B3676" s="3" t="s">
        <v>22</v>
      </c>
      <c r="C3676" s="4" t="str">
        <f t="shared" si="312"/>
        <v>Hải Phòng</v>
      </c>
      <c r="D3676" s="3" t="s">
        <v>282</v>
      </c>
      <c r="E3676" s="4" t="str">
        <f t="shared" si="313"/>
        <v>Huyện Thuỷ Nguyên</v>
      </c>
      <c r="F3676" s="3" t="s">
        <v>4440</v>
      </c>
      <c r="G3676" s="4" t="str">
        <f>HYPERLINK("https://diaocthongthai.com/xa-kien-bai-thuy-nguyen/","Xã Kiền Bái")</f>
        <v>Xã Kiền Bái</v>
      </c>
    </row>
    <row r="3677" spans="1:7" x14ac:dyDescent="0.25">
      <c r="A3677" s="2">
        <v>3676</v>
      </c>
      <c r="B3677" s="3" t="s">
        <v>22</v>
      </c>
      <c r="C3677" s="4" t="str">
        <f t="shared" si="312"/>
        <v>Hải Phòng</v>
      </c>
      <c r="D3677" s="3" t="s">
        <v>282</v>
      </c>
      <c r="E3677" s="4" t="str">
        <f t="shared" si="313"/>
        <v>Huyện Thuỷ Nguyên</v>
      </c>
      <c r="F3677" s="3" t="s">
        <v>4441</v>
      </c>
      <c r="G3677" s="4" t="str">
        <f>HYPERLINK("https://diaocthongthai.com/xa-thien-huong-thuy-nguyen/","Xã Thiên Hương")</f>
        <v>Xã Thiên Hương</v>
      </c>
    </row>
    <row r="3678" spans="1:7" x14ac:dyDescent="0.25">
      <c r="A3678" s="2">
        <v>3677</v>
      </c>
      <c r="B3678" s="3" t="s">
        <v>22</v>
      </c>
      <c r="C3678" s="4" t="str">
        <f t="shared" si="312"/>
        <v>Hải Phòng</v>
      </c>
      <c r="D3678" s="3" t="s">
        <v>282</v>
      </c>
      <c r="E3678" s="4" t="str">
        <f t="shared" si="313"/>
        <v>Huyện Thuỷ Nguyên</v>
      </c>
      <c r="F3678" s="3" t="s">
        <v>4442</v>
      </c>
      <c r="G3678" s="4" t="str">
        <f>HYPERLINK("https://diaocthongthai.com/xa-thuy-son-thuy-nguyen/","Xã Thuỷ Sơn")</f>
        <v>Xã Thuỷ Sơn</v>
      </c>
    </row>
    <row r="3679" spans="1:7" x14ac:dyDescent="0.25">
      <c r="A3679" s="2">
        <v>3678</v>
      </c>
      <c r="B3679" s="3" t="s">
        <v>22</v>
      </c>
      <c r="C3679" s="4" t="str">
        <f t="shared" si="312"/>
        <v>Hải Phòng</v>
      </c>
      <c r="D3679" s="3" t="s">
        <v>282</v>
      </c>
      <c r="E3679" s="4" t="str">
        <f t="shared" si="313"/>
        <v>Huyện Thuỷ Nguyên</v>
      </c>
      <c r="F3679" s="3" t="s">
        <v>4443</v>
      </c>
      <c r="G3679" s="4" t="str">
        <f>HYPERLINK("https://diaocthongthai.com/xa-thuy-duong-thuy-nguyen/","Xã Thuỷ Đường")</f>
        <v>Xã Thuỷ Đường</v>
      </c>
    </row>
    <row r="3680" spans="1:7" x14ac:dyDescent="0.25">
      <c r="A3680" s="2">
        <v>3679</v>
      </c>
      <c r="B3680" s="3" t="s">
        <v>22</v>
      </c>
      <c r="C3680" s="4" t="str">
        <f t="shared" si="312"/>
        <v>Hải Phòng</v>
      </c>
      <c r="D3680" s="3" t="s">
        <v>282</v>
      </c>
      <c r="E3680" s="4" t="str">
        <f t="shared" si="313"/>
        <v>Huyện Thuỷ Nguyên</v>
      </c>
      <c r="F3680" s="3" t="s">
        <v>4444</v>
      </c>
      <c r="G3680" s="4" t="str">
        <f>HYPERLINK("https://diaocthongthai.com/xa-hoang-dong-thuy-nguyen/","Xã Hoàng Động")</f>
        <v>Xã Hoàng Động</v>
      </c>
    </row>
    <row r="3681" spans="1:7" x14ac:dyDescent="0.25">
      <c r="A3681" s="2">
        <v>3680</v>
      </c>
      <c r="B3681" s="3" t="s">
        <v>22</v>
      </c>
      <c r="C3681" s="4" t="str">
        <f t="shared" si="312"/>
        <v>Hải Phòng</v>
      </c>
      <c r="D3681" s="3" t="s">
        <v>282</v>
      </c>
      <c r="E3681" s="4" t="str">
        <f t="shared" si="313"/>
        <v>Huyện Thuỷ Nguyên</v>
      </c>
      <c r="F3681" s="3" t="s">
        <v>4445</v>
      </c>
      <c r="G3681" s="4" t="str">
        <f>HYPERLINK("https://diaocthongthai.com/xa-lam-dong-thuy-nguyen/","Xã Lâm Động")</f>
        <v>Xã Lâm Động</v>
      </c>
    </row>
    <row r="3682" spans="1:7" x14ac:dyDescent="0.25">
      <c r="A3682" s="2">
        <v>3681</v>
      </c>
      <c r="B3682" s="3" t="s">
        <v>22</v>
      </c>
      <c r="C3682" s="4" t="str">
        <f t="shared" si="312"/>
        <v>Hải Phòng</v>
      </c>
      <c r="D3682" s="3" t="s">
        <v>282</v>
      </c>
      <c r="E3682" s="4" t="str">
        <f t="shared" si="313"/>
        <v>Huyện Thuỷ Nguyên</v>
      </c>
      <c r="F3682" s="3" t="s">
        <v>4446</v>
      </c>
      <c r="G3682" s="4" t="str">
        <f>HYPERLINK("https://diaocthongthai.com/xa-hoa-dong-thuy-nguyen/","Xã Hoa Động")</f>
        <v>Xã Hoa Động</v>
      </c>
    </row>
    <row r="3683" spans="1:7" x14ac:dyDescent="0.25">
      <c r="A3683" s="2">
        <v>3682</v>
      </c>
      <c r="B3683" s="3" t="s">
        <v>22</v>
      </c>
      <c r="C3683" s="4" t="str">
        <f t="shared" si="312"/>
        <v>Hải Phòng</v>
      </c>
      <c r="D3683" s="3" t="s">
        <v>282</v>
      </c>
      <c r="E3683" s="4" t="str">
        <f t="shared" si="313"/>
        <v>Huyện Thuỷ Nguyên</v>
      </c>
      <c r="F3683" s="3" t="s">
        <v>4447</v>
      </c>
      <c r="G3683" s="4" t="str">
        <f>HYPERLINK("https://diaocthongthai.com/xa-tan-duong-thuy-nguyen/","Xã Tân Dương")</f>
        <v>Xã Tân Dương</v>
      </c>
    </row>
    <row r="3684" spans="1:7" x14ac:dyDescent="0.25">
      <c r="A3684" s="2">
        <v>3683</v>
      </c>
      <c r="B3684" s="3" t="s">
        <v>22</v>
      </c>
      <c r="C3684" s="4" t="str">
        <f t="shared" si="312"/>
        <v>Hải Phòng</v>
      </c>
      <c r="D3684" s="3" t="s">
        <v>282</v>
      </c>
      <c r="E3684" s="4" t="str">
        <f t="shared" si="313"/>
        <v>Huyện Thuỷ Nguyên</v>
      </c>
      <c r="F3684" s="3" t="s">
        <v>4448</v>
      </c>
      <c r="G3684" s="4" t="str">
        <f>HYPERLINK("https://diaocthongthai.com/xa-duong-quan-thuy-nguyen/","Xã Dương Quan")</f>
        <v>Xã Dương Quan</v>
      </c>
    </row>
    <row r="3685" spans="1:7" x14ac:dyDescent="0.25">
      <c r="A3685" s="2">
        <v>3684</v>
      </c>
      <c r="B3685" s="3" t="s">
        <v>22</v>
      </c>
      <c r="C3685" s="4" t="str">
        <f t="shared" si="312"/>
        <v>Hải Phòng</v>
      </c>
      <c r="D3685" s="3" t="s">
        <v>283</v>
      </c>
      <c r="E3685" s="4" t="str">
        <f t="shared" ref="E3685:E3700" si="314">HYPERLINK("https://diaocthongthai.com/ban-do-huyen-an-duong-tp-hai-phong/","Huyện An Dương")</f>
        <v>Huyện An Dương</v>
      </c>
      <c r="F3685" s="3" t="s">
        <v>4449</v>
      </c>
      <c r="G3685" s="4" t="str">
        <f>HYPERLINK("https://diaocthongthai.com/thi-tran-an-duong-an-duong/","Thị trấn An Dương")</f>
        <v>Thị trấn An Dương</v>
      </c>
    </row>
    <row r="3686" spans="1:7" x14ac:dyDescent="0.25">
      <c r="A3686" s="2">
        <v>3685</v>
      </c>
      <c r="B3686" s="3" t="s">
        <v>22</v>
      </c>
      <c r="C3686" s="4" t="str">
        <f t="shared" si="312"/>
        <v>Hải Phòng</v>
      </c>
      <c r="D3686" s="3" t="s">
        <v>283</v>
      </c>
      <c r="E3686" s="4" t="str">
        <f t="shared" si="314"/>
        <v>Huyện An Dương</v>
      </c>
      <c r="F3686" s="3" t="s">
        <v>4450</v>
      </c>
      <c r="G3686" s="4" t="str">
        <f>HYPERLINK("https://diaocthongthai.com/xa-le-thien-an-duong/","Xã Lê Thiện")</f>
        <v>Xã Lê Thiện</v>
      </c>
    </row>
    <row r="3687" spans="1:7" x14ac:dyDescent="0.25">
      <c r="A3687" s="2">
        <v>3686</v>
      </c>
      <c r="B3687" s="3" t="s">
        <v>22</v>
      </c>
      <c r="C3687" s="4" t="str">
        <f t="shared" si="312"/>
        <v>Hải Phòng</v>
      </c>
      <c r="D3687" s="3" t="s">
        <v>283</v>
      </c>
      <c r="E3687" s="4" t="str">
        <f t="shared" si="314"/>
        <v>Huyện An Dương</v>
      </c>
      <c r="F3687" s="3" t="s">
        <v>4451</v>
      </c>
      <c r="G3687" s="4" t="str">
        <f>HYPERLINK("https://diaocthongthai.com/xa-dai-ban-an-duong/","Xã Đại Bản")</f>
        <v>Xã Đại Bản</v>
      </c>
    </row>
    <row r="3688" spans="1:7" x14ac:dyDescent="0.25">
      <c r="A3688" s="2">
        <v>3687</v>
      </c>
      <c r="B3688" s="3" t="s">
        <v>22</v>
      </c>
      <c r="C3688" s="4" t="str">
        <f t="shared" si="312"/>
        <v>Hải Phòng</v>
      </c>
      <c r="D3688" s="3" t="s">
        <v>283</v>
      </c>
      <c r="E3688" s="4" t="str">
        <f t="shared" si="314"/>
        <v>Huyện An Dương</v>
      </c>
      <c r="F3688" s="3" t="s">
        <v>4452</v>
      </c>
      <c r="G3688" s="4" t="str">
        <f>HYPERLINK("https://diaocthongthai.com/xa-an-hoa-an-duong/","Xã An Hoà")</f>
        <v>Xã An Hoà</v>
      </c>
    </row>
    <row r="3689" spans="1:7" x14ac:dyDescent="0.25">
      <c r="A3689" s="2">
        <v>3688</v>
      </c>
      <c r="B3689" s="3" t="s">
        <v>22</v>
      </c>
      <c r="C3689" s="4" t="str">
        <f t="shared" si="312"/>
        <v>Hải Phòng</v>
      </c>
      <c r="D3689" s="3" t="s">
        <v>283</v>
      </c>
      <c r="E3689" s="4" t="str">
        <f t="shared" si="314"/>
        <v>Huyện An Dương</v>
      </c>
      <c r="F3689" s="3" t="s">
        <v>4453</v>
      </c>
      <c r="G3689" s="4" t="str">
        <f>HYPERLINK("https://diaocthongthai.com/xa-hong-phong-an-duong/","Xã Hồng Phong")</f>
        <v>Xã Hồng Phong</v>
      </c>
    </row>
    <row r="3690" spans="1:7" x14ac:dyDescent="0.25">
      <c r="A3690" s="2">
        <v>3689</v>
      </c>
      <c r="B3690" s="3" t="s">
        <v>22</v>
      </c>
      <c r="C3690" s="4" t="str">
        <f t="shared" si="312"/>
        <v>Hải Phòng</v>
      </c>
      <c r="D3690" s="3" t="s">
        <v>283</v>
      </c>
      <c r="E3690" s="4" t="str">
        <f t="shared" si="314"/>
        <v>Huyện An Dương</v>
      </c>
      <c r="F3690" s="3" t="s">
        <v>4454</v>
      </c>
      <c r="G3690" s="4" t="str">
        <f>HYPERLINK("https://diaocthongthai.com/xa-tan-tien-an-duong/","Xã Tân Tiến")</f>
        <v>Xã Tân Tiến</v>
      </c>
    </row>
    <row r="3691" spans="1:7" x14ac:dyDescent="0.25">
      <c r="A3691" s="2">
        <v>3690</v>
      </c>
      <c r="B3691" s="3" t="s">
        <v>22</v>
      </c>
      <c r="C3691" s="4" t="str">
        <f t="shared" si="312"/>
        <v>Hải Phòng</v>
      </c>
      <c r="D3691" s="3" t="s">
        <v>283</v>
      </c>
      <c r="E3691" s="4" t="str">
        <f t="shared" si="314"/>
        <v>Huyện An Dương</v>
      </c>
      <c r="F3691" s="3" t="s">
        <v>4455</v>
      </c>
      <c r="G3691" s="4" t="str">
        <f>HYPERLINK("https://diaocthongthai.com/xa-an-hung-an-duong/","Xã An Hưng")</f>
        <v>Xã An Hưng</v>
      </c>
    </row>
    <row r="3692" spans="1:7" x14ac:dyDescent="0.25">
      <c r="A3692" s="2">
        <v>3691</v>
      </c>
      <c r="B3692" s="3" t="s">
        <v>22</v>
      </c>
      <c r="C3692" s="4" t="str">
        <f t="shared" si="312"/>
        <v>Hải Phòng</v>
      </c>
      <c r="D3692" s="3" t="s">
        <v>283</v>
      </c>
      <c r="E3692" s="4" t="str">
        <f t="shared" si="314"/>
        <v>Huyện An Dương</v>
      </c>
      <c r="F3692" s="3" t="s">
        <v>4456</v>
      </c>
      <c r="G3692" s="4" t="str">
        <f>HYPERLINK("https://diaocthongthai.com/xa-an-hong-an-duong/","Xã An Hồng")</f>
        <v>Xã An Hồng</v>
      </c>
    </row>
    <row r="3693" spans="1:7" x14ac:dyDescent="0.25">
      <c r="A3693" s="2">
        <v>3692</v>
      </c>
      <c r="B3693" s="3" t="s">
        <v>22</v>
      </c>
      <c r="C3693" s="4" t="str">
        <f t="shared" si="312"/>
        <v>Hải Phòng</v>
      </c>
      <c r="D3693" s="3" t="s">
        <v>283</v>
      </c>
      <c r="E3693" s="4" t="str">
        <f t="shared" si="314"/>
        <v>Huyện An Dương</v>
      </c>
      <c r="F3693" s="3" t="s">
        <v>4457</v>
      </c>
      <c r="G3693" s="4" t="str">
        <f>HYPERLINK("https://diaocthongthai.com/xa-bac-son-an-duong/","Xã Bắc Sơn")</f>
        <v>Xã Bắc Sơn</v>
      </c>
    </row>
    <row r="3694" spans="1:7" x14ac:dyDescent="0.25">
      <c r="A3694" s="2">
        <v>3693</v>
      </c>
      <c r="B3694" s="3" t="s">
        <v>22</v>
      </c>
      <c r="C3694" s="4" t="str">
        <f t="shared" si="312"/>
        <v>Hải Phòng</v>
      </c>
      <c r="D3694" s="3" t="s">
        <v>283</v>
      </c>
      <c r="E3694" s="4" t="str">
        <f t="shared" si="314"/>
        <v>Huyện An Dương</v>
      </c>
      <c r="F3694" s="3" t="s">
        <v>4458</v>
      </c>
      <c r="G3694" s="4" t="str">
        <f>HYPERLINK("https://diaocthongthai.com/xa-nam-son-an-duong/","Xã Nam Sơn")</f>
        <v>Xã Nam Sơn</v>
      </c>
    </row>
    <row r="3695" spans="1:7" x14ac:dyDescent="0.25">
      <c r="A3695" s="2">
        <v>3694</v>
      </c>
      <c r="B3695" s="3" t="s">
        <v>22</v>
      </c>
      <c r="C3695" s="4" t="str">
        <f t="shared" si="312"/>
        <v>Hải Phòng</v>
      </c>
      <c r="D3695" s="3" t="s">
        <v>283</v>
      </c>
      <c r="E3695" s="4" t="str">
        <f t="shared" si="314"/>
        <v>Huyện An Dương</v>
      </c>
      <c r="F3695" s="3" t="s">
        <v>4459</v>
      </c>
      <c r="G3695" s="4" t="str">
        <f>HYPERLINK("https://diaocthongthai.com/xa-le-loi-an-duong/","Xã Lê Lợi")</f>
        <v>Xã Lê Lợi</v>
      </c>
    </row>
    <row r="3696" spans="1:7" x14ac:dyDescent="0.25">
      <c r="A3696" s="2">
        <v>3695</v>
      </c>
      <c r="B3696" s="3" t="s">
        <v>22</v>
      </c>
      <c r="C3696" s="4" t="str">
        <f t="shared" si="312"/>
        <v>Hải Phòng</v>
      </c>
      <c r="D3696" s="3" t="s">
        <v>283</v>
      </c>
      <c r="E3696" s="4" t="str">
        <f t="shared" si="314"/>
        <v>Huyện An Dương</v>
      </c>
      <c r="F3696" s="3" t="s">
        <v>4460</v>
      </c>
      <c r="G3696" s="4" t="str">
        <f>HYPERLINK("https://diaocthongthai.com/xa-dang-cuong-an-duong/","Xã Đặng Cương")</f>
        <v>Xã Đặng Cương</v>
      </c>
    </row>
    <row r="3697" spans="1:7" x14ac:dyDescent="0.25">
      <c r="A3697" s="2">
        <v>3696</v>
      </c>
      <c r="B3697" s="3" t="s">
        <v>22</v>
      </c>
      <c r="C3697" s="4" t="str">
        <f t="shared" si="312"/>
        <v>Hải Phòng</v>
      </c>
      <c r="D3697" s="3" t="s">
        <v>283</v>
      </c>
      <c r="E3697" s="4" t="str">
        <f t="shared" si="314"/>
        <v>Huyện An Dương</v>
      </c>
      <c r="F3697" s="3" t="s">
        <v>4461</v>
      </c>
      <c r="G3697" s="4" t="str">
        <f>HYPERLINK("https://diaocthongthai.com/xa-dong-thai-an-duong/","Xã Đồng Thái")</f>
        <v>Xã Đồng Thái</v>
      </c>
    </row>
    <row r="3698" spans="1:7" x14ac:dyDescent="0.25">
      <c r="A3698" s="2">
        <v>3697</v>
      </c>
      <c r="B3698" s="3" t="s">
        <v>22</v>
      </c>
      <c r="C3698" s="4" t="str">
        <f t="shared" si="312"/>
        <v>Hải Phòng</v>
      </c>
      <c r="D3698" s="3" t="s">
        <v>283</v>
      </c>
      <c r="E3698" s="4" t="str">
        <f t="shared" si="314"/>
        <v>Huyện An Dương</v>
      </c>
      <c r="F3698" s="3" t="s">
        <v>4462</v>
      </c>
      <c r="G3698" s="4" t="str">
        <f>HYPERLINK("https://diaocthongthai.com/xa-quoc-tuan-an-duong/","Xã Quốc Tuấn")</f>
        <v>Xã Quốc Tuấn</v>
      </c>
    </row>
    <row r="3699" spans="1:7" x14ac:dyDescent="0.25">
      <c r="A3699" s="2">
        <v>3698</v>
      </c>
      <c r="B3699" s="3" t="s">
        <v>22</v>
      </c>
      <c r="C3699" s="4" t="str">
        <f t="shared" si="312"/>
        <v>Hải Phòng</v>
      </c>
      <c r="D3699" s="3" t="s">
        <v>283</v>
      </c>
      <c r="E3699" s="4" t="str">
        <f t="shared" si="314"/>
        <v>Huyện An Dương</v>
      </c>
      <c r="F3699" s="3" t="s">
        <v>4463</v>
      </c>
      <c r="G3699" s="4" t="str">
        <f>HYPERLINK("https://diaocthongthai.com/xa-an-dong-an-duong/","Xã An Đồng")</f>
        <v>Xã An Đồng</v>
      </c>
    </row>
    <row r="3700" spans="1:7" x14ac:dyDescent="0.25">
      <c r="A3700" s="2">
        <v>3699</v>
      </c>
      <c r="B3700" s="3" t="s">
        <v>22</v>
      </c>
      <c r="C3700" s="4" t="str">
        <f t="shared" si="312"/>
        <v>Hải Phòng</v>
      </c>
      <c r="D3700" s="3" t="s">
        <v>283</v>
      </c>
      <c r="E3700" s="4" t="str">
        <f t="shared" si="314"/>
        <v>Huyện An Dương</v>
      </c>
      <c r="F3700" s="3" t="s">
        <v>4464</v>
      </c>
      <c r="G3700" s="4" t="str">
        <f>HYPERLINK("https://diaocthongthai.com/xa-hong-thai-an-duong/","Xã Hồng Thái")</f>
        <v>Xã Hồng Thái</v>
      </c>
    </row>
    <row r="3701" spans="1:7" x14ac:dyDescent="0.25">
      <c r="A3701" s="2">
        <v>3700</v>
      </c>
      <c r="B3701" s="3" t="s">
        <v>22</v>
      </c>
      <c r="C3701" s="4" t="str">
        <f t="shared" si="312"/>
        <v>Hải Phòng</v>
      </c>
      <c r="D3701" s="3" t="s">
        <v>284</v>
      </c>
      <c r="E3701" s="4" t="str">
        <f t="shared" ref="E3701:E3717" si="315">HYPERLINK("https://diaocthongthai.com/ban-do-huyen-an-lao-tp-hai-phong/","Huyện An Lão")</f>
        <v>Huyện An Lão</v>
      </c>
      <c r="F3701" s="3" t="s">
        <v>4465</v>
      </c>
      <c r="G3701" s="4" t="str">
        <f>HYPERLINK("https://diaocthongthai.com/thi-tran-an-lao-an-lao-hai-phong/","Thị trấn An Lão")</f>
        <v>Thị trấn An Lão</v>
      </c>
    </row>
    <row r="3702" spans="1:7" x14ac:dyDescent="0.25">
      <c r="A3702" s="2">
        <v>3701</v>
      </c>
      <c r="B3702" s="3" t="s">
        <v>22</v>
      </c>
      <c r="C3702" s="4" t="str">
        <f t="shared" si="312"/>
        <v>Hải Phòng</v>
      </c>
      <c r="D3702" s="3" t="s">
        <v>284</v>
      </c>
      <c r="E3702" s="4" t="str">
        <f t="shared" si="315"/>
        <v>Huyện An Lão</v>
      </c>
      <c r="F3702" s="3" t="s">
        <v>4466</v>
      </c>
      <c r="G3702" s="4" t="str">
        <f>HYPERLINK("https://diaocthongthai.com/xa-bat-trang-an-lao-hai-phong/","Xã Bát Trang")</f>
        <v>Xã Bát Trang</v>
      </c>
    </row>
    <row r="3703" spans="1:7" x14ac:dyDescent="0.25">
      <c r="A3703" s="2">
        <v>3702</v>
      </c>
      <c r="B3703" s="3" t="s">
        <v>22</v>
      </c>
      <c r="C3703" s="4" t="str">
        <f t="shared" si="312"/>
        <v>Hải Phòng</v>
      </c>
      <c r="D3703" s="3" t="s">
        <v>284</v>
      </c>
      <c r="E3703" s="4" t="str">
        <f t="shared" si="315"/>
        <v>Huyện An Lão</v>
      </c>
      <c r="F3703" s="3" t="s">
        <v>4467</v>
      </c>
      <c r="G3703" s="4" t="str">
        <f>HYPERLINK("https://diaocthongthai.com/xa-truong-tho-an-lao-hai-phong/","Xã Trường Thọ")</f>
        <v>Xã Trường Thọ</v>
      </c>
    </row>
    <row r="3704" spans="1:7" x14ac:dyDescent="0.25">
      <c r="A3704" s="2">
        <v>3703</v>
      </c>
      <c r="B3704" s="3" t="s">
        <v>22</v>
      </c>
      <c r="C3704" s="4" t="str">
        <f t="shared" si="312"/>
        <v>Hải Phòng</v>
      </c>
      <c r="D3704" s="3" t="s">
        <v>284</v>
      </c>
      <c r="E3704" s="4" t="str">
        <f t="shared" si="315"/>
        <v>Huyện An Lão</v>
      </c>
      <c r="F3704" s="3" t="s">
        <v>4468</v>
      </c>
      <c r="G3704" s="4" t="str">
        <f>HYPERLINK("https://diaocthongthai.com/xa-truong-thanh-an-lao-hai-phong/","Xã Trường Thành")</f>
        <v>Xã Trường Thành</v>
      </c>
    </row>
    <row r="3705" spans="1:7" x14ac:dyDescent="0.25">
      <c r="A3705" s="2">
        <v>3704</v>
      </c>
      <c r="B3705" s="3" t="s">
        <v>22</v>
      </c>
      <c r="C3705" s="4" t="str">
        <f t="shared" si="312"/>
        <v>Hải Phòng</v>
      </c>
      <c r="D3705" s="3" t="s">
        <v>284</v>
      </c>
      <c r="E3705" s="4" t="str">
        <f t="shared" si="315"/>
        <v>Huyện An Lão</v>
      </c>
      <c r="F3705" s="3" t="s">
        <v>4469</v>
      </c>
      <c r="G3705" s="4" t="str">
        <f>HYPERLINK("https://diaocthongthai.com/xa-an-tien-an-lao-hai-phong/","Xã An Tiến")</f>
        <v>Xã An Tiến</v>
      </c>
    </row>
    <row r="3706" spans="1:7" x14ac:dyDescent="0.25">
      <c r="A3706" s="2">
        <v>3705</v>
      </c>
      <c r="B3706" s="3" t="s">
        <v>22</v>
      </c>
      <c r="C3706" s="4" t="str">
        <f t="shared" si="312"/>
        <v>Hải Phòng</v>
      </c>
      <c r="D3706" s="3" t="s">
        <v>284</v>
      </c>
      <c r="E3706" s="4" t="str">
        <f t="shared" si="315"/>
        <v>Huyện An Lão</v>
      </c>
      <c r="F3706" s="3" t="s">
        <v>4470</v>
      </c>
      <c r="G3706" s="4" t="str">
        <f>HYPERLINK("https://diaocthongthai.com/xa-quang-hung-an-lao-hai-phong/","Xã Quang Hưng")</f>
        <v>Xã Quang Hưng</v>
      </c>
    </row>
    <row r="3707" spans="1:7" x14ac:dyDescent="0.25">
      <c r="A3707" s="2">
        <v>3706</v>
      </c>
      <c r="B3707" s="3" t="s">
        <v>22</v>
      </c>
      <c r="C3707" s="4" t="str">
        <f t="shared" si="312"/>
        <v>Hải Phòng</v>
      </c>
      <c r="D3707" s="3" t="s">
        <v>284</v>
      </c>
      <c r="E3707" s="4" t="str">
        <f t="shared" si="315"/>
        <v>Huyện An Lão</v>
      </c>
      <c r="F3707" s="3" t="s">
        <v>4471</v>
      </c>
      <c r="G3707" s="4" t="str">
        <f>HYPERLINK("https://diaocthongthai.com/xa-quang-trung-an-lao-hai-phong/","Xã Quang Trung")</f>
        <v>Xã Quang Trung</v>
      </c>
    </row>
    <row r="3708" spans="1:7" x14ac:dyDescent="0.25">
      <c r="A3708" s="2">
        <v>3707</v>
      </c>
      <c r="B3708" s="3" t="s">
        <v>22</v>
      </c>
      <c r="C3708" s="4" t="str">
        <f t="shared" si="312"/>
        <v>Hải Phòng</v>
      </c>
      <c r="D3708" s="3" t="s">
        <v>284</v>
      </c>
      <c r="E3708" s="4" t="str">
        <f t="shared" si="315"/>
        <v>Huyện An Lão</v>
      </c>
      <c r="F3708" s="3" t="s">
        <v>4472</v>
      </c>
      <c r="G3708" s="4" t="str">
        <f>HYPERLINK("https://diaocthongthai.com/xa-quoc-tuan-an-lao-hai-phong/","Xã Quốc Tuấn")</f>
        <v>Xã Quốc Tuấn</v>
      </c>
    </row>
    <row r="3709" spans="1:7" x14ac:dyDescent="0.25">
      <c r="A3709" s="2">
        <v>3708</v>
      </c>
      <c r="B3709" s="3" t="s">
        <v>22</v>
      </c>
      <c r="C3709" s="4" t="str">
        <f t="shared" si="312"/>
        <v>Hải Phòng</v>
      </c>
      <c r="D3709" s="3" t="s">
        <v>284</v>
      </c>
      <c r="E3709" s="4" t="str">
        <f t="shared" si="315"/>
        <v>Huyện An Lão</v>
      </c>
      <c r="F3709" s="3" t="s">
        <v>4473</v>
      </c>
      <c r="G3709" s="4" t="str">
        <f>HYPERLINK("https://diaocthongthai.com/xa-an-thang-an-lao-hai-phong/","Xã An Thắng")</f>
        <v>Xã An Thắng</v>
      </c>
    </row>
    <row r="3710" spans="1:7" x14ac:dyDescent="0.25">
      <c r="A3710" s="2">
        <v>3709</v>
      </c>
      <c r="B3710" s="3" t="s">
        <v>22</v>
      </c>
      <c r="C3710" s="4" t="str">
        <f t="shared" ref="C3710:C3773" si="316">HYPERLINK("https://diaocthongthai.com/ban-do-hai-phong/","Hải Phòng")</f>
        <v>Hải Phòng</v>
      </c>
      <c r="D3710" s="3" t="s">
        <v>284</v>
      </c>
      <c r="E3710" s="4" t="str">
        <f t="shared" si="315"/>
        <v>Huyện An Lão</v>
      </c>
      <c r="F3710" s="3" t="s">
        <v>4474</v>
      </c>
      <c r="G3710" s="4" t="str">
        <f>HYPERLINK("https://diaocthongthai.com/thi-tran-truong-son-an-lao-hai-phong/","Thị trấn Trường Sơn")</f>
        <v>Thị trấn Trường Sơn</v>
      </c>
    </row>
    <row r="3711" spans="1:7" x14ac:dyDescent="0.25">
      <c r="A3711" s="2">
        <v>3710</v>
      </c>
      <c r="B3711" s="3" t="s">
        <v>22</v>
      </c>
      <c r="C3711" s="4" t="str">
        <f t="shared" si="316"/>
        <v>Hải Phòng</v>
      </c>
      <c r="D3711" s="3" t="s">
        <v>284</v>
      </c>
      <c r="E3711" s="4" t="str">
        <f t="shared" si="315"/>
        <v>Huyện An Lão</v>
      </c>
      <c r="F3711" s="3" t="s">
        <v>4475</v>
      </c>
      <c r="G3711" s="4" t="str">
        <f>HYPERLINK("https://diaocthongthai.com/xa-tan-dan-an-lao-hai-phong/","Xã Tân Dân")</f>
        <v>Xã Tân Dân</v>
      </c>
    </row>
    <row r="3712" spans="1:7" x14ac:dyDescent="0.25">
      <c r="A3712" s="2">
        <v>3711</v>
      </c>
      <c r="B3712" s="3" t="s">
        <v>22</v>
      </c>
      <c r="C3712" s="4" t="str">
        <f t="shared" si="316"/>
        <v>Hải Phòng</v>
      </c>
      <c r="D3712" s="3" t="s">
        <v>284</v>
      </c>
      <c r="E3712" s="4" t="str">
        <f t="shared" si="315"/>
        <v>Huyện An Lão</v>
      </c>
      <c r="F3712" s="3" t="s">
        <v>4476</v>
      </c>
      <c r="G3712" s="4" t="str">
        <f>HYPERLINK("https://diaocthongthai.com/xa-thai-son-an-lao-hai-phong/","Xã Thái Sơn")</f>
        <v>Xã Thái Sơn</v>
      </c>
    </row>
    <row r="3713" spans="1:7" x14ac:dyDescent="0.25">
      <c r="A3713" s="2">
        <v>3712</v>
      </c>
      <c r="B3713" s="3" t="s">
        <v>22</v>
      </c>
      <c r="C3713" s="4" t="str">
        <f t="shared" si="316"/>
        <v>Hải Phòng</v>
      </c>
      <c r="D3713" s="3" t="s">
        <v>284</v>
      </c>
      <c r="E3713" s="4" t="str">
        <f t="shared" si="315"/>
        <v>Huyện An Lão</v>
      </c>
      <c r="F3713" s="3" t="s">
        <v>4477</v>
      </c>
      <c r="G3713" s="4" t="str">
        <f>HYPERLINK("https://diaocthongthai.com/xa-tan-vien-an-lao-hai-phong/","Xã Tân Viên")</f>
        <v>Xã Tân Viên</v>
      </c>
    </row>
    <row r="3714" spans="1:7" x14ac:dyDescent="0.25">
      <c r="A3714" s="2">
        <v>3713</v>
      </c>
      <c r="B3714" s="3" t="s">
        <v>22</v>
      </c>
      <c r="C3714" s="4" t="str">
        <f t="shared" si="316"/>
        <v>Hải Phòng</v>
      </c>
      <c r="D3714" s="3" t="s">
        <v>284</v>
      </c>
      <c r="E3714" s="4" t="str">
        <f t="shared" si="315"/>
        <v>Huyện An Lão</v>
      </c>
      <c r="F3714" s="3" t="s">
        <v>4478</v>
      </c>
      <c r="G3714" s="4" t="str">
        <f>HYPERLINK("https://diaocthongthai.com/xa-my-duc-an-lao-hai-phong/","Xã Mỹ Đức")</f>
        <v>Xã Mỹ Đức</v>
      </c>
    </row>
    <row r="3715" spans="1:7" x14ac:dyDescent="0.25">
      <c r="A3715" s="2">
        <v>3714</v>
      </c>
      <c r="B3715" s="3" t="s">
        <v>22</v>
      </c>
      <c r="C3715" s="4" t="str">
        <f t="shared" si="316"/>
        <v>Hải Phòng</v>
      </c>
      <c r="D3715" s="3" t="s">
        <v>284</v>
      </c>
      <c r="E3715" s="4" t="str">
        <f t="shared" si="315"/>
        <v>Huyện An Lão</v>
      </c>
      <c r="F3715" s="3" t="s">
        <v>4479</v>
      </c>
      <c r="G3715" s="4" t="str">
        <f>HYPERLINK("https://diaocthongthai.com/xa-chien-thang-an-lao-hai-phong/","Xã Chiến Thắng")</f>
        <v>Xã Chiến Thắng</v>
      </c>
    </row>
    <row r="3716" spans="1:7" x14ac:dyDescent="0.25">
      <c r="A3716" s="2">
        <v>3715</v>
      </c>
      <c r="B3716" s="3" t="s">
        <v>22</v>
      </c>
      <c r="C3716" s="4" t="str">
        <f t="shared" si="316"/>
        <v>Hải Phòng</v>
      </c>
      <c r="D3716" s="3" t="s">
        <v>284</v>
      </c>
      <c r="E3716" s="4" t="str">
        <f t="shared" si="315"/>
        <v>Huyện An Lão</v>
      </c>
      <c r="F3716" s="3" t="s">
        <v>4480</v>
      </c>
      <c r="G3716" s="4" t="str">
        <f>HYPERLINK("https://diaocthongthai.com/xa-an-tho-an-lao-hai-phong/","Xã An Thọ")</f>
        <v>Xã An Thọ</v>
      </c>
    </row>
    <row r="3717" spans="1:7" x14ac:dyDescent="0.25">
      <c r="A3717" s="2">
        <v>3716</v>
      </c>
      <c r="B3717" s="3" t="s">
        <v>22</v>
      </c>
      <c r="C3717" s="4" t="str">
        <f t="shared" si="316"/>
        <v>Hải Phòng</v>
      </c>
      <c r="D3717" s="3" t="s">
        <v>284</v>
      </c>
      <c r="E3717" s="4" t="str">
        <f t="shared" si="315"/>
        <v>Huyện An Lão</v>
      </c>
      <c r="F3717" s="3" t="s">
        <v>4481</v>
      </c>
      <c r="G3717" s="4" t="str">
        <f>HYPERLINK("https://diaocthongthai.com/xa-an-thai-an-lao-hai-phong/","Xã An Thái")</f>
        <v>Xã An Thái</v>
      </c>
    </row>
    <row r="3718" spans="1:7" x14ac:dyDescent="0.25">
      <c r="A3718" s="2">
        <v>3717</v>
      </c>
      <c r="B3718" s="3" t="s">
        <v>22</v>
      </c>
      <c r="C3718" s="4" t="str">
        <f t="shared" si="316"/>
        <v>Hải Phòng</v>
      </c>
      <c r="D3718" s="3" t="s">
        <v>285</v>
      </c>
      <c r="E3718" s="4" t="str">
        <f t="shared" ref="E3718:E3735" si="317">HYPERLINK("https://diaocthongthai.com/ban-do-huyen-kien-thuy-tp-hai-phong/","Huyện Kiến Thuỵ")</f>
        <v>Huyện Kiến Thuỵ</v>
      </c>
      <c r="F3718" s="3" t="s">
        <v>4482</v>
      </c>
      <c r="G3718" s="4" t="str">
        <f>HYPERLINK("https://diaocthongthai.com/thi-tran-nui-doi-kien-thuy/","Thị trấn Núi Đối")</f>
        <v>Thị trấn Núi Đối</v>
      </c>
    </row>
    <row r="3719" spans="1:7" x14ac:dyDescent="0.25">
      <c r="A3719" s="2">
        <v>3718</v>
      </c>
      <c r="B3719" s="3" t="s">
        <v>22</v>
      </c>
      <c r="C3719" s="4" t="str">
        <f t="shared" si="316"/>
        <v>Hải Phòng</v>
      </c>
      <c r="D3719" s="3" t="s">
        <v>285</v>
      </c>
      <c r="E3719" s="4" t="str">
        <f t="shared" si="317"/>
        <v>Huyện Kiến Thuỵ</v>
      </c>
      <c r="F3719" s="3" t="s">
        <v>4483</v>
      </c>
      <c r="G3719" s="4" t="str">
        <f>HYPERLINK("https://diaocthongthai.com/xa-dong-phuong-kien-thuy/","Xã Đông Phương")</f>
        <v>Xã Đông Phương</v>
      </c>
    </row>
    <row r="3720" spans="1:7" x14ac:dyDescent="0.25">
      <c r="A3720" s="2">
        <v>3719</v>
      </c>
      <c r="B3720" s="3" t="s">
        <v>22</v>
      </c>
      <c r="C3720" s="4" t="str">
        <f t="shared" si="316"/>
        <v>Hải Phòng</v>
      </c>
      <c r="D3720" s="3" t="s">
        <v>285</v>
      </c>
      <c r="E3720" s="4" t="str">
        <f t="shared" si="317"/>
        <v>Huyện Kiến Thuỵ</v>
      </c>
      <c r="F3720" s="3" t="s">
        <v>4484</v>
      </c>
      <c r="G3720" s="4" t="str">
        <f>HYPERLINK("https://diaocthongthai.com/xa-thuan-thien-kien-thuy/","Xã Thuận Thiên")</f>
        <v>Xã Thuận Thiên</v>
      </c>
    </row>
    <row r="3721" spans="1:7" x14ac:dyDescent="0.25">
      <c r="A3721" s="2">
        <v>3720</v>
      </c>
      <c r="B3721" s="3" t="s">
        <v>22</v>
      </c>
      <c r="C3721" s="4" t="str">
        <f t="shared" si="316"/>
        <v>Hải Phòng</v>
      </c>
      <c r="D3721" s="3" t="s">
        <v>285</v>
      </c>
      <c r="E3721" s="4" t="str">
        <f t="shared" si="317"/>
        <v>Huyện Kiến Thuỵ</v>
      </c>
      <c r="F3721" s="3" t="s">
        <v>4485</v>
      </c>
      <c r="G3721" s="4" t="str">
        <f>HYPERLINK("https://diaocthongthai.com/xa-huu-bang-kien-thuy/","Xã Hữu Bằng")</f>
        <v>Xã Hữu Bằng</v>
      </c>
    </row>
    <row r="3722" spans="1:7" x14ac:dyDescent="0.25">
      <c r="A3722" s="2">
        <v>3721</v>
      </c>
      <c r="B3722" s="3" t="s">
        <v>22</v>
      </c>
      <c r="C3722" s="4" t="str">
        <f t="shared" si="316"/>
        <v>Hải Phòng</v>
      </c>
      <c r="D3722" s="3" t="s">
        <v>285</v>
      </c>
      <c r="E3722" s="4" t="str">
        <f t="shared" si="317"/>
        <v>Huyện Kiến Thuỵ</v>
      </c>
      <c r="F3722" s="3" t="s">
        <v>4486</v>
      </c>
      <c r="G3722" s="4" t="str">
        <f>HYPERLINK("https://diaocthongthai.com/xa-dai-dong-kien-thuy/","Xã Đại Đồng")</f>
        <v>Xã Đại Đồng</v>
      </c>
    </row>
    <row r="3723" spans="1:7" x14ac:dyDescent="0.25">
      <c r="A3723" s="2">
        <v>3722</v>
      </c>
      <c r="B3723" s="3" t="s">
        <v>22</v>
      </c>
      <c r="C3723" s="4" t="str">
        <f t="shared" si="316"/>
        <v>Hải Phòng</v>
      </c>
      <c r="D3723" s="3" t="s">
        <v>285</v>
      </c>
      <c r="E3723" s="4" t="str">
        <f t="shared" si="317"/>
        <v>Huyện Kiến Thuỵ</v>
      </c>
      <c r="F3723" s="3" t="s">
        <v>4487</v>
      </c>
      <c r="G3723" s="4" t="str">
        <f>HYPERLINK("https://diaocthongthai.com/xa-ngu-phuc-kien-thuy/","Xã Ngũ Phúc")</f>
        <v>Xã Ngũ Phúc</v>
      </c>
    </row>
    <row r="3724" spans="1:7" x14ac:dyDescent="0.25">
      <c r="A3724" s="2">
        <v>3723</v>
      </c>
      <c r="B3724" s="3" t="s">
        <v>22</v>
      </c>
      <c r="C3724" s="4" t="str">
        <f t="shared" si="316"/>
        <v>Hải Phòng</v>
      </c>
      <c r="D3724" s="3" t="s">
        <v>285</v>
      </c>
      <c r="E3724" s="4" t="str">
        <f t="shared" si="317"/>
        <v>Huyện Kiến Thuỵ</v>
      </c>
      <c r="F3724" s="3" t="s">
        <v>4488</v>
      </c>
      <c r="G3724" s="4" t="str">
        <f>HYPERLINK("https://diaocthongthai.com/xa-kien-quoc-kien-thuy/","Xã Kiến Quốc")</f>
        <v>Xã Kiến Quốc</v>
      </c>
    </row>
    <row r="3725" spans="1:7" x14ac:dyDescent="0.25">
      <c r="A3725" s="2">
        <v>3724</v>
      </c>
      <c r="B3725" s="3" t="s">
        <v>22</v>
      </c>
      <c r="C3725" s="4" t="str">
        <f t="shared" si="316"/>
        <v>Hải Phòng</v>
      </c>
      <c r="D3725" s="3" t="s">
        <v>285</v>
      </c>
      <c r="E3725" s="4" t="str">
        <f t="shared" si="317"/>
        <v>Huyện Kiến Thuỵ</v>
      </c>
      <c r="F3725" s="3" t="s">
        <v>4489</v>
      </c>
      <c r="G3725" s="4" t="str">
        <f>HYPERLINK("https://diaocthongthai.com/xa-du-le-kien-thuy/","Xã Du Lễ")</f>
        <v>Xã Du Lễ</v>
      </c>
    </row>
    <row r="3726" spans="1:7" x14ac:dyDescent="0.25">
      <c r="A3726" s="2">
        <v>3725</v>
      </c>
      <c r="B3726" s="3" t="s">
        <v>22</v>
      </c>
      <c r="C3726" s="4" t="str">
        <f t="shared" si="316"/>
        <v>Hải Phòng</v>
      </c>
      <c r="D3726" s="3" t="s">
        <v>285</v>
      </c>
      <c r="E3726" s="4" t="str">
        <f t="shared" si="317"/>
        <v>Huyện Kiến Thuỵ</v>
      </c>
      <c r="F3726" s="3" t="s">
        <v>4490</v>
      </c>
      <c r="G3726" s="4" t="str">
        <f>HYPERLINK("https://diaocthongthai.com/xa-thuy-huong-kien-thuy/","Xã Thuỵ Hương")</f>
        <v>Xã Thuỵ Hương</v>
      </c>
    </row>
    <row r="3727" spans="1:7" x14ac:dyDescent="0.25">
      <c r="A3727" s="2">
        <v>3726</v>
      </c>
      <c r="B3727" s="3" t="s">
        <v>22</v>
      </c>
      <c r="C3727" s="4" t="str">
        <f t="shared" si="316"/>
        <v>Hải Phòng</v>
      </c>
      <c r="D3727" s="3" t="s">
        <v>285</v>
      </c>
      <c r="E3727" s="4" t="str">
        <f t="shared" si="317"/>
        <v>Huyện Kiến Thuỵ</v>
      </c>
      <c r="F3727" s="3" t="s">
        <v>4491</v>
      </c>
      <c r="G3727" s="4" t="str">
        <f>HYPERLINK("https://diaocthongthai.com/xa-thanh-son-kien-thuy/","Xã Thanh Sơn")</f>
        <v>Xã Thanh Sơn</v>
      </c>
    </row>
    <row r="3728" spans="1:7" x14ac:dyDescent="0.25">
      <c r="A3728" s="2">
        <v>3727</v>
      </c>
      <c r="B3728" s="3" t="s">
        <v>22</v>
      </c>
      <c r="C3728" s="4" t="str">
        <f t="shared" si="316"/>
        <v>Hải Phòng</v>
      </c>
      <c r="D3728" s="3" t="s">
        <v>285</v>
      </c>
      <c r="E3728" s="4" t="str">
        <f t="shared" si="317"/>
        <v>Huyện Kiến Thuỵ</v>
      </c>
      <c r="F3728" s="3" t="s">
        <v>4492</v>
      </c>
      <c r="G3728" s="4" t="str">
        <f>HYPERLINK("https://diaocthongthai.com/xa-minh-tan-kien-thuy/","Xã Minh Tân")</f>
        <v>Xã Minh Tân</v>
      </c>
    </row>
    <row r="3729" spans="1:7" x14ac:dyDescent="0.25">
      <c r="A3729" s="2">
        <v>3728</v>
      </c>
      <c r="B3729" s="3" t="s">
        <v>22</v>
      </c>
      <c r="C3729" s="4" t="str">
        <f t="shared" si="316"/>
        <v>Hải Phòng</v>
      </c>
      <c r="D3729" s="3" t="s">
        <v>285</v>
      </c>
      <c r="E3729" s="4" t="str">
        <f t="shared" si="317"/>
        <v>Huyện Kiến Thuỵ</v>
      </c>
      <c r="F3729" s="3" t="s">
        <v>4493</v>
      </c>
      <c r="G3729" s="4" t="str">
        <f>HYPERLINK("https://diaocthongthai.com/xa-dai-ha-kien-thuy/","Xã Đại Hà")</f>
        <v>Xã Đại Hà</v>
      </c>
    </row>
    <row r="3730" spans="1:7" x14ac:dyDescent="0.25">
      <c r="A3730" s="2">
        <v>3729</v>
      </c>
      <c r="B3730" s="3" t="s">
        <v>22</v>
      </c>
      <c r="C3730" s="4" t="str">
        <f t="shared" si="316"/>
        <v>Hải Phòng</v>
      </c>
      <c r="D3730" s="3" t="s">
        <v>285</v>
      </c>
      <c r="E3730" s="4" t="str">
        <f t="shared" si="317"/>
        <v>Huyện Kiến Thuỵ</v>
      </c>
      <c r="F3730" s="3" t="s">
        <v>4494</v>
      </c>
      <c r="G3730" s="4" t="str">
        <f>HYPERLINK("https://diaocthongthai.com/xa-ngu-doan-kien-thuy/","Xã Ngũ Đoan")</f>
        <v>Xã Ngũ Đoan</v>
      </c>
    </row>
    <row r="3731" spans="1:7" x14ac:dyDescent="0.25">
      <c r="A3731" s="2">
        <v>3730</v>
      </c>
      <c r="B3731" s="3" t="s">
        <v>22</v>
      </c>
      <c r="C3731" s="4" t="str">
        <f t="shared" si="316"/>
        <v>Hải Phòng</v>
      </c>
      <c r="D3731" s="3" t="s">
        <v>285</v>
      </c>
      <c r="E3731" s="4" t="str">
        <f t="shared" si="317"/>
        <v>Huyện Kiến Thuỵ</v>
      </c>
      <c r="F3731" s="3" t="s">
        <v>4495</v>
      </c>
      <c r="G3731" s="4" t="str">
        <f>HYPERLINK("https://diaocthongthai.com/xa-tan-phong-kien-thuy/","Xã Tân Phong")</f>
        <v>Xã Tân Phong</v>
      </c>
    </row>
    <row r="3732" spans="1:7" x14ac:dyDescent="0.25">
      <c r="A3732" s="2">
        <v>3731</v>
      </c>
      <c r="B3732" s="3" t="s">
        <v>22</v>
      </c>
      <c r="C3732" s="4" t="str">
        <f t="shared" si="316"/>
        <v>Hải Phòng</v>
      </c>
      <c r="D3732" s="3" t="s">
        <v>285</v>
      </c>
      <c r="E3732" s="4" t="str">
        <f t="shared" si="317"/>
        <v>Huyện Kiến Thuỵ</v>
      </c>
      <c r="F3732" s="3" t="s">
        <v>4496</v>
      </c>
      <c r="G3732" s="4" t="str">
        <f>HYPERLINK("https://diaocthongthai.com/xa-tan-trao-kien-thuy/","Xã Tân Trào")</f>
        <v>Xã Tân Trào</v>
      </c>
    </row>
    <row r="3733" spans="1:7" x14ac:dyDescent="0.25">
      <c r="A3733" s="2">
        <v>3732</v>
      </c>
      <c r="B3733" s="3" t="s">
        <v>22</v>
      </c>
      <c r="C3733" s="4" t="str">
        <f t="shared" si="316"/>
        <v>Hải Phòng</v>
      </c>
      <c r="D3733" s="3" t="s">
        <v>285</v>
      </c>
      <c r="E3733" s="4" t="str">
        <f t="shared" si="317"/>
        <v>Huyện Kiến Thuỵ</v>
      </c>
      <c r="F3733" s="3" t="s">
        <v>4497</v>
      </c>
      <c r="G3733" s="4" t="str">
        <f>HYPERLINK("https://diaocthongthai.com/xa-doan-xa-kien-thuy/","Xã Đoàn Xá")</f>
        <v>Xã Đoàn Xá</v>
      </c>
    </row>
    <row r="3734" spans="1:7" x14ac:dyDescent="0.25">
      <c r="A3734" s="2">
        <v>3733</v>
      </c>
      <c r="B3734" s="3" t="s">
        <v>22</v>
      </c>
      <c r="C3734" s="4" t="str">
        <f t="shared" si="316"/>
        <v>Hải Phòng</v>
      </c>
      <c r="D3734" s="3" t="s">
        <v>285</v>
      </c>
      <c r="E3734" s="4" t="str">
        <f t="shared" si="317"/>
        <v>Huyện Kiến Thuỵ</v>
      </c>
      <c r="F3734" s="3" t="s">
        <v>4498</v>
      </c>
      <c r="G3734" s="4" t="str">
        <f>HYPERLINK("https://diaocthongthai.com/xa-tu-son-kien-thuy/","Xã Tú Sơn")</f>
        <v>Xã Tú Sơn</v>
      </c>
    </row>
    <row r="3735" spans="1:7" x14ac:dyDescent="0.25">
      <c r="A3735" s="2">
        <v>3734</v>
      </c>
      <c r="B3735" s="3" t="s">
        <v>22</v>
      </c>
      <c r="C3735" s="4" t="str">
        <f t="shared" si="316"/>
        <v>Hải Phòng</v>
      </c>
      <c r="D3735" s="3" t="s">
        <v>285</v>
      </c>
      <c r="E3735" s="4" t="str">
        <f t="shared" si="317"/>
        <v>Huyện Kiến Thuỵ</v>
      </c>
      <c r="F3735" s="3" t="s">
        <v>4499</v>
      </c>
      <c r="G3735" s="4" t="str">
        <f>HYPERLINK("https://diaocthongthai.com/xa-dai-hop-kien-thuy/","Xã Đại Hợp")</f>
        <v>Xã Đại Hợp</v>
      </c>
    </row>
    <row r="3736" spans="1:7" x14ac:dyDescent="0.25">
      <c r="A3736" s="2">
        <v>3735</v>
      </c>
      <c r="B3736" s="3" t="s">
        <v>22</v>
      </c>
      <c r="C3736" s="4" t="str">
        <f t="shared" si="316"/>
        <v>Hải Phòng</v>
      </c>
      <c r="D3736" s="3" t="s">
        <v>286</v>
      </c>
      <c r="E3736" s="4" t="str">
        <f t="shared" ref="E3736:E3756" si="318">HYPERLINK("https://diaocthongthai.com/ban-do-huyen-tien-lang-tp-hai-phong/","Huyện Tiên Lãng")</f>
        <v>Huyện Tiên Lãng</v>
      </c>
      <c r="F3736" s="3" t="s">
        <v>4500</v>
      </c>
      <c r="G3736" s="4" t="str">
        <f>HYPERLINK("https://diaocthongthai.com/thi-tran-tien-lang-tien-lang/","Thị trấn Tiên Lãng")</f>
        <v>Thị trấn Tiên Lãng</v>
      </c>
    </row>
    <row r="3737" spans="1:7" x14ac:dyDescent="0.25">
      <c r="A3737" s="2">
        <v>3736</v>
      </c>
      <c r="B3737" s="3" t="s">
        <v>22</v>
      </c>
      <c r="C3737" s="4" t="str">
        <f t="shared" si="316"/>
        <v>Hải Phòng</v>
      </c>
      <c r="D3737" s="3" t="s">
        <v>286</v>
      </c>
      <c r="E3737" s="4" t="str">
        <f t="shared" si="318"/>
        <v>Huyện Tiên Lãng</v>
      </c>
      <c r="F3737" s="3" t="s">
        <v>4501</v>
      </c>
      <c r="G3737" s="4" t="str">
        <f>HYPERLINK("https://diaocthongthai.com/xa-dai-thang-tien-lang/","Xã Đại Thắng")</f>
        <v>Xã Đại Thắng</v>
      </c>
    </row>
    <row r="3738" spans="1:7" x14ac:dyDescent="0.25">
      <c r="A3738" s="2">
        <v>3737</v>
      </c>
      <c r="B3738" s="3" t="s">
        <v>22</v>
      </c>
      <c r="C3738" s="4" t="str">
        <f t="shared" si="316"/>
        <v>Hải Phòng</v>
      </c>
      <c r="D3738" s="3" t="s">
        <v>286</v>
      </c>
      <c r="E3738" s="4" t="str">
        <f t="shared" si="318"/>
        <v>Huyện Tiên Lãng</v>
      </c>
      <c r="F3738" s="3" t="s">
        <v>4502</v>
      </c>
      <c r="G3738" s="4" t="str">
        <f>HYPERLINK("https://diaocthongthai.com/xa-tien-cuong-tien-lang/","Xã Tiên Cường")</f>
        <v>Xã Tiên Cường</v>
      </c>
    </row>
    <row r="3739" spans="1:7" x14ac:dyDescent="0.25">
      <c r="A3739" s="2">
        <v>3738</v>
      </c>
      <c r="B3739" s="3" t="s">
        <v>22</v>
      </c>
      <c r="C3739" s="4" t="str">
        <f t="shared" si="316"/>
        <v>Hải Phòng</v>
      </c>
      <c r="D3739" s="3" t="s">
        <v>286</v>
      </c>
      <c r="E3739" s="4" t="str">
        <f t="shared" si="318"/>
        <v>Huyện Tiên Lãng</v>
      </c>
      <c r="F3739" s="3" t="s">
        <v>4503</v>
      </c>
      <c r="G3739" s="4" t="str">
        <f>HYPERLINK("https://diaocthongthai.com/xa-tu-cuong-tien-lang/","Xã Tự Cường")</f>
        <v>Xã Tự Cường</v>
      </c>
    </row>
    <row r="3740" spans="1:7" x14ac:dyDescent="0.25">
      <c r="A3740" s="2">
        <v>3739</v>
      </c>
      <c r="B3740" s="3" t="s">
        <v>22</v>
      </c>
      <c r="C3740" s="4" t="str">
        <f t="shared" si="316"/>
        <v>Hải Phòng</v>
      </c>
      <c r="D3740" s="3" t="s">
        <v>286</v>
      </c>
      <c r="E3740" s="4" t="str">
        <f t="shared" si="318"/>
        <v>Huyện Tiên Lãng</v>
      </c>
      <c r="F3740" s="3" t="s">
        <v>4504</v>
      </c>
      <c r="G3740" s="4" t="str">
        <f>HYPERLINK("https://diaocthongthai.com/xa-quyet-tien-tien-lang/","Xã Quyết Tiến")</f>
        <v>Xã Quyết Tiến</v>
      </c>
    </row>
    <row r="3741" spans="1:7" x14ac:dyDescent="0.25">
      <c r="A3741" s="2">
        <v>3740</v>
      </c>
      <c r="B3741" s="3" t="s">
        <v>22</v>
      </c>
      <c r="C3741" s="4" t="str">
        <f t="shared" si="316"/>
        <v>Hải Phòng</v>
      </c>
      <c r="D3741" s="3" t="s">
        <v>286</v>
      </c>
      <c r="E3741" s="4" t="str">
        <f t="shared" si="318"/>
        <v>Huyện Tiên Lãng</v>
      </c>
      <c r="F3741" s="3" t="s">
        <v>4505</v>
      </c>
      <c r="G3741" s="4" t="str">
        <f>HYPERLINK("https://diaocthongthai.com/xa-khoi-nghia-tien-lang/","Xã Khởi Nghĩa")</f>
        <v>Xã Khởi Nghĩa</v>
      </c>
    </row>
    <row r="3742" spans="1:7" x14ac:dyDescent="0.25">
      <c r="A3742" s="2">
        <v>3741</v>
      </c>
      <c r="B3742" s="3" t="s">
        <v>22</v>
      </c>
      <c r="C3742" s="4" t="str">
        <f t="shared" si="316"/>
        <v>Hải Phòng</v>
      </c>
      <c r="D3742" s="3" t="s">
        <v>286</v>
      </c>
      <c r="E3742" s="4" t="str">
        <f t="shared" si="318"/>
        <v>Huyện Tiên Lãng</v>
      </c>
      <c r="F3742" s="3" t="s">
        <v>4506</v>
      </c>
      <c r="G3742" s="4" t="str">
        <f>HYPERLINK("https://diaocthongthai.com/xa-tien-thanh-tien-lang/","Xã Tiên Thanh")</f>
        <v>Xã Tiên Thanh</v>
      </c>
    </row>
    <row r="3743" spans="1:7" x14ac:dyDescent="0.25">
      <c r="A3743" s="2">
        <v>3742</v>
      </c>
      <c r="B3743" s="3" t="s">
        <v>22</v>
      </c>
      <c r="C3743" s="4" t="str">
        <f t="shared" si="316"/>
        <v>Hải Phòng</v>
      </c>
      <c r="D3743" s="3" t="s">
        <v>286</v>
      </c>
      <c r="E3743" s="4" t="str">
        <f t="shared" si="318"/>
        <v>Huyện Tiên Lãng</v>
      </c>
      <c r="F3743" s="3" t="s">
        <v>4507</v>
      </c>
      <c r="G3743" s="4" t="str">
        <f>HYPERLINK("https://diaocthongthai.com/xa-cap-tien-tien-lang/","Xã Cấp Tiến")</f>
        <v>Xã Cấp Tiến</v>
      </c>
    </row>
    <row r="3744" spans="1:7" x14ac:dyDescent="0.25">
      <c r="A3744" s="2">
        <v>3743</v>
      </c>
      <c r="B3744" s="3" t="s">
        <v>22</v>
      </c>
      <c r="C3744" s="4" t="str">
        <f t="shared" si="316"/>
        <v>Hải Phòng</v>
      </c>
      <c r="D3744" s="3" t="s">
        <v>286</v>
      </c>
      <c r="E3744" s="4" t="str">
        <f t="shared" si="318"/>
        <v>Huyện Tiên Lãng</v>
      </c>
      <c r="F3744" s="3" t="s">
        <v>4508</v>
      </c>
      <c r="G3744" s="4" t="str">
        <f>HYPERLINK("https://diaocthongthai.com/xa-kien-thiet-tien-lang/","Xã Kiến Thiết")</f>
        <v>Xã Kiến Thiết</v>
      </c>
    </row>
    <row r="3745" spans="1:7" x14ac:dyDescent="0.25">
      <c r="A3745" s="2">
        <v>3744</v>
      </c>
      <c r="B3745" s="3" t="s">
        <v>22</v>
      </c>
      <c r="C3745" s="4" t="str">
        <f t="shared" si="316"/>
        <v>Hải Phòng</v>
      </c>
      <c r="D3745" s="3" t="s">
        <v>286</v>
      </c>
      <c r="E3745" s="4" t="str">
        <f t="shared" si="318"/>
        <v>Huyện Tiên Lãng</v>
      </c>
      <c r="F3745" s="3" t="s">
        <v>4509</v>
      </c>
      <c r="G3745" s="4" t="str">
        <f>HYPERLINK("https://diaocthongthai.com/xa-doan-lap-tien-lang/","Xã Đoàn Lập")</f>
        <v>Xã Đoàn Lập</v>
      </c>
    </row>
    <row r="3746" spans="1:7" x14ac:dyDescent="0.25">
      <c r="A3746" s="2">
        <v>3745</v>
      </c>
      <c r="B3746" s="3" t="s">
        <v>22</v>
      </c>
      <c r="C3746" s="4" t="str">
        <f t="shared" si="316"/>
        <v>Hải Phòng</v>
      </c>
      <c r="D3746" s="3" t="s">
        <v>286</v>
      </c>
      <c r="E3746" s="4" t="str">
        <f t="shared" si="318"/>
        <v>Huyện Tiên Lãng</v>
      </c>
      <c r="F3746" s="3" t="s">
        <v>4510</v>
      </c>
      <c r="G3746" s="4" t="str">
        <f>HYPERLINK("https://diaocthongthai.com/xa-bach-dang-tien-lang/","Xã Bạch Đằng")</f>
        <v>Xã Bạch Đằng</v>
      </c>
    </row>
    <row r="3747" spans="1:7" x14ac:dyDescent="0.25">
      <c r="A3747" s="2">
        <v>3746</v>
      </c>
      <c r="B3747" s="3" t="s">
        <v>22</v>
      </c>
      <c r="C3747" s="4" t="str">
        <f t="shared" si="316"/>
        <v>Hải Phòng</v>
      </c>
      <c r="D3747" s="3" t="s">
        <v>286</v>
      </c>
      <c r="E3747" s="4" t="str">
        <f t="shared" si="318"/>
        <v>Huyện Tiên Lãng</v>
      </c>
      <c r="F3747" s="3" t="s">
        <v>4511</v>
      </c>
      <c r="G3747" s="4" t="str">
        <f>HYPERLINK("https://diaocthongthai.com/xa-quang-phuc-tien-lang/","Xã Quang Phục")</f>
        <v>Xã Quang Phục</v>
      </c>
    </row>
    <row r="3748" spans="1:7" x14ac:dyDescent="0.25">
      <c r="A3748" s="2">
        <v>3747</v>
      </c>
      <c r="B3748" s="3" t="s">
        <v>22</v>
      </c>
      <c r="C3748" s="4" t="str">
        <f t="shared" si="316"/>
        <v>Hải Phòng</v>
      </c>
      <c r="D3748" s="3" t="s">
        <v>286</v>
      </c>
      <c r="E3748" s="4" t="str">
        <f t="shared" si="318"/>
        <v>Huyện Tiên Lãng</v>
      </c>
      <c r="F3748" s="3" t="s">
        <v>4512</v>
      </c>
      <c r="G3748" s="4" t="str">
        <f>HYPERLINK("https://diaocthongthai.com/xa-toan-thang-tien-lang/","Xã Toàn Thắng")</f>
        <v>Xã Toàn Thắng</v>
      </c>
    </row>
    <row r="3749" spans="1:7" x14ac:dyDescent="0.25">
      <c r="A3749" s="2">
        <v>3748</v>
      </c>
      <c r="B3749" s="3" t="s">
        <v>22</v>
      </c>
      <c r="C3749" s="4" t="str">
        <f t="shared" si="316"/>
        <v>Hải Phòng</v>
      </c>
      <c r="D3749" s="3" t="s">
        <v>286</v>
      </c>
      <c r="E3749" s="4" t="str">
        <f t="shared" si="318"/>
        <v>Huyện Tiên Lãng</v>
      </c>
      <c r="F3749" s="3" t="s">
        <v>4513</v>
      </c>
      <c r="G3749" s="4" t="str">
        <f>HYPERLINK("https://diaocthongthai.com/xa-tien-thang-tien-lang/","Xã Tiên Thắng")</f>
        <v>Xã Tiên Thắng</v>
      </c>
    </row>
    <row r="3750" spans="1:7" x14ac:dyDescent="0.25">
      <c r="A3750" s="2">
        <v>3749</v>
      </c>
      <c r="B3750" s="3" t="s">
        <v>22</v>
      </c>
      <c r="C3750" s="4" t="str">
        <f t="shared" si="316"/>
        <v>Hải Phòng</v>
      </c>
      <c r="D3750" s="3" t="s">
        <v>286</v>
      </c>
      <c r="E3750" s="4" t="str">
        <f t="shared" si="318"/>
        <v>Huyện Tiên Lãng</v>
      </c>
      <c r="F3750" s="3" t="s">
        <v>4514</v>
      </c>
      <c r="G3750" s="4" t="str">
        <f>HYPERLINK("https://diaocthongthai.com/xa-tien-minh-tien-lang/","Xã Tiên Minh")</f>
        <v>Xã Tiên Minh</v>
      </c>
    </row>
    <row r="3751" spans="1:7" x14ac:dyDescent="0.25">
      <c r="A3751" s="2">
        <v>3750</v>
      </c>
      <c r="B3751" s="3" t="s">
        <v>22</v>
      </c>
      <c r="C3751" s="4" t="str">
        <f t="shared" si="316"/>
        <v>Hải Phòng</v>
      </c>
      <c r="D3751" s="3" t="s">
        <v>286</v>
      </c>
      <c r="E3751" s="4" t="str">
        <f t="shared" si="318"/>
        <v>Huyện Tiên Lãng</v>
      </c>
      <c r="F3751" s="3" t="s">
        <v>4515</v>
      </c>
      <c r="G3751" s="4" t="str">
        <f>HYPERLINK("https://diaocthongthai.com/xa-bac-hung-tien-lang/","Xã Bắc Hưng")</f>
        <v>Xã Bắc Hưng</v>
      </c>
    </row>
    <row r="3752" spans="1:7" x14ac:dyDescent="0.25">
      <c r="A3752" s="2">
        <v>3751</v>
      </c>
      <c r="B3752" s="3" t="s">
        <v>22</v>
      </c>
      <c r="C3752" s="4" t="str">
        <f t="shared" si="316"/>
        <v>Hải Phòng</v>
      </c>
      <c r="D3752" s="3" t="s">
        <v>286</v>
      </c>
      <c r="E3752" s="4" t="str">
        <f t="shared" si="318"/>
        <v>Huyện Tiên Lãng</v>
      </c>
      <c r="F3752" s="3" t="s">
        <v>4516</v>
      </c>
      <c r="G3752" s="4" t="str">
        <f>HYPERLINK("https://diaocthongthai.com/xa-nam-hung-tien-lang/","Xã Nam Hưng")</f>
        <v>Xã Nam Hưng</v>
      </c>
    </row>
    <row r="3753" spans="1:7" x14ac:dyDescent="0.25">
      <c r="A3753" s="2">
        <v>3752</v>
      </c>
      <c r="B3753" s="3" t="s">
        <v>22</v>
      </c>
      <c r="C3753" s="4" t="str">
        <f t="shared" si="316"/>
        <v>Hải Phòng</v>
      </c>
      <c r="D3753" s="3" t="s">
        <v>286</v>
      </c>
      <c r="E3753" s="4" t="str">
        <f t="shared" si="318"/>
        <v>Huyện Tiên Lãng</v>
      </c>
      <c r="F3753" s="3" t="s">
        <v>4517</v>
      </c>
      <c r="G3753" s="4" t="str">
        <f>HYPERLINK("https://diaocthongthai.com/xa-hung-thang-tien-lang/","Xã Hùng Thắng")</f>
        <v>Xã Hùng Thắng</v>
      </c>
    </row>
    <row r="3754" spans="1:7" x14ac:dyDescent="0.25">
      <c r="A3754" s="2">
        <v>3753</v>
      </c>
      <c r="B3754" s="3" t="s">
        <v>22</v>
      </c>
      <c r="C3754" s="4" t="str">
        <f t="shared" si="316"/>
        <v>Hải Phòng</v>
      </c>
      <c r="D3754" s="3" t="s">
        <v>286</v>
      </c>
      <c r="E3754" s="4" t="str">
        <f t="shared" si="318"/>
        <v>Huyện Tiên Lãng</v>
      </c>
      <c r="F3754" s="3" t="s">
        <v>4518</v>
      </c>
      <c r="G3754" s="4" t="str">
        <f>HYPERLINK("https://diaocthongthai.com/xa-tay-hung-tien-lang/","Xã Tây Hưng")</f>
        <v>Xã Tây Hưng</v>
      </c>
    </row>
    <row r="3755" spans="1:7" x14ac:dyDescent="0.25">
      <c r="A3755" s="2">
        <v>3754</v>
      </c>
      <c r="B3755" s="3" t="s">
        <v>22</v>
      </c>
      <c r="C3755" s="4" t="str">
        <f t="shared" si="316"/>
        <v>Hải Phòng</v>
      </c>
      <c r="D3755" s="3" t="s">
        <v>286</v>
      </c>
      <c r="E3755" s="4" t="str">
        <f t="shared" si="318"/>
        <v>Huyện Tiên Lãng</v>
      </c>
      <c r="F3755" s="3" t="s">
        <v>4519</v>
      </c>
      <c r="G3755" s="4" t="str">
        <f>HYPERLINK("https://diaocthongthai.com/xa-dong-hung-tien-lang/","Xã Đông Hưng")</f>
        <v>Xã Đông Hưng</v>
      </c>
    </row>
    <row r="3756" spans="1:7" x14ac:dyDescent="0.25">
      <c r="A3756" s="2">
        <v>3755</v>
      </c>
      <c r="B3756" s="3" t="s">
        <v>22</v>
      </c>
      <c r="C3756" s="4" t="str">
        <f t="shared" si="316"/>
        <v>Hải Phòng</v>
      </c>
      <c r="D3756" s="3" t="s">
        <v>286</v>
      </c>
      <c r="E3756" s="4" t="str">
        <f t="shared" si="318"/>
        <v>Huyện Tiên Lãng</v>
      </c>
      <c r="F3756" s="3" t="s">
        <v>4520</v>
      </c>
      <c r="G3756" s="4" t="str">
        <f>HYPERLINK("https://diaocthongthai.com/xa-vinh-quang-tien-lang/","Xã Vinh Quang")</f>
        <v>Xã Vinh Quang</v>
      </c>
    </row>
    <row r="3757" spans="1:7" x14ac:dyDescent="0.25">
      <c r="A3757" s="2">
        <v>3756</v>
      </c>
      <c r="B3757" s="3" t="s">
        <v>22</v>
      </c>
      <c r="C3757" s="4" t="str">
        <f t="shared" si="316"/>
        <v>Hải Phòng</v>
      </c>
      <c r="D3757" s="3" t="s">
        <v>287</v>
      </c>
      <c r="E3757" s="4" t="str">
        <f t="shared" ref="E3757:E3786" si="319">HYPERLINK("https://diaocthongthai.com/ban-do-huyen-vinh-bao-tp-hai-phong/","Huyện Vĩnh Bảo")</f>
        <v>Huyện Vĩnh Bảo</v>
      </c>
      <c r="F3757" s="3" t="s">
        <v>4521</v>
      </c>
      <c r="G3757" s="4" t="str">
        <f>HYPERLINK("https://diaocthongthai.com/thi-tran-vinh-bao-vinh-bao/","Thị trấn Vĩnh Bảo")</f>
        <v>Thị trấn Vĩnh Bảo</v>
      </c>
    </row>
    <row r="3758" spans="1:7" x14ac:dyDescent="0.25">
      <c r="A3758" s="2">
        <v>3757</v>
      </c>
      <c r="B3758" s="3" t="s">
        <v>22</v>
      </c>
      <c r="C3758" s="4" t="str">
        <f t="shared" si="316"/>
        <v>Hải Phòng</v>
      </c>
      <c r="D3758" s="3" t="s">
        <v>287</v>
      </c>
      <c r="E3758" s="4" t="str">
        <f t="shared" si="319"/>
        <v>Huyện Vĩnh Bảo</v>
      </c>
      <c r="F3758" s="3" t="s">
        <v>4522</v>
      </c>
      <c r="G3758" s="4" t="str">
        <f>HYPERLINK("https://diaocthongthai.com/xa-dung-tien-vinh-bao/","Xã Dũng Tiến")</f>
        <v>Xã Dũng Tiến</v>
      </c>
    </row>
    <row r="3759" spans="1:7" x14ac:dyDescent="0.25">
      <c r="A3759" s="2">
        <v>3758</v>
      </c>
      <c r="B3759" s="3" t="s">
        <v>22</v>
      </c>
      <c r="C3759" s="4" t="str">
        <f t="shared" si="316"/>
        <v>Hải Phòng</v>
      </c>
      <c r="D3759" s="3" t="s">
        <v>287</v>
      </c>
      <c r="E3759" s="4" t="str">
        <f t="shared" si="319"/>
        <v>Huyện Vĩnh Bảo</v>
      </c>
      <c r="F3759" s="3" t="s">
        <v>4523</v>
      </c>
      <c r="G3759" s="4" t="str">
        <f>HYPERLINK("https://diaocthongthai.com/xa-giang-bien-vinh-bao/","Xã Giang Biên")</f>
        <v>Xã Giang Biên</v>
      </c>
    </row>
    <row r="3760" spans="1:7" x14ac:dyDescent="0.25">
      <c r="A3760" s="2">
        <v>3759</v>
      </c>
      <c r="B3760" s="3" t="s">
        <v>22</v>
      </c>
      <c r="C3760" s="4" t="str">
        <f t="shared" si="316"/>
        <v>Hải Phòng</v>
      </c>
      <c r="D3760" s="3" t="s">
        <v>287</v>
      </c>
      <c r="E3760" s="4" t="str">
        <f t="shared" si="319"/>
        <v>Huyện Vĩnh Bảo</v>
      </c>
      <c r="F3760" s="3" t="s">
        <v>4524</v>
      </c>
      <c r="G3760" s="4" t="str">
        <f>HYPERLINK("https://diaocthongthai.com/xa-thang-thuy-vinh-bao/","Xã Thắng Thuỷ")</f>
        <v>Xã Thắng Thuỷ</v>
      </c>
    </row>
    <row r="3761" spans="1:7" x14ac:dyDescent="0.25">
      <c r="A3761" s="2">
        <v>3760</v>
      </c>
      <c r="B3761" s="3" t="s">
        <v>22</v>
      </c>
      <c r="C3761" s="4" t="str">
        <f t="shared" si="316"/>
        <v>Hải Phòng</v>
      </c>
      <c r="D3761" s="3" t="s">
        <v>287</v>
      </c>
      <c r="E3761" s="4" t="str">
        <f t="shared" si="319"/>
        <v>Huyện Vĩnh Bảo</v>
      </c>
      <c r="F3761" s="3" t="s">
        <v>4525</v>
      </c>
      <c r="G3761" s="4" t="str">
        <f>HYPERLINK("https://diaocthongthai.com/xa-trung-lap-vinh-bao/","Xã Trung Lập")</f>
        <v>Xã Trung Lập</v>
      </c>
    </row>
    <row r="3762" spans="1:7" x14ac:dyDescent="0.25">
      <c r="A3762" s="2">
        <v>3761</v>
      </c>
      <c r="B3762" s="3" t="s">
        <v>22</v>
      </c>
      <c r="C3762" s="4" t="str">
        <f t="shared" si="316"/>
        <v>Hải Phòng</v>
      </c>
      <c r="D3762" s="3" t="s">
        <v>287</v>
      </c>
      <c r="E3762" s="4" t="str">
        <f t="shared" si="319"/>
        <v>Huyện Vĩnh Bảo</v>
      </c>
      <c r="F3762" s="3" t="s">
        <v>4526</v>
      </c>
      <c r="G3762" s="4" t="str">
        <f>HYPERLINK("https://diaocthongthai.com/xa-viet-tien-vinh-bao/","Xã Việt Tiến")</f>
        <v>Xã Việt Tiến</v>
      </c>
    </row>
    <row r="3763" spans="1:7" x14ac:dyDescent="0.25">
      <c r="A3763" s="2">
        <v>3762</v>
      </c>
      <c r="B3763" s="3" t="s">
        <v>22</v>
      </c>
      <c r="C3763" s="4" t="str">
        <f t="shared" si="316"/>
        <v>Hải Phòng</v>
      </c>
      <c r="D3763" s="3" t="s">
        <v>287</v>
      </c>
      <c r="E3763" s="4" t="str">
        <f t="shared" si="319"/>
        <v>Huyện Vĩnh Bảo</v>
      </c>
      <c r="F3763" s="3" t="s">
        <v>4527</v>
      </c>
      <c r="G3763" s="4" t="str">
        <f>HYPERLINK("https://diaocthongthai.com/xa-vinh-an-vinh-bao/","Xã Vĩnh An")</f>
        <v>Xã Vĩnh An</v>
      </c>
    </row>
    <row r="3764" spans="1:7" x14ac:dyDescent="0.25">
      <c r="A3764" s="2">
        <v>3763</v>
      </c>
      <c r="B3764" s="3" t="s">
        <v>22</v>
      </c>
      <c r="C3764" s="4" t="str">
        <f t="shared" si="316"/>
        <v>Hải Phòng</v>
      </c>
      <c r="D3764" s="3" t="s">
        <v>287</v>
      </c>
      <c r="E3764" s="4" t="str">
        <f t="shared" si="319"/>
        <v>Huyện Vĩnh Bảo</v>
      </c>
      <c r="F3764" s="3" t="s">
        <v>4528</v>
      </c>
      <c r="G3764" s="4" t="str">
        <f>HYPERLINK("https://diaocthongthai.com/xa-vinh-long-vinh-bao/","Xã Vĩnh Long")</f>
        <v>Xã Vĩnh Long</v>
      </c>
    </row>
    <row r="3765" spans="1:7" x14ac:dyDescent="0.25">
      <c r="A3765" s="2">
        <v>3764</v>
      </c>
      <c r="B3765" s="3" t="s">
        <v>22</v>
      </c>
      <c r="C3765" s="4" t="str">
        <f t="shared" si="316"/>
        <v>Hải Phòng</v>
      </c>
      <c r="D3765" s="3" t="s">
        <v>287</v>
      </c>
      <c r="E3765" s="4" t="str">
        <f t="shared" si="319"/>
        <v>Huyện Vĩnh Bảo</v>
      </c>
      <c r="F3765" s="3" t="s">
        <v>4529</v>
      </c>
      <c r="G3765" s="4" t="str">
        <f>HYPERLINK("https://diaocthongthai.com/xa-hiep-hoa-vinh-bao/","Xã Hiệp Hoà")</f>
        <v>Xã Hiệp Hoà</v>
      </c>
    </row>
    <row r="3766" spans="1:7" x14ac:dyDescent="0.25">
      <c r="A3766" s="2">
        <v>3765</v>
      </c>
      <c r="B3766" s="3" t="s">
        <v>22</v>
      </c>
      <c r="C3766" s="4" t="str">
        <f t="shared" si="316"/>
        <v>Hải Phòng</v>
      </c>
      <c r="D3766" s="3" t="s">
        <v>287</v>
      </c>
      <c r="E3766" s="4" t="str">
        <f t="shared" si="319"/>
        <v>Huyện Vĩnh Bảo</v>
      </c>
      <c r="F3766" s="3" t="s">
        <v>4530</v>
      </c>
      <c r="G3766" s="4" t="str">
        <f>HYPERLINK("https://diaocthongthai.com/xa-hung-tien-vinh-bao/","Xã Hùng Tiến")</f>
        <v>Xã Hùng Tiến</v>
      </c>
    </row>
    <row r="3767" spans="1:7" x14ac:dyDescent="0.25">
      <c r="A3767" s="2">
        <v>3766</v>
      </c>
      <c r="B3767" s="3" t="s">
        <v>22</v>
      </c>
      <c r="C3767" s="4" t="str">
        <f t="shared" si="316"/>
        <v>Hải Phòng</v>
      </c>
      <c r="D3767" s="3" t="s">
        <v>287</v>
      </c>
      <c r="E3767" s="4" t="str">
        <f t="shared" si="319"/>
        <v>Huyện Vĩnh Bảo</v>
      </c>
      <c r="F3767" s="3" t="s">
        <v>4531</v>
      </c>
      <c r="G3767" s="4" t="str">
        <f>HYPERLINK("https://diaocthongthai.com/xa-an-hoa-vinh-bao/","Xã An Hoà")</f>
        <v>Xã An Hoà</v>
      </c>
    </row>
    <row r="3768" spans="1:7" x14ac:dyDescent="0.25">
      <c r="A3768" s="2">
        <v>3767</v>
      </c>
      <c r="B3768" s="3" t="s">
        <v>22</v>
      </c>
      <c r="C3768" s="4" t="str">
        <f t="shared" si="316"/>
        <v>Hải Phòng</v>
      </c>
      <c r="D3768" s="3" t="s">
        <v>287</v>
      </c>
      <c r="E3768" s="4" t="str">
        <f t="shared" si="319"/>
        <v>Huyện Vĩnh Bảo</v>
      </c>
      <c r="F3768" s="3" t="s">
        <v>4532</v>
      </c>
      <c r="G3768" s="4" t="str">
        <f>HYPERLINK("https://diaocthongthai.com/xa-tan-hung-vinh-bao/","Xã Tân Hưng")</f>
        <v>Xã Tân Hưng</v>
      </c>
    </row>
    <row r="3769" spans="1:7" x14ac:dyDescent="0.25">
      <c r="A3769" s="2">
        <v>3768</v>
      </c>
      <c r="B3769" s="3" t="s">
        <v>22</v>
      </c>
      <c r="C3769" s="4" t="str">
        <f t="shared" si="316"/>
        <v>Hải Phòng</v>
      </c>
      <c r="D3769" s="3" t="s">
        <v>287</v>
      </c>
      <c r="E3769" s="4" t="str">
        <f t="shared" si="319"/>
        <v>Huyện Vĩnh Bảo</v>
      </c>
      <c r="F3769" s="3" t="s">
        <v>4533</v>
      </c>
      <c r="G3769" s="4" t="str">
        <f>HYPERLINK("https://diaocthongthai.com/xa-tan-lien-vinh-bao/","Xã Tân Liên")</f>
        <v>Xã Tân Liên</v>
      </c>
    </row>
    <row r="3770" spans="1:7" x14ac:dyDescent="0.25">
      <c r="A3770" s="2">
        <v>3769</v>
      </c>
      <c r="B3770" s="3" t="s">
        <v>22</v>
      </c>
      <c r="C3770" s="4" t="str">
        <f t="shared" si="316"/>
        <v>Hải Phòng</v>
      </c>
      <c r="D3770" s="3" t="s">
        <v>287</v>
      </c>
      <c r="E3770" s="4" t="str">
        <f t="shared" si="319"/>
        <v>Huyện Vĩnh Bảo</v>
      </c>
      <c r="F3770" s="3" t="s">
        <v>4534</v>
      </c>
      <c r="G3770" s="4" t="str">
        <f>HYPERLINK("https://diaocthongthai.com/xa-nhan-hoa-vinh-bao/","Xã Nhân Hoà")</f>
        <v>Xã Nhân Hoà</v>
      </c>
    </row>
    <row r="3771" spans="1:7" x14ac:dyDescent="0.25">
      <c r="A3771" s="2">
        <v>3770</v>
      </c>
      <c r="B3771" s="3" t="s">
        <v>22</v>
      </c>
      <c r="C3771" s="4" t="str">
        <f t="shared" si="316"/>
        <v>Hải Phòng</v>
      </c>
      <c r="D3771" s="3" t="s">
        <v>287</v>
      </c>
      <c r="E3771" s="4" t="str">
        <f t="shared" si="319"/>
        <v>Huyện Vĩnh Bảo</v>
      </c>
      <c r="F3771" s="3" t="s">
        <v>4535</v>
      </c>
      <c r="G3771" s="4" t="str">
        <f>HYPERLINK("https://diaocthongthai.com/xa-tam-da-vinh-bao/","Xã Tam Đa")</f>
        <v>Xã Tam Đa</v>
      </c>
    </row>
    <row r="3772" spans="1:7" x14ac:dyDescent="0.25">
      <c r="A3772" s="2">
        <v>3771</v>
      </c>
      <c r="B3772" s="3" t="s">
        <v>22</v>
      </c>
      <c r="C3772" s="4" t="str">
        <f t="shared" si="316"/>
        <v>Hải Phòng</v>
      </c>
      <c r="D3772" s="3" t="s">
        <v>287</v>
      </c>
      <c r="E3772" s="4" t="str">
        <f t="shared" si="319"/>
        <v>Huyện Vĩnh Bảo</v>
      </c>
      <c r="F3772" s="3" t="s">
        <v>4536</v>
      </c>
      <c r="G3772" s="4" t="str">
        <f>HYPERLINK("https://diaocthongthai.com/xa-hung-nhan-vinh-bao/","Xã Hưng Nhân")</f>
        <v>Xã Hưng Nhân</v>
      </c>
    </row>
    <row r="3773" spans="1:7" x14ac:dyDescent="0.25">
      <c r="A3773" s="2">
        <v>3772</v>
      </c>
      <c r="B3773" s="3" t="s">
        <v>22</v>
      </c>
      <c r="C3773" s="4" t="str">
        <f t="shared" si="316"/>
        <v>Hải Phòng</v>
      </c>
      <c r="D3773" s="3" t="s">
        <v>287</v>
      </c>
      <c r="E3773" s="4" t="str">
        <f t="shared" si="319"/>
        <v>Huyện Vĩnh Bảo</v>
      </c>
      <c r="F3773" s="3" t="s">
        <v>4537</v>
      </c>
      <c r="G3773" s="4" t="str">
        <f>HYPERLINK("https://diaocthongthai.com/xa-vinh-quang-vinh-bao/","Xã Vinh Quang")</f>
        <v>Xã Vinh Quang</v>
      </c>
    </row>
    <row r="3774" spans="1:7" x14ac:dyDescent="0.25">
      <c r="A3774" s="2">
        <v>3773</v>
      </c>
      <c r="B3774" s="3" t="s">
        <v>22</v>
      </c>
      <c r="C3774" s="4" t="str">
        <f t="shared" ref="C3774:C3799" si="320">HYPERLINK("https://diaocthongthai.com/ban-do-hai-phong/","Hải Phòng")</f>
        <v>Hải Phòng</v>
      </c>
      <c r="D3774" s="3" t="s">
        <v>287</v>
      </c>
      <c r="E3774" s="4" t="str">
        <f t="shared" si="319"/>
        <v>Huyện Vĩnh Bảo</v>
      </c>
      <c r="F3774" s="3" t="s">
        <v>4538</v>
      </c>
      <c r="G3774" s="4" t="str">
        <f>HYPERLINK("https://diaocthongthai.com/xa-dong-minh-vinh-bao/","Xã Đồng Minh")</f>
        <v>Xã Đồng Minh</v>
      </c>
    </row>
    <row r="3775" spans="1:7" x14ac:dyDescent="0.25">
      <c r="A3775" s="2">
        <v>3774</v>
      </c>
      <c r="B3775" s="3" t="s">
        <v>22</v>
      </c>
      <c r="C3775" s="4" t="str">
        <f t="shared" si="320"/>
        <v>Hải Phòng</v>
      </c>
      <c r="D3775" s="3" t="s">
        <v>287</v>
      </c>
      <c r="E3775" s="4" t="str">
        <f t="shared" si="319"/>
        <v>Huyện Vĩnh Bảo</v>
      </c>
      <c r="F3775" s="3" t="s">
        <v>4539</v>
      </c>
      <c r="G3775" s="4" t="str">
        <f>HYPERLINK("https://diaocthongthai.com/xa-thanh-luong-vinh-bao/","Xã Thanh Lương")</f>
        <v>Xã Thanh Lương</v>
      </c>
    </row>
    <row r="3776" spans="1:7" x14ac:dyDescent="0.25">
      <c r="A3776" s="2">
        <v>3775</v>
      </c>
      <c r="B3776" s="3" t="s">
        <v>22</v>
      </c>
      <c r="C3776" s="4" t="str">
        <f t="shared" si="320"/>
        <v>Hải Phòng</v>
      </c>
      <c r="D3776" s="3" t="s">
        <v>287</v>
      </c>
      <c r="E3776" s="4" t="str">
        <f t="shared" si="319"/>
        <v>Huyện Vĩnh Bảo</v>
      </c>
      <c r="F3776" s="3" t="s">
        <v>4540</v>
      </c>
      <c r="G3776" s="4" t="str">
        <f>HYPERLINK("https://diaocthongthai.com/xa-lien-am-vinh-bao/","Xã Liên Am")</f>
        <v>Xã Liên Am</v>
      </c>
    </row>
    <row r="3777" spans="1:7" x14ac:dyDescent="0.25">
      <c r="A3777" s="2">
        <v>3776</v>
      </c>
      <c r="B3777" s="3" t="s">
        <v>22</v>
      </c>
      <c r="C3777" s="4" t="str">
        <f t="shared" si="320"/>
        <v>Hải Phòng</v>
      </c>
      <c r="D3777" s="3" t="s">
        <v>287</v>
      </c>
      <c r="E3777" s="4" t="str">
        <f t="shared" si="319"/>
        <v>Huyện Vĩnh Bảo</v>
      </c>
      <c r="F3777" s="3" t="s">
        <v>4541</v>
      </c>
      <c r="G3777" s="4" t="str">
        <f>HYPERLINK("https://diaocthongthai.com/xa-ly-hoc-vinh-bao/","Xã Lý Học")</f>
        <v>Xã Lý Học</v>
      </c>
    </row>
    <row r="3778" spans="1:7" x14ac:dyDescent="0.25">
      <c r="A3778" s="2">
        <v>3777</v>
      </c>
      <c r="B3778" s="3" t="s">
        <v>22</v>
      </c>
      <c r="C3778" s="4" t="str">
        <f t="shared" si="320"/>
        <v>Hải Phòng</v>
      </c>
      <c r="D3778" s="3" t="s">
        <v>287</v>
      </c>
      <c r="E3778" s="4" t="str">
        <f t="shared" si="319"/>
        <v>Huyện Vĩnh Bảo</v>
      </c>
      <c r="F3778" s="3" t="s">
        <v>4542</v>
      </c>
      <c r="G3778" s="4" t="str">
        <f>HYPERLINK("https://diaocthongthai.com/xa-tam-cuong-vinh-bao/","Xã Tam Cường")</f>
        <v>Xã Tam Cường</v>
      </c>
    </row>
    <row r="3779" spans="1:7" x14ac:dyDescent="0.25">
      <c r="A3779" s="2">
        <v>3778</v>
      </c>
      <c r="B3779" s="3" t="s">
        <v>22</v>
      </c>
      <c r="C3779" s="4" t="str">
        <f t="shared" si="320"/>
        <v>Hải Phòng</v>
      </c>
      <c r="D3779" s="3" t="s">
        <v>287</v>
      </c>
      <c r="E3779" s="4" t="str">
        <f t="shared" si="319"/>
        <v>Huyện Vĩnh Bảo</v>
      </c>
      <c r="F3779" s="3" t="s">
        <v>4543</v>
      </c>
      <c r="G3779" s="4" t="str">
        <f>HYPERLINK("https://diaocthongthai.com/xa-hoa-binh-vinh-bao/","Xã Hoà Bình")</f>
        <v>Xã Hoà Bình</v>
      </c>
    </row>
    <row r="3780" spans="1:7" x14ac:dyDescent="0.25">
      <c r="A3780" s="2">
        <v>3779</v>
      </c>
      <c r="B3780" s="3" t="s">
        <v>22</v>
      </c>
      <c r="C3780" s="4" t="str">
        <f t="shared" si="320"/>
        <v>Hải Phòng</v>
      </c>
      <c r="D3780" s="3" t="s">
        <v>287</v>
      </c>
      <c r="E3780" s="4" t="str">
        <f t="shared" si="319"/>
        <v>Huyện Vĩnh Bảo</v>
      </c>
      <c r="F3780" s="3" t="s">
        <v>4544</v>
      </c>
      <c r="G3780" s="4" t="str">
        <f>HYPERLINK("https://diaocthongthai.com/xa-tien-phong-vinh-bao/","Xã Tiền Phong")</f>
        <v>Xã Tiền Phong</v>
      </c>
    </row>
    <row r="3781" spans="1:7" x14ac:dyDescent="0.25">
      <c r="A3781" s="2">
        <v>3780</v>
      </c>
      <c r="B3781" s="3" t="s">
        <v>22</v>
      </c>
      <c r="C3781" s="4" t="str">
        <f t="shared" si="320"/>
        <v>Hải Phòng</v>
      </c>
      <c r="D3781" s="3" t="s">
        <v>287</v>
      </c>
      <c r="E3781" s="4" t="str">
        <f t="shared" si="319"/>
        <v>Huyện Vĩnh Bảo</v>
      </c>
      <c r="F3781" s="3" t="s">
        <v>4545</v>
      </c>
      <c r="G3781" s="4" t="str">
        <f>HYPERLINK("https://diaocthongthai.com/xa-vinh-phong-vinh-bao/","Xã Vĩnh Phong")</f>
        <v>Xã Vĩnh Phong</v>
      </c>
    </row>
    <row r="3782" spans="1:7" x14ac:dyDescent="0.25">
      <c r="A3782" s="2">
        <v>3781</v>
      </c>
      <c r="B3782" s="3" t="s">
        <v>22</v>
      </c>
      <c r="C3782" s="4" t="str">
        <f t="shared" si="320"/>
        <v>Hải Phòng</v>
      </c>
      <c r="D3782" s="3" t="s">
        <v>287</v>
      </c>
      <c r="E3782" s="4" t="str">
        <f t="shared" si="319"/>
        <v>Huyện Vĩnh Bảo</v>
      </c>
      <c r="F3782" s="3" t="s">
        <v>4546</v>
      </c>
      <c r="G3782" s="4" t="str">
        <f>HYPERLINK("https://diaocthongthai.com/xa-cong-hien-vinh-bao/","Xã Cộng Hiền")</f>
        <v>Xã Cộng Hiền</v>
      </c>
    </row>
    <row r="3783" spans="1:7" x14ac:dyDescent="0.25">
      <c r="A3783" s="2">
        <v>3782</v>
      </c>
      <c r="B3783" s="3" t="s">
        <v>22</v>
      </c>
      <c r="C3783" s="4" t="str">
        <f t="shared" si="320"/>
        <v>Hải Phòng</v>
      </c>
      <c r="D3783" s="3" t="s">
        <v>287</v>
      </c>
      <c r="E3783" s="4" t="str">
        <f t="shared" si="319"/>
        <v>Huyện Vĩnh Bảo</v>
      </c>
      <c r="F3783" s="3" t="s">
        <v>4547</v>
      </c>
      <c r="G3783" s="4" t="str">
        <f>HYPERLINK("https://diaocthongthai.com/xa-cao-minh-vinh-bao/","Xã Cao Minh")</f>
        <v>Xã Cao Minh</v>
      </c>
    </row>
    <row r="3784" spans="1:7" x14ac:dyDescent="0.25">
      <c r="A3784" s="2">
        <v>3783</v>
      </c>
      <c r="B3784" s="3" t="s">
        <v>22</v>
      </c>
      <c r="C3784" s="4" t="str">
        <f t="shared" si="320"/>
        <v>Hải Phòng</v>
      </c>
      <c r="D3784" s="3" t="s">
        <v>287</v>
      </c>
      <c r="E3784" s="4" t="str">
        <f t="shared" si="319"/>
        <v>Huyện Vĩnh Bảo</v>
      </c>
      <c r="F3784" s="3" t="s">
        <v>4548</v>
      </c>
      <c r="G3784" s="4" t="str">
        <f>HYPERLINK("https://diaocthongthai.com/xa-co-am-vinh-bao/","Xã Cổ Am")</f>
        <v>Xã Cổ Am</v>
      </c>
    </row>
    <row r="3785" spans="1:7" x14ac:dyDescent="0.25">
      <c r="A3785" s="2">
        <v>3784</v>
      </c>
      <c r="B3785" s="3" t="s">
        <v>22</v>
      </c>
      <c r="C3785" s="4" t="str">
        <f t="shared" si="320"/>
        <v>Hải Phòng</v>
      </c>
      <c r="D3785" s="3" t="s">
        <v>287</v>
      </c>
      <c r="E3785" s="4" t="str">
        <f t="shared" si="319"/>
        <v>Huyện Vĩnh Bảo</v>
      </c>
      <c r="F3785" s="3" t="s">
        <v>4549</v>
      </c>
      <c r="G3785" s="4" t="str">
        <f>HYPERLINK("https://diaocthongthai.com/xa-vinh-tien-vinh-bao/","Xã Vĩnh Tiến")</f>
        <v>Xã Vĩnh Tiến</v>
      </c>
    </row>
    <row r="3786" spans="1:7" x14ac:dyDescent="0.25">
      <c r="A3786" s="2">
        <v>3785</v>
      </c>
      <c r="B3786" s="3" t="s">
        <v>22</v>
      </c>
      <c r="C3786" s="4" t="str">
        <f t="shared" si="320"/>
        <v>Hải Phòng</v>
      </c>
      <c r="D3786" s="3" t="s">
        <v>287</v>
      </c>
      <c r="E3786" s="4" t="str">
        <f t="shared" si="319"/>
        <v>Huyện Vĩnh Bảo</v>
      </c>
      <c r="F3786" s="3" t="s">
        <v>4550</v>
      </c>
      <c r="G3786" s="4" t="str">
        <f>HYPERLINK("https://diaocthongthai.com/xa-tran-duong-vinh-bao/","Xã Trấn Dương")</f>
        <v>Xã Trấn Dương</v>
      </c>
    </row>
    <row r="3787" spans="1:7" x14ac:dyDescent="0.25">
      <c r="A3787" s="2">
        <v>3786</v>
      </c>
      <c r="B3787" s="3" t="s">
        <v>22</v>
      </c>
      <c r="C3787" s="4" t="str">
        <f t="shared" si="320"/>
        <v>Hải Phòng</v>
      </c>
      <c r="D3787" s="3" t="s">
        <v>288</v>
      </c>
      <c r="E3787" s="4" t="str">
        <f t="shared" ref="E3787:E3798" si="321">HYPERLINK("https://diaocthongthai.com/ban-do-huyen-cat-hai-tp-hai-phong/","Huyện Cát Hải")</f>
        <v>Huyện Cát Hải</v>
      </c>
      <c r="F3787" s="3" t="s">
        <v>4551</v>
      </c>
      <c r="G3787" s="4" t="str">
        <f>HYPERLINK("https://diaocthongthai.com/thi-tran-cat-ba-cat-hai/","Thị trấn Cát Bà")</f>
        <v>Thị trấn Cát Bà</v>
      </c>
    </row>
    <row r="3788" spans="1:7" x14ac:dyDescent="0.25">
      <c r="A3788" s="2">
        <v>3787</v>
      </c>
      <c r="B3788" s="3" t="s">
        <v>22</v>
      </c>
      <c r="C3788" s="4" t="str">
        <f t="shared" si="320"/>
        <v>Hải Phòng</v>
      </c>
      <c r="D3788" s="3" t="s">
        <v>288</v>
      </c>
      <c r="E3788" s="4" t="str">
        <f t="shared" si="321"/>
        <v>Huyện Cát Hải</v>
      </c>
      <c r="F3788" s="3" t="s">
        <v>4552</v>
      </c>
      <c r="G3788" s="4" t="str">
        <f>HYPERLINK("https://diaocthongthai.com/thi-tran-cat-hai-cat-hai/","Thị trấn Cát Hải")</f>
        <v>Thị trấn Cát Hải</v>
      </c>
    </row>
    <row r="3789" spans="1:7" x14ac:dyDescent="0.25">
      <c r="A3789" s="2">
        <v>3788</v>
      </c>
      <c r="B3789" s="3" t="s">
        <v>22</v>
      </c>
      <c r="C3789" s="4" t="str">
        <f t="shared" si="320"/>
        <v>Hải Phòng</v>
      </c>
      <c r="D3789" s="3" t="s">
        <v>288</v>
      </c>
      <c r="E3789" s="4" t="str">
        <f t="shared" si="321"/>
        <v>Huyện Cát Hải</v>
      </c>
      <c r="F3789" s="3" t="s">
        <v>4553</v>
      </c>
      <c r="G3789" s="4" t="str">
        <f>HYPERLINK("https://diaocthongthai.com/xa-nghia-lo-cat-hai/","Xã Nghĩa Lộ")</f>
        <v>Xã Nghĩa Lộ</v>
      </c>
    </row>
    <row r="3790" spans="1:7" x14ac:dyDescent="0.25">
      <c r="A3790" s="2">
        <v>3789</v>
      </c>
      <c r="B3790" s="3" t="s">
        <v>22</v>
      </c>
      <c r="C3790" s="4" t="str">
        <f t="shared" si="320"/>
        <v>Hải Phòng</v>
      </c>
      <c r="D3790" s="3" t="s">
        <v>288</v>
      </c>
      <c r="E3790" s="4" t="str">
        <f t="shared" si="321"/>
        <v>Huyện Cát Hải</v>
      </c>
      <c r="F3790" s="3" t="s">
        <v>4554</v>
      </c>
      <c r="G3790" s="4" t="str">
        <f>HYPERLINK("https://diaocthongthai.com/xa-dong-bai-cat-hai/","Xã Đồng Bài")</f>
        <v>Xã Đồng Bài</v>
      </c>
    </row>
    <row r="3791" spans="1:7" x14ac:dyDescent="0.25">
      <c r="A3791" s="2">
        <v>3790</v>
      </c>
      <c r="B3791" s="3" t="s">
        <v>22</v>
      </c>
      <c r="C3791" s="4" t="str">
        <f t="shared" si="320"/>
        <v>Hải Phòng</v>
      </c>
      <c r="D3791" s="3" t="s">
        <v>288</v>
      </c>
      <c r="E3791" s="4" t="str">
        <f t="shared" si="321"/>
        <v>Huyện Cát Hải</v>
      </c>
      <c r="F3791" s="3" t="s">
        <v>4555</v>
      </c>
      <c r="G3791" s="4" t="str">
        <f>HYPERLINK("https://diaocthongthai.com/xa-hoang-chau-cat-hai/","Xã Hoàng Châu")</f>
        <v>Xã Hoàng Châu</v>
      </c>
    </row>
    <row r="3792" spans="1:7" x14ac:dyDescent="0.25">
      <c r="A3792" s="2">
        <v>3791</v>
      </c>
      <c r="B3792" s="3" t="s">
        <v>22</v>
      </c>
      <c r="C3792" s="4" t="str">
        <f t="shared" si="320"/>
        <v>Hải Phòng</v>
      </c>
      <c r="D3792" s="3" t="s">
        <v>288</v>
      </c>
      <c r="E3792" s="4" t="str">
        <f t="shared" si="321"/>
        <v>Huyện Cát Hải</v>
      </c>
      <c r="F3792" s="3" t="s">
        <v>4556</v>
      </c>
      <c r="G3792" s="4" t="str">
        <f>HYPERLINK("https://diaocthongthai.com/xa-van-phong-cat-hai/","Xã Văn Phong")</f>
        <v>Xã Văn Phong</v>
      </c>
    </row>
    <row r="3793" spans="1:7" x14ac:dyDescent="0.25">
      <c r="A3793" s="2">
        <v>3792</v>
      </c>
      <c r="B3793" s="3" t="s">
        <v>22</v>
      </c>
      <c r="C3793" s="4" t="str">
        <f t="shared" si="320"/>
        <v>Hải Phòng</v>
      </c>
      <c r="D3793" s="3" t="s">
        <v>288</v>
      </c>
      <c r="E3793" s="4" t="str">
        <f t="shared" si="321"/>
        <v>Huyện Cát Hải</v>
      </c>
      <c r="F3793" s="3" t="s">
        <v>4557</v>
      </c>
      <c r="G3793" s="4" t="str">
        <f>HYPERLINK("https://diaocthongthai.com/xa-phu-long-cat-hai/","Xã Phù Long")</f>
        <v>Xã Phù Long</v>
      </c>
    </row>
    <row r="3794" spans="1:7" x14ac:dyDescent="0.25">
      <c r="A3794" s="2">
        <v>3793</v>
      </c>
      <c r="B3794" s="3" t="s">
        <v>22</v>
      </c>
      <c r="C3794" s="4" t="str">
        <f t="shared" si="320"/>
        <v>Hải Phòng</v>
      </c>
      <c r="D3794" s="3" t="s">
        <v>288</v>
      </c>
      <c r="E3794" s="4" t="str">
        <f t="shared" si="321"/>
        <v>Huyện Cát Hải</v>
      </c>
      <c r="F3794" s="3" t="s">
        <v>4558</v>
      </c>
      <c r="G3794" s="4" t="str">
        <f>HYPERLINK("https://diaocthongthai.com/xa-gia-luan-cat-hai/","Xã Gia Luận")</f>
        <v>Xã Gia Luận</v>
      </c>
    </row>
    <row r="3795" spans="1:7" x14ac:dyDescent="0.25">
      <c r="A3795" s="2">
        <v>3794</v>
      </c>
      <c r="B3795" s="3" t="s">
        <v>22</v>
      </c>
      <c r="C3795" s="4" t="str">
        <f t="shared" si="320"/>
        <v>Hải Phòng</v>
      </c>
      <c r="D3795" s="3" t="s">
        <v>288</v>
      </c>
      <c r="E3795" s="4" t="str">
        <f t="shared" si="321"/>
        <v>Huyện Cát Hải</v>
      </c>
      <c r="F3795" s="3" t="s">
        <v>4559</v>
      </c>
      <c r="G3795" s="4" t="str">
        <f>HYPERLINK("https://diaocthongthai.com/xa-hien-hao-cat-hai/","Xã Hiền Hào")</f>
        <v>Xã Hiền Hào</v>
      </c>
    </row>
    <row r="3796" spans="1:7" x14ac:dyDescent="0.25">
      <c r="A3796" s="2">
        <v>3795</v>
      </c>
      <c r="B3796" s="3" t="s">
        <v>22</v>
      </c>
      <c r="C3796" s="4" t="str">
        <f t="shared" si="320"/>
        <v>Hải Phòng</v>
      </c>
      <c r="D3796" s="3" t="s">
        <v>288</v>
      </c>
      <c r="E3796" s="4" t="str">
        <f t="shared" si="321"/>
        <v>Huyện Cát Hải</v>
      </c>
      <c r="F3796" s="3" t="s">
        <v>4560</v>
      </c>
      <c r="G3796" s="4" t="str">
        <f>HYPERLINK("https://diaocthongthai.com/xa-tran-chau-cat-hai/","Xã Trân Châu")</f>
        <v>Xã Trân Châu</v>
      </c>
    </row>
    <row r="3797" spans="1:7" x14ac:dyDescent="0.25">
      <c r="A3797" s="2">
        <v>3796</v>
      </c>
      <c r="B3797" s="3" t="s">
        <v>22</v>
      </c>
      <c r="C3797" s="4" t="str">
        <f t="shared" si="320"/>
        <v>Hải Phòng</v>
      </c>
      <c r="D3797" s="3" t="s">
        <v>288</v>
      </c>
      <c r="E3797" s="4" t="str">
        <f t="shared" si="321"/>
        <v>Huyện Cát Hải</v>
      </c>
      <c r="F3797" s="3" t="s">
        <v>4561</v>
      </c>
      <c r="G3797" s="4" t="str">
        <f>HYPERLINK("https://diaocthongthai.com/xa-viet-hai-cat-hai/","Xã Việt Hải")</f>
        <v>Xã Việt Hải</v>
      </c>
    </row>
    <row r="3798" spans="1:7" x14ac:dyDescent="0.25">
      <c r="A3798" s="2">
        <v>3797</v>
      </c>
      <c r="B3798" s="3" t="s">
        <v>22</v>
      </c>
      <c r="C3798" s="4" t="str">
        <f t="shared" si="320"/>
        <v>Hải Phòng</v>
      </c>
      <c r="D3798" s="3" t="s">
        <v>288</v>
      </c>
      <c r="E3798" s="4" t="str">
        <f t="shared" si="321"/>
        <v>Huyện Cát Hải</v>
      </c>
      <c r="F3798" s="3" t="s">
        <v>4562</v>
      </c>
      <c r="G3798" s="4" t="str">
        <f>HYPERLINK("https://diaocthongthai.com/xa-xuan-dam-cat-hai/","Xã Xuân Đám")</f>
        <v>Xã Xuân Đám</v>
      </c>
    </row>
    <row r="3799" spans="1:7" x14ac:dyDescent="0.25">
      <c r="A3799" s="2">
        <v>3798</v>
      </c>
      <c r="B3799" s="3" t="s">
        <v>22</v>
      </c>
      <c r="C3799" s="4" t="str">
        <f t="shared" si="320"/>
        <v>Hải Phòng</v>
      </c>
      <c r="D3799" s="3">
        <v>318</v>
      </c>
      <c r="E3799" s="4" t="str">
        <f>HYPERLINK("https://diaocthongthai.com/ban-do-dao-bach-long-vi-tp-hai-phong/","Huyện Bạch Long Vỹ")</f>
        <v>Huyện Bạch Long Vỹ</v>
      </c>
      <c r="G3799" s="4" t="str">
        <f>HYPERLINK("https://diaocthongthai.com/ban-do-dao-bach-long-vi-tp-hai-phong/","Không phân chia đơn vị hành chính cấp xã")</f>
        <v>Không phân chia đơn vị hành chính cấp xã</v>
      </c>
    </row>
    <row r="3800" spans="1:7" x14ac:dyDescent="0.25">
      <c r="A3800" s="2">
        <v>3799</v>
      </c>
      <c r="B3800" s="3" t="s">
        <v>23</v>
      </c>
      <c r="C3800" s="4" t="str">
        <f t="shared" ref="C3800:C3831" si="322">HYPERLINK("https://diaocthongthai.com/ban-do-hung-yen/","Hưng Yên")</f>
        <v>Hưng Yên</v>
      </c>
      <c r="D3800" s="3" t="s">
        <v>289</v>
      </c>
      <c r="E3800" s="4" t="str">
        <f t="shared" ref="E3800:E3816" si="323">HYPERLINK("https://diaocthongthai.com/ban-do-tp-hung-yen-hung-yen/","Thành phố Hưng Yên")</f>
        <v>Thành phố Hưng Yên</v>
      </c>
      <c r="F3800" s="3" t="s">
        <v>4563</v>
      </c>
      <c r="G3800" s="4" t="str">
        <f>HYPERLINK("https://diaocthongthai.com/phuong-lam-son-tp-hung-yen/","Phường Lam Sơn")</f>
        <v>Phường Lam Sơn</v>
      </c>
    </row>
    <row r="3801" spans="1:7" x14ac:dyDescent="0.25">
      <c r="A3801" s="2">
        <v>3800</v>
      </c>
      <c r="B3801" s="3" t="s">
        <v>23</v>
      </c>
      <c r="C3801" s="4" t="str">
        <f t="shared" si="322"/>
        <v>Hưng Yên</v>
      </c>
      <c r="D3801" s="3" t="s">
        <v>289</v>
      </c>
      <c r="E3801" s="4" t="str">
        <f t="shared" si="323"/>
        <v>Thành phố Hưng Yên</v>
      </c>
      <c r="F3801" s="3" t="s">
        <v>4564</v>
      </c>
      <c r="G3801" s="4" t="str">
        <f>HYPERLINK("https://diaocthongthai.com/phuong-hien-nam-tp-hung-yen/","Phường Hiến Nam")</f>
        <v>Phường Hiến Nam</v>
      </c>
    </row>
    <row r="3802" spans="1:7" x14ac:dyDescent="0.25">
      <c r="A3802" s="2">
        <v>3801</v>
      </c>
      <c r="B3802" s="3" t="s">
        <v>23</v>
      </c>
      <c r="C3802" s="4" t="str">
        <f t="shared" si="322"/>
        <v>Hưng Yên</v>
      </c>
      <c r="D3802" s="3" t="s">
        <v>289</v>
      </c>
      <c r="E3802" s="4" t="str">
        <f t="shared" si="323"/>
        <v>Thành phố Hưng Yên</v>
      </c>
      <c r="F3802" s="3" t="s">
        <v>4565</v>
      </c>
      <c r="G3802" s="4" t="str">
        <f>HYPERLINK("https://diaocthongthai.com/phuong-an-tao-tp-hung-yen/","Phường An Tảo")</f>
        <v>Phường An Tảo</v>
      </c>
    </row>
    <row r="3803" spans="1:7" x14ac:dyDescent="0.25">
      <c r="A3803" s="2">
        <v>3802</v>
      </c>
      <c r="B3803" s="3" t="s">
        <v>23</v>
      </c>
      <c r="C3803" s="4" t="str">
        <f t="shared" si="322"/>
        <v>Hưng Yên</v>
      </c>
      <c r="D3803" s="3" t="s">
        <v>289</v>
      </c>
      <c r="E3803" s="4" t="str">
        <f t="shared" si="323"/>
        <v>Thành phố Hưng Yên</v>
      </c>
      <c r="F3803" s="3" t="s">
        <v>4566</v>
      </c>
      <c r="G3803" s="4" t="str">
        <f>HYPERLINK("https://diaocthongthai.com/phuong-le-loi-tp-hung-yen/","Phường Lê Lợi")</f>
        <v>Phường Lê Lợi</v>
      </c>
    </row>
    <row r="3804" spans="1:7" x14ac:dyDescent="0.25">
      <c r="A3804" s="2">
        <v>3803</v>
      </c>
      <c r="B3804" s="3" t="s">
        <v>23</v>
      </c>
      <c r="C3804" s="4" t="str">
        <f t="shared" si="322"/>
        <v>Hưng Yên</v>
      </c>
      <c r="D3804" s="3" t="s">
        <v>289</v>
      </c>
      <c r="E3804" s="4" t="str">
        <f t="shared" si="323"/>
        <v>Thành phố Hưng Yên</v>
      </c>
      <c r="F3804" s="3" t="s">
        <v>4567</v>
      </c>
      <c r="G3804" s="4" t="str">
        <f>HYPERLINK("https://diaocthongthai.com/phuong-minh-khai-tp-hung-yen/","Phường Minh Khai")</f>
        <v>Phường Minh Khai</v>
      </c>
    </row>
    <row r="3805" spans="1:7" x14ac:dyDescent="0.25">
      <c r="A3805" s="2">
        <v>3804</v>
      </c>
      <c r="B3805" s="3" t="s">
        <v>23</v>
      </c>
      <c r="C3805" s="4" t="str">
        <f t="shared" si="322"/>
        <v>Hưng Yên</v>
      </c>
      <c r="D3805" s="3" t="s">
        <v>289</v>
      </c>
      <c r="E3805" s="4" t="str">
        <f t="shared" si="323"/>
        <v>Thành phố Hưng Yên</v>
      </c>
      <c r="F3805" s="3" t="s">
        <v>4568</v>
      </c>
      <c r="G3805" s="4" t="str">
        <f>HYPERLINK("https://diaocthongthai.com/phuong-quang-trung-tp-hung-yen/","Phường Quang Trung")</f>
        <v>Phường Quang Trung</v>
      </c>
    </row>
    <row r="3806" spans="1:7" x14ac:dyDescent="0.25">
      <c r="A3806" s="2">
        <v>3805</v>
      </c>
      <c r="B3806" s="3" t="s">
        <v>23</v>
      </c>
      <c r="C3806" s="4" t="str">
        <f t="shared" si="322"/>
        <v>Hưng Yên</v>
      </c>
      <c r="D3806" s="3" t="s">
        <v>289</v>
      </c>
      <c r="E3806" s="4" t="str">
        <f t="shared" si="323"/>
        <v>Thành phố Hưng Yên</v>
      </c>
      <c r="F3806" s="3" t="s">
        <v>4569</v>
      </c>
      <c r="G3806" s="4" t="str">
        <f>HYPERLINK("https://diaocthongthai.com/phuong-hong-chau-tp-hung-yen/","Phường Hồng Châu")</f>
        <v>Phường Hồng Châu</v>
      </c>
    </row>
    <row r="3807" spans="1:7" x14ac:dyDescent="0.25">
      <c r="A3807" s="2">
        <v>3806</v>
      </c>
      <c r="B3807" s="3" t="s">
        <v>23</v>
      </c>
      <c r="C3807" s="4" t="str">
        <f t="shared" si="322"/>
        <v>Hưng Yên</v>
      </c>
      <c r="D3807" s="3" t="s">
        <v>289</v>
      </c>
      <c r="E3807" s="4" t="str">
        <f t="shared" si="323"/>
        <v>Thành phố Hưng Yên</v>
      </c>
      <c r="F3807" s="3" t="s">
        <v>4570</v>
      </c>
      <c r="G3807" s="4" t="str">
        <f>HYPERLINK("https://diaocthongthai.com/xa-trung-nghia-tp-hung-yen/","Xã Trung Nghĩa")</f>
        <v>Xã Trung Nghĩa</v>
      </c>
    </row>
    <row r="3808" spans="1:7" x14ac:dyDescent="0.25">
      <c r="A3808" s="2">
        <v>3807</v>
      </c>
      <c r="B3808" s="3" t="s">
        <v>23</v>
      </c>
      <c r="C3808" s="4" t="str">
        <f t="shared" si="322"/>
        <v>Hưng Yên</v>
      </c>
      <c r="D3808" s="3" t="s">
        <v>289</v>
      </c>
      <c r="E3808" s="4" t="str">
        <f t="shared" si="323"/>
        <v>Thành phố Hưng Yên</v>
      </c>
      <c r="F3808" s="3" t="s">
        <v>4571</v>
      </c>
      <c r="G3808" s="4" t="str">
        <f>HYPERLINK("https://diaocthongthai.com/xa-lien-phuong-tp-hung-yen/","Xã Liên Phương")</f>
        <v>Xã Liên Phương</v>
      </c>
    </row>
    <row r="3809" spans="1:7" x14ac:dyDescent="0.25">
      <c r="A3809" s="2">
        <v>3808</v>
      </c>
      <c r="B3809" s="3" t="s">
        <v>23</v>
      </c>
      <c r="C3809" s="4" t="str">
        <f t="shared" si="322"/>
        <v>Hưng Yên</v>
      </c>
      <c r="D3809" s="3" t="s">
        <v>289</v>
      </c>
      <c r="E3809" s="4" t="str">
        <f t="shared" si="323"/>
        <v>Thành phố Hưng Yên</v>
      </c>
      <c r="F3809" s="3" t="s">
        <v>4572</v>
      </c>
      <c r="G3809" s="4" t="str">
        <f>HYPERLINK("https://diaocthongthai.com/xa-hong-nam-tp-hung-yen/","Xã Hồng Nam")</f>
        <v>Xã Hồng Nam</v>
      </c>
    </row>
    <row r="3810" spans="1:7" x14ac:dyDescent="0.25">
      <c r="A3810" s="2">
        <v>3809</v>
      </c>
      <c r="B3810" s="3" t="s">
        <v>23</v>
      </c>
      <c r="C3810" s="4" t="str">
        <f t="shared" si="322"/>
        <v>Hưng Yên</v>
      </c>
      <c r="D3810" s="3" t="s">
        <v>289</v>
      </c>
      <c r="E3810" s="4" t="str">
        <f t="shared" si="323"/>
        <v>Thành phố Hưng Yên</v>
      </c>
      <c r="F3810" s="3" t="s">
        <v>4573</v>
      </c>
      <c r="G3810" s="4" t="str">
        <f>HYPERLINK("https://diaocthongthai.com/xa-quang-chau-tp-hung-yen/","Xã Quảng Châu")</f>
        <v>Xã Quảng Châu</v>
      </c>
    </row>
    <row r="3811" spans="1:7" x14ac:dyDescent="0.25">
      <c r="A3811" s="2">
        <v>3810</v>
      </c>
      <c r="B3811" s="3" t="s">
        <v>23</v>
      </c>
      <c r="C3811" s="4" t="str">
        <f t="shared" si="322"/>
        <v>Hưng Yên</v>
      </c>
      <c r="D3811" s="3" t="s">
        <v>289</v>
      </c>
      <c r="E3811" s="4" t="str">
        <f t="shared" si="323"/>
        <v>Thành phố Hưng Yên</v>
      </c>
      <c r="F3811" s="3" t="s">
        <v>4574</v>
      </c>
      <c r="G3811" s="4" t="str">
        <f>HYPERLINK("https://diaocthongthai.com/xa-bao-khe-tp-hung-yen/","Xã Bảo Khê")</f>
        <v>Xã Bảo Khê</v>
      </c>
    </row>
    <row r="3812" spans="1:7" x14ac:dyDescent="0.25">
      <c r="A3812" s="2">
        <v>3811</v>
      </c>
      <c r="B3812" s="3" t="s">
        <v>23</v>
      </c>
      <c r="C3812" s="4" t="str">
        <f t="shared" si="322"/>
        <v>Hưng Yên</v>
      </c>
      <c r="D3812" s="3" t="s">
        <v>289</v>
      </c>
      <c r="E3812" s="4" t="str">
        <f t="shared" si="323"/>
        <v>Thành phố Hưng Yên</v>
      </c>
      <c r="F3812" s="3" t="s">
        <v>4575</v>
      </c>
      <c r="G3812" s="4" t="str">
        <f>HYPERLINK("https://diaocthongthai.com/xa-phu-cuong-tp-hung-yen/","Xã Phú Cường")</f>
        <v>Xã Phú Cường</v>
      </c>
    </row>
    <row r="3813" spans="1:7" x14ac:dyDescent="0.25">
      <c r="A3813" s="2">
        <v>3812</v>
      </c>
      <c r="B3813" s="3" t="s">
        <v>23</v>
      </c>
      <c r="C3813" s="4" t="str">
        <f t="shared" si="322"/>
        <v>Hưng Yên</v>
      </c>
      <c r="D3813" s="3" t="s">
        <v>289</v>
      </c>
      <c r="E3813" s="4" t="str">
        <f t="shared" si="323"/>
        <v>Thành phố Hưng Yên</v>
      </c>
      <c r="F3813" s="3" t="s">
        <v>4576</v>
      </c>
      <c r="G3813" s="4" t="str">
        <f>HYPERLINK("https://diaocthongthai.com/xa-hung-cuong-tp-hung-yen/","Xã Hùng Cường")</f>
        <v>Xã Hùng Cường</v>
      </c>
    </row>
    <row r="3814" spans="1:7" x14ac:dyDescent="0.25">
      <c r="A3814" s="2">
        <v>3813</v>
      </c>
      <c r="B3814" s="3" t="s">
        <v>23</v>
      </c>
      <c r="C3814" s="4" t="str">
        <f t="shared" si="322"/>
        <v>Hưng Yên</v>
      </c>
      <c r="D3814" s="3" t="s">
        <v>289</v>
      </c>
      <c r="E3814" s="4" t="str">
        <f t="shared" si="323"/>
        <v>Thành phố Hưng Yên</v>
      </c>
      <c r="F3814" s="3" t="s">
        <v>4577</v>
      </c>
      <c r="G3814" s="4" t="str">
        <f>HYPERLINK("https://diaocthongthai.com/xa-phuong-chieu-tp-hung-yen/","Xã Phương Chiểu")</f>
        <v>Xã Phương Chiểu</v>
      </c>
    </row>
    <row r="3815" spans="1:7" x14ac:dyDescent="0.25">
      <c r="A3815" s="2">
        <v>3814</v>
      </c>
      <c r="B3815" s="3" t="s">
        <v>23</v>
      </c>
      <c r="C3815" s="4" t="str">
        <f t="shared" si="322"/>
        <v>Hưng Yên</v>
      </c>
      <c r="D3815" s="3" t="s">
        <v>289</v>
      </c>
      <c r="E3815" s="4" t="str">
        <f t="shared" si="323"/>
        <v>Thành phố Hưng Yên</v>
      </c>
      <c r="F3815" s="3" t="s">
        <v>4578</v>
      </c>
      <c r="G3815" s="4" t="str">
        <f>HYPERLINK("https://diaocthongthai.com/xa-tan-hung-tp-hung-yen/","Xã Tân Hưng")</f>
        <v>Xã Tân Hưng</v>
      </c>
    </row>
    <row r="3816" spans="1:7" x14ac:dyDescent="0.25">
      <c r="A3816" s="2">
        <v>3815</v>
      </c>
      <c r="B3816" s="3" t="s">
        <v>23</v>
      </c>
      <c r="C3816" s="4" t="str">
        <f t="shared" si="322"/>
        <v>Hưng Yên</v>
      </c>
      <c r="D3816" s="3" t="s">
        <v>289</v>
      </c>
      <c r="E3816" s="4" t="str">
        <f t="shared" si="323"/>
        <v>Thành phố Hưng Yên</v>
      </c>
      <c r="F3816" s="3" t="s">
        <v>4579</v>
      </c>
      <c r="G3816" s="4" t="str">
        <f>HYPERLINK("https://diaocthongthai.com/xa-hoang-hanh-tp-hung-yen/","Xã Hoàng Hanh")</f>
        <v>Xã Hoàng Hanh</v>
      </c>
    </row>
    <row r="3817" spans="1:7" x14ac:dyDescent="0.25">
      <c r="A3817" s="2">
        <v>3816</v>
      </c>
      <c r="B3817" s="3" t="s">
        <v>23</v>
      </c>
      <c r="C3817" s="4" t="str">
        <f t="shared" si="322"/>
        <v>Hưng Yên</v>
      </c>
      <c r="D3817" s="3" t="s">
        <v>290</v>
      </c>
      <c r="E3817" s="4" t="str">
        <f t="shared" ref="E3817:E3827" si="324">HYPERLINK("https://diaocthongthai.com/ban-do-huyen-van-lam-hung-yen/","Huyện Văn Lâm")</f>
        <v>Huyện Văn Lâm</v>
      </c>
      <c r="F3817" s="3" t="s">
        <v>4580</v>
      </c>
      <c r="G3817" s="4" t="str">
        <f>HYPERLINK("https://diaocthongthai.com/thi-tran-nhu-quynh-van-lam/","Thị trấn Như Quỳnh")</f>
        <v>Thị trấn Như Quỳnh</v>
      </c>
    </row>
    <row r="3818" spans="1:7" x14ac:dyDescent="0.25">
      <c r="A3818" s="2">
        <v>3817</v>
      </c>
      <c r="B3818" s="3" t="s">
        <v>23</v>
      </c>
      <c r="C3818" s="4" t="str">
        <f t="shared" si="322"/>
        <v>Hưng Yên</v>
      </c>
      <c r="D3818" s="3" t="s">
        <v>290</v>
      </c>
      <c r="E3818" s="4" t="str">
        <f t="shared" si="324"/>
        <v>Huyện Văn Lâm</v>
      </c>
      <c r="F3818" s="3" t="s">
        <v>4581</v>
      </c>
      <c r="G3818" s="4" t="str">
        <f>HYPERLINK("https://diaocthongthai.com/xa-lac-dao-van-lam/","Xã Lạc Đạo")</f>
        <v>Xã Lạc Đạo</v>
      </c>
    </row>
    <row r="3819" spans="1:7" x14ac:dyDescent="0.25">
      <c r="A3819" s="2">
        <v>3818</v>
      </c>
      <c r="B3819" s="3" t="s">
        <v>23</v>
      </c>
      <c r="C3819" s="4" t="str">
        <f t="shared" si="322"/>
        <v>Hưng Yên</v>
      </c>
      <c r="D3819" s="3" t="s">
        <v>290</v>
      </c>
      <c r="E3819" s="4" t="str">
        <f t="shared" si="324"/>
        <v>Huyện Văn Lâm</v>
      </c>
      <c r="F3819" s="3" t="s">
        <v>4582</v>
      </c>
      <c r="G3819" s="4" t="str">
        <f>HYPERLINK("https://diaocthongthai.com/xa-chi-dao-van-lam/","Xã Chỉ Đạo")</f>
        <v>Xã Chỉ Đạo</v>
      </c>
    </row>
    <row r="3820" spans="1:7" x14ac:dyDescent="0.25">
      <c r="A3820" s="2">
        <v>3819</v>
      </c>
      <c r="B3820" s="3" t="s">
        <v>23</v>
      </c>
      <c r="C3820" s="4" t="str">
        <f t="shared" si="322"/>
        <v>Hưng Yên</v>
      </c>
      <c r="D3820" s="3" t="s">
        <v>290</v>
      </c>
      <c r="E3820" s="4" t="str">
        <f t="shared" si="324"/>
        <v>Huyện Văn Lâm</v>
      </c>
      <c r="F3820" s="3" t="s">
        <v>4583</v>
      </c>
      <c r="G3820" s="4" t="str">
        <f>HYPERLINK("https://diaocthongthai.com/xa-dai-dong-van-lam/","Xã Đại Đồng")</f>
        <v>Xã Đại Đồng</v>
      </c>
    </row>
    <row r="3821" spans="1:7" x14ac:dyDescent="0.25">
      <c r="A3821" s="2">
        <v>3820</v>
      </c>
      <c r="B3821" s="3" t="s">
        <v>23</v>
      </c>
      <c r="C3821" s="4" t="str">
        <f t="shared" si="322"/>
        <v>Hưng Yên</v>
      </c>
      <c r="D3821" s="3" t="s">
        <v>290</v>
      </c>
      <c r="E3821" s="4" t="str">
        <f t="shared" si="324"/>
        <v>Huyện Văn Lâm</v>
      </c>
      <c r="F3821" s="3" t="s">
        <v>4584</v>
      </c>
      <c r="G3821" s="4" t="str">
        <f>HYPERLINK("https://diaocthongthai.com/xa-viet-hung-van-lam/","Xã Việt Hưng")</f>
        <v>Xã Việt Hưng</v>
      </c>
    </row>
    <row r="3822" spans="1:7" x14ac:dyDescent="0.25">
      <c r="A3822" s="2">
        <v>3821</v>
      </c>
      <c r="B3822" s="3" t="s">
        <v>23</v>
      </c>
      <c r="C3822" s="4" t="str">
        <f t="shared" si="322"/>
        <v>Hưng Yên</v>
      </c>
      <c r="D3822" s="3" t="s">
        <v>290</v>
      </c>
      <c r="E3822" s="4" t="str">
        <f t="shared" si="324"/>
        <v>Huyện Văn Lâm</v>
      </c>
      <c r="F3822" s="3" t="s">
        <v>4585</v>
      </c>
      <c r="G3822" s="4" t="str">
        <f>HYPERLINK("https://diaocthongthai.com/xa-tan-quang-van-lam/","Xã Tân Quang")</f>
        <v>Xã Tân Quang</v>
      </c>
    </row>
    <row r="3823" spans="1:7" x14ac:dyDescent="0.25">
      <c r="A3823" s="2">
        <v>3822</v>
      </c>
      <c r="B3823" s="3" t="s">
        <v>23</v>
      </c>
      <c r="C3823" s="4" t="str">
        <f t="shared" si="322"/>
        <v>Hưng Yên</v>
      </c>
      <c r="D3823" s="3" t="s">
        <v>290</v>
      </c>
      <c r="E3823" s="4" t="str">
        <f t="shared" si="324"/>
        <v>Huyện Văn Lâm</v>
      </c>
      <c r="F3823" s="3" t="s">
        <v>4586</v>
      </c>
      <c r="G3823" s="4" t="str">
        <f>HYPERLINK("https://diaocthongthai.com/xa-dinh-du-van-lam/","Xã Đình Dù")</f>
        <v>Xã Đình Dù</v>
      </c>
    </row>
    <row r="3824" spans="1:7" x14ac:dyDescent="0.25">
      <c r="A3824" s="2">
        <v>3823</v>
      </c>
      <c r="B3824" s="3" t="s">
        <v>23</v>
      </c>
      <c r="C3824" s="4" t="str">
        <f t="shared" si="322"/>
        <v>Hưng Yên</v>
      </c>
      <c r="D3824" s="3" t="s">
        <v>290</v>
      </c>
      <c r="E3824" s="4" t="str">
        <f t="shared" si="324"/>
        <v>Huyện Văn Lâm</v>
      </c>
      <c r="F3824" s="3" t="s">
        <v>4587</v>
      </c>
      <c r="G3824" s="4" t="str">
        <f>HYPERLINK("https://diaocthongthai.com/xa-minh-hai-van-lam/","Xã Minh Hải")</f>
        <v>Xã Minh Hải</v>
      </c>
    </row>
    <row r="3825" spans="1:7" x14ac:dyDescent="0.25">
      <c r="A3825" s="2">
        <v>3824</v>
      </c>
      <c r="B3825" s="3" t="s">
        <v>23</v>
      </c>
      <c r="C3825" s="4" t="str">
        <f t="shared" si="322"/>
        <v>Hưng Yên</v>
      </c>
      <c r="D3825" s="3" t="s">
        <v>290</v>
      </c>
      <c r="E3825" s="4" t="str">
        <f t="shared" si="324"/>
        <v>Huyện Văn Lâm</v>
      </c>
      <c r="F3825" s="3" t="s">
        <v>4588</v>
      </c>
      <c r="G3825" s="4" t="str">
        <f>HYPERLINK("https://diaocthongthai.com/xa-luong-tai-van-lam/","Xã Lương Tài")</f>
        <v>Xã Lương Tài</v>
      </c>
    </row>
    <row r="3826" spans="1:7" x14ac:dyDescent="0.25">
      <c r="A3826" s="2">
        <v>3825</v>
      </c>
      <c r="B3826" s="3" t="s">
        <v>23</v>
      </c>
      <c r="C3826" s="4" t="str">
        <f t="shared" si="322"/>
        <v>Hưng Yên</v>
      </c>
      <c r="D3826" s="3" t="s">
        <v>290</v>
      </c>
      <c r="E3826" s="4" t="str">
        <f t="shared" si="324"/>
        <v>Huyện Văn Lâm</v>
      </c>
      <c r="F3826" s="3" t="s">
        <v>4589</v>
      </c>
      <c r="G3826" s="4" t="str">
        <f>HYPERLINK("https://diaocthongthai.com/xa-trung-trac-van-lam/","Xã Trưng Trắc")</f>
        <v>Xã Trưng Trắc</v>
      </c>
    </row>
    <row r="3827" spans="1:7" x14ac:dyDescent="0.25">
      <c r="A3827" s="2">
        <v>3826</v>
      </c>
      <c r="B3827" s="3" t="s">
        <v>23</v>
      </c>
      <c r="C3827" s="4" t="str">
        <f t="shared" si="322"/>
        <v>Hưng Yên</v>
      </c>
      <c r="D3827" s="3" t="s">
        <v>290</v>
      </c>
      <c r="E3827" s="4" t="str">
        <f t="shared" si="324"/>
        <v>Huyện Văn Lâm</v>
      </c>
      <c r="F3827" s="3" t="s">
        <v>4590</v>
      </c>
      <c r="G3827" s="4" t="str">
        <f>HYPERLINK("https://diaocthongthai.com/xa-lac-hong-van-lam/","Xã Lạc Hồng")</f>
        <v>Xã Lạc Hồng</v>
      </c>
    </row>
    <row r="3828" spans="1:7" x14ac:dyDescent="0.25">
      <c r="A3828" s="2">
        <v>3827</v>
      </c>
      <c r="B3828" s="3" t="s">
        <v>23</v>
      </c>
      <c r="C3828" s="4" t="str">
        <f t="shared" si="322"/>
        <v>Hưng Yên</v>
      </c>
      <c r="D3828" s="3" t="s">
        <v>291</v>
      </c>
      <c r="E3828" s="4" t="str">
        <f t="shared" ref="E3828:E3838" si="325">HYPERLINK("https://diaocthongthai.com/ban-do-huyen-van-giang-hung-yen/","Huyện Văn Giang")</f>
        <v>Huyện Văn Giang</v>
      </c>
      <c r="F3828" s="3" t="s">
        <v>4591</v>
      </c>
      <c r="G3828" s="4" t="str">
        <f>HYPERLINK("https://diaocthongthai.com/thi-tran-van-giang-van-giang/","Thị trấn Văn Giang")</f>
        <v>Thị trấn Văn Giang</v>
      </c>
    </row>
    <row r="3829" spans="1:7" x14ac:dyDescent="0.25">
      <c r="A3829" s="2">
        <v>3828</v>
      </c>
      <c r="B3829" s="3" t="s">
        <v>23</v>
      </c>
      <c r="C3829" s="4" t="str">
        <f t="shared" si="322"/>
        <v>Hưng Yên</v>
      </c>
      <c r="D3829" s="3" t="s">
        <v>291</v>
      </c>
      <c r="E3829" s="4" t="str">
        <f t="shared" si="325"/>
        <v>Huyện Văn Giang</v>
      </c>
      <c r="F3829" s="3" t="s">
        <v>4592</v>
      </c>
      <c r="G3829" s="4" t="str">
        <f>HYPERLINK("https://diaocthongthai.com/xa-xuan-quan-van-giang/","Xã Xuân Quan")</f>
        <v>Xã Xuân Quan</v>
      </c>
    </row>
    <row r="3830" spans="1:7" x14ac:dyDescent="0.25">
      <c r="A3830" s="2">
        <v>3829</v>
      </c>
      <c r="B3830" s="3" t="s">
        <v>23</v>
      </c>
      <c r="C3830" s="4" t="str">
        <f t="shared" si="322"/>
        <v>Hưng Yên</v>
      </c>
      <c r="D3830" s="3" t="s">
        <v>291</v>
      </c>
      <c r="E3830" s="4" t="str">
        <f t="shared" si="325"/>
        <v>Huyện Văn Giang</v>
      </c>
      <c r="F3830" s="3" t="s">
        <v>4593</v>
      </c>
      <c r="G3830" s="4" t="str">
        <f>HYPERLINK("https://diaocthongthai.com/xa-cuu-cao-van-giang/","Xã Cửu Cao")</f>
        <v>Xã Cửu Cao</v>
      </c>
    </row>
    <row r="3831" spans="1:7" x14ac:dyDescent="0.25">
      <c r="A3831" s="2">
        <v>3830</v>
      </c>
      <c r="B3831" s="3" t="s">
        <v>23</v>
      </c>
      <c r="C3831" s="4" t="str">
        <f t="shared" si="322"/>
        <v>Hưng Yên</v>
      </c>
      <c r="D3831" s="3" t="s">
        <v>291</v>
      </c>
      <c r="E3831" s="4" t="str">
        <f t="shared" si="325"/>
        <v>Huyện Văn Giang</v>
      </c>
      <c r="F3831" s="3" t="s">
        <v>4594</v>
      </c>
      <c r="G3831" s="4" t="str">
        <f>HYPERLINK("https://diaocthongthai.com/xa-phung-cong-van-giang/","Xã Phụng Công")</f>
        <v>Xã Phụng Công</v>
      </c>
    </row>
    <row r="3832" spans="1:7" x14ac:dyDescent="0.25">
      <c r="A3832" s="2">
        <v>3831</v>
      </c>
      <c r="B3832" s="3" t="s">
        <v>23</v>
      </c>
      <c r="C3832" s="4" t="str">
        <f t="shared" ref="C3832:C3863" si="326">HYPERLINK("https://diaocthongthai.com/ban-do-hung-yen/","Hưng Yên")</f>
        <v>Hưng Yên</v>
      </c>
      <c r="D3832" s="3" t="s">
        <v>291</v>
      </c>
      <c r="E3832" s="4" t="str">
        <f t="shared" si="325"/>
        <v>Huyện Văn Giang</v>
      </c>
      <c r="F3832" s="3" t="s">
        <v>4595</v>
      </c>
      <c r="G3832" s="4" t="str">
        <f>HYPERLINK("https://diaocthongthai.com/xa-nghia-tru-van-giang/","Xã Nghĩa Trụ")</f>
        <v>Xã Nghĩa Trụ</v>
      </c>
    </row>
    <row r="3833" spans="1:7" x14ac:dyDescent="0.25">
      <c r="A3833" s="2">
        <v>3832</v>
      </c>
      <c r="B3833" s="3" t="s">
        <v>23</v>
      </c>
      <c r="C3833" s="4" t="str">
        <f t="shared" si="326"/>
        <v>Hưng Yên</v>
      </c>
      <c r="D3833" s="3" t="s">
        <v>291</v>
      </c>
      <c r="E3833" s="4" t="str">
        <f t="shared" si="325"/>
        <v>Huyện Văn Giang</v>
      </c>
      <c r="F3833" s="3" t="s">
        <v>4596</v>
      </c>
      <c r="G3833" s="4" t="str">
        <f>HYPERLINK("https://diaocthongthai.com/xa-long-hung-van-giang/","Xã Long Hưng")</f>
        <v>Xã Long Hưng</v>
      </c>
    </row>
    <row r="3834" spans="1:7" x14ac:dyDescent="0.25">
      <c r="A3834" s="2">
        <v>3833</v>
      </c>
      <c r="B3834" s="3" t="s">
        <v>23</v>
      </c>
      <c r="C3834" s="4" t="str">
        <f t="shared" si="326"/>
        <v>Hưng Yên</v>
      </c>
      <c r="D3834" s="3" t="s">
        <v>291</v>
      </c>
      <c r="E3834" s="4" t="str">
        <f t="shared" si="325"/>
        <v>Huyện Văn Giang</v>
      </c>
      <c r="F3834" s="3" t="s">
        <v>4597</v>
      </c>
      <c r="G3834" s="4" t="str">
        <f>HYPERLINK("https://diaocthongthai.com/xa-vinh-khuc-van-giang/","Xã Vĩnh Khúc")</f>
        <v>Xã Vĩnh Khúc</v>
      </c>
    </row>
    <row r="3835" spans="1:7" x14ac:dyDescent="0.25">
      <c r="A3835" s="2">
        <v>3834</v>
      </c>
      <c r="B3835" s="3" t="s">
        <v>23</v>
      </c>
      <c r="C3835" s="4" t="str">
        <f t="shared" si="326"/>
        <v>Hưng Yên</v>
      </c>
      <c r="D3835" s="3" t="s">
        <v>291</v>
      </c>
      <c r="E3835" s="4" t="str">
        <f t="shared" si="325"/>
        <v>Huyện Văn Giang</v>
      </c>
      <c r="F3835" s="3" t="s">
        <v>4598</v>
      </c>
      <c r="G3835" s="4" t="str">
        <f>HYPERLINK("https://diaocthongthai.com/xa-lien-nghia-van-giang/","Xã Liên Nghĩa")</f>
        <v>Xã Liên Nghĩa</v>
      </c>
    </row>
    <row r="3836" spans="1:7" x14ac:dyDescent="0.25">
      <c r="A3836" s="2">
        <v>3835</v>
      </c>
      <c r="B3836" s="3" t="s">
        <v>23</v>
      </c>
      <c r="C3836" s="4" t="str">
        <f t="shared" si="326"/>
        <v>Hưng Yên</v>
      </c>
      <c r="D3836" s="3" t="s">
        <v>291</v>
      </c>
      <c r="E3836" s="4" t="str">
        <f t="shared" si="325"/>
        <v>Huyện Văn Giang</v>
      </c>
      <c r="F3836" s="3" t="s">
        <v>4599</v>
      </c>
      <c r="G3836" s="4" t="str">
        <f>HYPERLINK("https://diaocthongthai.com/xa-tan-tien-van-giang/","Xã Tân Tiến")</f>
        <v>Xã Tân Tiến</v>
      </c>
    </row>
    <row r="3837" spans="1:7" x14ac:dyDescent="0.25">
      <c r="A3837" s="2">
        <v>3836</v>
      </c>
      <c r="B3837" s="3" t="s">
        <v>23</v>
      </c>
      <c r="C3837" s="4" t="str">
        <f t="shared" si="326"/>
        <v>Hưng Yên</v>
      </c>
      <c r="D3837" s="3" t="s">
        <v>291</v>
      </c>
      <c r="E3837" s="4" t="str">
        <f t="shared" si="325"/>
        <v>Huyện Văn Giang</v>
      </c>
      <c r="F3837" s="3" t="s">
        <v>4600</v>
      </c>
      <c r="G3837" s="4" t="str">
        <f>HYPERLINK("https://diaocthongthai.com/xa-thang-loi-van-giang/","Xã Thắng Lợi")</f>
        <v>Xã Thắng Lợi</v>
      </c>
    </row>
    <row r="3838" spans="1:7" x14ac:dyDescent="0.25">
      <c r="A3838" s="2">
        <v>3837</v>
      </c>
      <c r="B3838" s="3" t="s">
        <v>23</v>
      </c>
      <c r="C3838" s="4" t="str">
        <f t="shared" si="326"/>
        <v>Hưng Yên</v>
      </c>
      <c r="D3838" s="3" t="s">
        <v>291</v>
      </c>
      <c r="E3838" s="4" t="str">
        <f t="shared" si="325"/>
        <v>Huyện Văn Giang</v>
      </c>
      <c r="F3838" s="3" t="s">
        <v>4601</v>
      </c>
      <c r="G3838" s="4" t="str">
        <f>HYPERLINK("https://diaocthongthai.com/xa-me-so-van-giang/","Xã Mễ Sở")</f>
        <v>Xã Mễ Sở</v>
      </c>
    </row>
    <row r="3839" spans="1:7" x14ac:dyDescent="0.25">
      <c r="A3839" s="2">
        <v>3838</v>
      </c>
      <c r="B3839" s="3" t="s">
        <v>23</v>
      </c>
      <c r="C3839" s="4" t="str">
        <f t="shared" si="326"/>
        <v>Hưng Yên</v>
      </c>
      <c r="D3839" s="3" t="s">
        <v>292</v>
      </c>
      <c r="E3839" s="4" t="str">
        <f t="shared" ref="E3839:E3855" si="327">HYPERLINK("https://diaocthongthai.com/ban-do-huyen-yen-my-hung-yen/","Huyện Yên Mỹ")</f>
        <v>Huyện Yên Mỹ</v>
      </c>
      <c r="F3839" s="3" t="s">
        <v>4602</v>
      </c>
      <c r="G3839" s="4" t="str">
        <f>HYPERLINK("https://diaocthongthai.com/thi-tran-yen-my-yen-my/","Thị trấn Yên Mỹ")</f>
        <v>Thị trấn Yên Mỹ</v>
      </c>
    </row>
    <row r="3840" spans="1:7" x14ac:dyDescent="0.25">
      <c r="A3840" s="2">
        <v>3839</v>
      </c>
      <c r="B3840" s="3" t="s">
        <v>23</v>
      </c>
      <c r="C3840" s="4" t="str">
        <f t="shared" si="326"/>
        <v>Hưng Yên</v>
      </c>
      <c r="D3840" s="3" t="s">
        <v>292</v>
      </c>
      <c r="E3840" s="4" t="str">
        <f t="shared" si="327"/>
        <v>Huyện Yên Mỹ</v>
      </c>
      <c r="F3840" s="3" t="s">
        <v>4603</v>
      </c>
      <c r="G3840" s="4" t="str">
        <f>HYPERLINK("https://diaocthongthai.com/xa-giai-pham-yen-my/","Xã Giai Phạm")</f>
        <v>Xã Giai Phạm</v>
      </c>
    </row>
    <row r="3841" spans="1:7" x14ac:dyDescent="0.25">
      <c r="A3841" s="2">
        <v>3840</v>
      </c>
      <c r="B3841" s="3" t="s">
        <v>23</v>
      </c>
      <c r="C3841" s="4" t="str">
        <f t="shared" si="326"/>
        <v>Hưng Yên</v>
      </c>
      <c r="D3841" s="3" t="s">
        <v>292</v>
      </c>
      <c r="E3841" s="4" t="str">
        <f t="shared" si="327"/>
        <v>Huyện Yên Mỹ</v>
      </c>
      <c r="F3841" s="3" t="s">
        <v>4604</v>
      </c>
      <c r="G3841" s="4" t="str">
        <f>HYPERLINK("https://diaocthongthai.com/xa-nghia-hiep-yen-my/","Xã Nghĩa Hiệp")</f>
        <v>Xã Nghĩa Hiệp</v>
      </c>
    </row>
    <row r="3842" spans="1:7" x14ac:dyDescent="0.25">
      <c r="A3842" s="2">
        <v>3841</v>
      </c>
      <c r="B3842" s="3" t="s">
        <v>23</v>
      </c>
      <c r="C3842" s="4" t="str">
        <f t="shared" si="326"/>
        <v>Hưng Yên</v>
      </c>
      <c r="D3842" s="3" t="s">
        <v>292</v>
      </c>
      <c r="E3842" s="4" t="str">
        <f t="shared" si="327"/>
        <v>Huyện Yên Mỹ</v>
      </c>
      <c r="F3842" s="3" t="s">
        <v>4605</v>
      </c>
      <c r="G3842" s="4" t="str">
        <f>HYPERLINK("https://diaocthongthai.com/xa-dong-than-yen-my/","Xã Đồng Than")</f>
        <v>Xã Đồng Than</v>
      </c>
    </row>
    <row r="3843" spans="1:7" x14ac:dyDescent="0.25">
      <c r="A3843" s="2">
        <v>3842</v>
      </c>
      <c r="B3843" s="3" t="s">
        <v>23</v>
      </c>
      <c r="C3843" s="4" t="str">
        <f t="shared" si="326"/>
        <v>Hưng Yên</v>
      </c>
      <c r="D3843" s="3" t="s">
        <v>292</v>
      </c>
      <c r="E3843" s="4" t="str">
        <f t="shared" si="327"/>
        <v>Huyện Yên Mỹ</v>
      </c>
      <c r="F3843" s="3" t="s">
        <v>4606</v>
      </c>
      <c r="G3843" s="4" t="str">
        <f>HYPERLINK("https://diaocthongthai.com/xa-ngoc-long-yen-my/","Xã Ngọc Long")</f>
        <v>Xã Ngọc Long</v>
      </c>
    </row>
    <row r="3844" spans="1:7" x14ac:dyDescent="0.25">
      <c r="A3844" s="2">
        <v>3843</v>
      </c>
      <c r="B3844" s="3" t="s">
        <v>23</v>
      </c>
      <c r="C3844" s="4" t="str">
        <f t="shared" si="326"/>
        <v>Hưng Yên</v>
      </c>
      <c r="D3844" s="3" t="s">
        <v>292</v>
      </c>
      <c r="E3844" s="4" t="str">
        <f t="shared" si="327"/>
        <v>Huyện Yên Mỹ</v>
      </c>
      <c r="F3844" s="3" t="s">
        <v>4607</v>
      </c>
      <c r="G3844" s="4" t="str">
        <f>HYPERLINK("https://diaocthongthai.com/xa-lieu-xa-yen-my/","Xã Liêu Xá")</f>
        <v>Xã Liêu Xá</v>
      </c>
    </row>
    <row r="3845" spans="1:7" x14ac:dyDescent="0.25">
      <c r="A3845" s="2">
        <v>3844</v>
      </c>
      <c r="B3845" s="3" t="s">
        <v>23</v>
      </c>
      <c r="C3845" s="4" t="str">
        <f t="shared" si="326"/>
        <v>Hưng Yên</v>
      </c>
      <c r="D3845" s="3" t="s">
        <v>292</v>
      </c>
      <c r="E3845" s="4" t="str">
        <f t="shared" si="327"/>
        <v>Huyện Yên Mỹ</v>
      </c>
      <c r="F3845" s="3" t="s">
        <v>4608</v>
      </c>
      <c r="G3845" s="4" t="str">
        <f>HYPERLINK("https://diaocthongthai.com/xa-hoan-long-yen-my/","Xã Hoàn Long")</f>
        <v>Xã Hoàn Long</v>
      </c>
    </row>
    <row r="3846" spans="1:7" x14ac:dyDescent="0.25">
      <c r="A3846" s="2">
        <v>3845</v>
      </c>
      <c r="B3846" s="3" t="s">
        <v>23</v>
      </c>
      <c r="C3846" s="4" t="str">
        <f t="shared" si="326"/>
        <v>Hưng Yên</v>
      </c>
      <c r="D3846" s="3" t="s">
        <v>292</v>
      </c>
      <c r="E3846" s="4" t="str">
        <f t="shared" si="327"/>
        <v>Huyện Yên Mỹ</v>
      </c>
      <c r="F3846" s="3" t="s">
        <v>4609</v>
      </c>
      <c r="G3846" s="4" t="str">
        <f>HYPERLINK("https://diaocthongthai.com/xa-tan-lap-yen-my/","Xã Tân Lập")</f>
        <v>Xã Tân Lập</v>
      </c>
    </row>
    <row r="3847" spans="1:7" x14ac:dyDescent="0.25">
      <c r="A3847" s="2">
        <v>3846</v>
      </c>
      <c r="B3847" s="3" t="s">
        <v>23</v>
      </c>
      <c r="C3847" s="4" t="str">
        <f t="shared" si="326"/>
        <v>Hưng Yên</v>
      </c>
      <c r="D3847" s="3" t="s">
        <v>292</v>
      </c>
      <c r="E3847" s="4" t="str">
        <f t="shared" si="327"/>
        <v>Huyện Yên Mỹ</v>
      </c>
      <c r="F3847" s="3" t="s">
        <v>4610</v>
      </c>
      <c r="G3847" s="4" t="str">
        <f>HYPERLINK("https://diaocthongthai.com/xa-thanh-long-yen-my/","Xã Thanh Long")</f>
        <v>Xã Thanh Long</v>
      </c>
    </row>
    <row r="3848" spans="1:7" x14ac:dyDescent="0.25">
      <c r="A3848" s="2">
        <v>3847</v>
      </c>
      <c r="B3848" s="3" t="s">
        <v>23</v>
      </c>
      <c r="C3848" s="4" t="str">
        <f t="shared" si="326"/>
        <v>Hưng Yên</v>
      </c>
      <c r="D3848" s="3" t="s">
        <v>292</v>
      </c>
      <c r="E3848" s="4" t="str">
        <f t="shared" si="327"/>
        <v>Huyện Yên Mỹ</v>
      </c>
      <c r="F3848" s="3" t="s">
        <v>4611</v>
      </c>
      <c r="G3848" s="4" t="str">
        <f>HYPERLINK("https://diaocthongthai.com/xa-yen-phu-yen-my/","Xã Yên Phú")</f>
        <v>Xã Yên Phú</v>
      </c>
    </row>
    <row r="3849" spans="1:7" x14ac:dyDescent="0.25">
      <c r="A3849" s="2">
        <v>3848</v>
      </c>
      <c r="B3849" s="3" t="s">
        <v>23</v>
      </c>
      <c r="C3849" s="4" t="str">
        <f t="shared" si="326"/>
        <v>Hưng Yên</v>
      </c>
      <c r="D3849" s="3" t="s">
        <v>292</v>
      </c>
      <c r="E3849" s="4" t="str">
        <f t="shared" si="327"/>
        <v>Huyện Yên Mỹ</v>
      </c>
      <c r="F3849" s="3" t="s">
        <v>4612</v>
      </c>
      <c r="G3849" s="4" t="str">
        <f>HYPERLINK("https://diaocthongthai.com/xa-viet-cuong-yen-my/","Xã Việt Cường")</f>
        <v>Xã Việt Cường</v>
      </c>
    </row>
    <row r="3850" spans="1:7" x14ac:dyDescent="0.25">
      <c r="A3850" s="2">
        <v>3849</v>
      </c>
      <c r="B3850" s="3" t="s">
        <v>23</v>
      </c>
      <c r="C3850" s="4" t="str">
        <f t="shared" si="326"/>
        <v>Hưng Yên</v>
      </c>
      <c r="D3850" s="3" t="s">
        <v>292</v>
      </c>
      <c r="E3850" s="4" t="str">
        <f t="shared" si="327"/>
        <v>Huyện Yên Mỹ</v>
      </c>
      <c r="F3850" s="3" t="s">
        <v>4613</v>
      </c>
      <c r="G3850" s="4" t="str">
        <f>HYPERLINK("https://diaocthongthai.com/xa-trung-hoa-yen-my/","Xã Trung Hòa")</f>
        <v>Xã Trung Hòa</v>
      </c>
    </row>
    <row r="3851" spans="1:7" x14ac:dyDescent="0.25">
      <c r="A3851" s="2">
        <v>3850</v>
      </c>
      <c r="B3851" s="3" t="s">
        <v>23</v>
      </c>
      <c r="C3851" s="4" t="str">
        <f t="shared" si="326"/>
        <v>Hưng Yên</v>
      </c>
      <c r="D3851" s="3" t="s">
        <v>292</v>
      </c>
      <c r="E3851" s="4" t="str">
        <f t="shared" si="327"/>
        <v>Huyện Yên Mỹ</v>
      </c>
      <c r="F3851" s="3" t="s">
        <v>4614</v>
      </c>
      <c r="G3851" s="4" t="str">
        <f>HYPERLINK("https://diaocthongthai.com/xa-yen-hoa-yen-my/","Xã Yên Hòa")</f>
        <v>Xã Yên Hòa</v>
      </c>
    </row>
    <row r="3852" spans="1:7" x14ac:dyDescent="0.25">
      <c r="A3852" s="2">
        <v>3851</v>
      </c>
      <c r="B3852" s="3" t="s">
        <v>23</v>
      </c>
      <c r="C3852" s="4" t="str">
        <f t="shared" si="326"/>
        <v>Hưng Yên</v>
      </c>
      <c r="D3852" s="3" t="s">
        <v>292</v>
      </c>
      <c r="E3852" s="4" t="str">
        <f t="shared" si="327"/>
        <v>Huyện Yên Mỹ</v>
      </c>
      <c r="F3852" s="3" t="s">
        <v>4615</v>
      </c>
      <c r="G3852" s="4" t="str">
        <f>HYPERLINK("https://diaocthongthai.com/xa-minh-chau-yen-my/","Xã Minh Châu")</f>
        <v>Xã Minh Châu</v>
      </c>
    </row>
    <row r="3853" spans="1:7" x14ac:dyDescent="0.25">
      <c r="A3853" s="2">
        <v>3852</v>
      </c>
      <c r="B3853" s="3" t="s">
        <v>23</v>
      </c>
      <c r="C3853" s="4" t="str">
        <f t="shared" si="326"/>
        <v>Hưng Yên</v>
      </c>
      <c r="D3853" s="3" t="s">
        <v>292</v>
      </c>
      <c r="E3853" s="4" t="str">
        <f t="shared" si="327"/>
        <v>Huyện Yên Mỹ</v>
      </c>
      <c r="F3853" s="3" t="s">
        <v>4616</v>
      </c>
      <c r="G3853" s="4" t="str">
        <f>HYPERLINK("https://diaocthongthai.com/xa-trung-hung-yen-my/","Xã Trung Hưng")</f>
        <v>Xã Trung Hưng</v>
      </c>
    </row>
    <row r="3854" spans="1:7" x14ac:dyDescent="0.25">
      <c r="A3854" s="2">
        <v>3853</v>
      </c>
      <c r="B3854" s="3" t="s">
        <v>23</v>
      </c>
      <c r="C3854" s="4" t="str">
        <f t="shared" si="326"/>
        <v>Hưng Yên</v>
      </c>
      <c r="D3854" s="3" t="s">
        <v>292</v>
      </c>
      <c r="E3854" s="4" t="str">
        <f t="shared" si="327"/>
        <v>Huyện Yên Mỹ</v>
      </c>
      <c r="F3854" s="3" t="s">
        <v>4617</v>
      </c>
      <c r="G3854" s="4" t="str">
        <f>HYPERLINK("https://diaocthongthai.com/xa-ly-thuong-kiet-yen-my/","Xã Lý Thường Kiệt")</f>
        <v>Xã Lý Thường Kiệt</v>
      </c>
    </row>
    <row r="3855" spans="1:7" x14ac:dyDescent="0.25">
      <c r="A3855" s="2">
        <v>3854</v>
      </c>
      <c r="B3855" s="3" t="s">
        <v>23</v>
      </c>
      <c r="C3855" s="4" t="str">
        <f t="shared" si="326"/>
        <v>Hưng Yên</v>
      </c>
      <c r="D3855" s="3" t="s">
        <v>292</v>
      </c>
      <c r="E3855" s="4" t="str">
        <f t="shared" si="327"/>
        <v>Huyện Yên Mỹ</v>
      </c>
      <c r="F3855" s="3" t="s">
        <v>4618</v>
      </c>
      <c r="G3855" s="4" t="str">
        <f>HYPERLINK("https://diaocthongthai.com/xa-tan-viet-yen-my/","Xã Tân Việt")</f>
        <v>Xã Tân Việt</v>
      </c>
    </row>
    <row r="3856" spans="1:7" x14ac:dyDescent="0.25">
      <c r="A3856" s="2">
        <v>3855</v>
      </c>
      <c r="B3856" s="3" t="s">
        <v>23</v>
      </c>
      <c r="C3856" s="4" t="str">
        <f t="shared" si="326"/>
        <v>Hưng Yên</v>
      </c>
      <c r="D3856" s="3" t="s">
        <v>293</v>
      </c>
      <c r="E3856" s="4" t="str">
        <f t="shared" ref="E3856:E3868" si="328">HYPERLINK("https://diaocthongthai.com/ban-do-thi-xa-my-hao-hung-yen/","Thị xã Mỹ Hào")</f>
        <v>Thị xã Mỹ Hào</v>
      </c>
      <c r="F3856" s="3" t="s">
        <v>4619</v>
      </c>
      <c r="G3856" s="4" t="str">
        <f>HYPERLINK("https://diaocthongthai.com/phuong-ban-yen-nhan-my-hao/","Phường Bần Yên Nhân")</f>
        <v>Phường Bần Yên Nhân</v>
      </c>
    </row>
    <row r="3857" spans="1:7" x14ac:dyDescent="0.25">
      <c r="A3857" s="2">
        <v>3856</v>
      </c>
      <c r="B3857" s="3" t="s">
        <v>23</v>
      </c>
      <c r="C3857" s="4" t="str">
        <f t="shared" si="326"/>
        <v>Hưng Yên</v>
      </c>
      <c r="D3857" s="3" t="s">
        <v>293</v>
      </c>
      <c r="E3857" s="4" t="str">
        <f t="shared" si="328"/>
        <v>Thị xã Mỹ Hào</v>
      </c>
      <c r="F3857" s="3" t="s">
        <v>4620</v>
      </c>
      <c r="G3857" s="4" t="str">
        <f>HYPERLINK("https://diaocthongthai.com/phuong-phan-dinh-phung-my-hao/","Phường Phan Đình Phùng")</f>
        <v>Phường Phan Đình Phùng</v>
      </c>
    </row>
    <row r="3858" spans="1:7" x14ac:dyDescent="0.25">
      <c r="A3858" s="2">
        <v>3857</v>
      </c>
      <c r="B3858" s="3" t="s">
        <v>23</v>
      </c>
      <c r="C3858" s="4" t="str">
        <f t="shared" si="326"/>
        <v>Hưng Yên</v>
      </c>
      <c r="D3858" s="3" t="s">
        <v>293</v>
      </c>
      <c r="E3858" s="4" t="str">
        <f t="shared" si="328"/>
        <v>Thị xã Mỹ Hào</v>
      </c>
      <c r="F3858" s="3" t="s">
        <v>4621</v>
      </c>
      <c r="G3858" s="4" t="str">
        <f>HYPERLINK("https://diaocthongthai.com/xa-cam-xa-my-hao/","Xã Cẩm Xá")</f>
        <v>Xã Cẩm Xá</v>
      </c>
    </row>
    <row r="3859" spans="1:7" x14ac:dyDescent="0.25">
      <c r="A3859" s="2">
        <v>3858</v>
      </c>
      <c r="B3859" s="3" t="s">
        <v>23</v>
      </c>
      <c r="C3859" s="4" t="str">
        <f t="shared" si="326"/>
        <v>Hưng Yên</v>
      </c>
      <c r="D3859" s="3" t="s">
        <v>293</v>
      </c>
      <c r="E3859" s="4" t="str">
        <f t="shared" si="328"/>
        <v>Thị xã Mỹ Hào</v>
      </c>
      <c r="F3859" s="3" t="s">
        <v>4622</v>
      </c>
      <c r="G3859" s="4" t="str">
        <f>HYPERLINK("https://diaocthongthai.com/xa-duong-quang-my-hao/","Xã Dương Quang")</f>
        <v>Xã Dương Quang</v>
      </c>
    </row>
    <row r="3860" spans="1:7" x14ac:dyDescent="0.25">
      <c r="A3860" s="2">
        <v>3859</v>
      </c>
      <c r="B3860" s="3" t="s">
        <v>23</v>
      </c>
      <c r="C3860" s="4" t="str">
        <f t="shared" si="326"/>
        <v>Hưng Yên</v>
      </c>
      <c r="D3860" s="3" t="s">
        <v>293</v>
      </c>
      <c r="E3860" s="4" t="str">
        <f t="shared" si="328"/>
        <v>Thị xã Mỹ Hào</v>
      </c>
      <c r="F3860" s="3" t="s">
        <v>4623</v>
      </c>
      <c r="G3860" s="4" t="str">
        <f>HYPERLINK("https://diaocthongthai.com/xa-hoa-phong-my-hao/","Xã Hòa Phong")</f>
        <v>Xã Hòa Phong</v>
      </c>
    </row>
    <row r="3861" spans="1:7" x14ac:dyDescent="0.25">
      <c r="A3861" s="2">
        <v>3860</v>
      </c>
      <c r="B3861" s="3" t="s">
        <v>23</v>
      </c>
      <c r="C3861" s="4" t="str">
        <f t="shared" si="326"/>
        <v>Hưng Yên</v>
      </c>
      <c r="D3861" s="3" t="s">
        <v>293</v>
      </c>
      <c r="E3861" s="4" t="str">
        <f t="shared" si="328"/>
        <v>Thị xã Mỹ Hào</v>
      </c>
      <c r="F3861" s="3" t="s">
        <v>4624</v>
      </c>
      <c r="G3861" s="4" t="str">
        <f>HYPERLINK("https://diaocthongthai.com/phuong-nhan-hoa-my-hao/","Phường Nhân Hòa")</f>
        <v>Phường Nhân Hòa</v>
      </c>
    </row>
    <row r="3862" spans="1:7" x14ac:dyDescent="0.25">
      <c r="A3862" s="2">
        <v>3861</v>
      </c>
      <c r="B3862" s="3" t="s">
        <v>23</v>
      </c>
      <c r="C3862" s="4" t="str">
        <f t="shared" si="326"/>
        <v>Hưng Yên</v>
      </c>
      <c r="D3862" s="3" t="s">
        <v>293</v>
      </c>
      <c r="E3862" s="4" t="str">
        <f t="shared" si="328"/>
        <v>Thị xã Mỹ Hào</v>
      </c>
      <c r="F3862" s="3" t="s">
        <v>4625</v>
      </c>
      <c r="G3862" s="4" t="str">
        <f>HYPERLINK("https://diaocthongthai.com/phuong-di-su-my-hao/","Phường Dị Sử")</f>
        <v>Phường Dị Sử</v>
      </c>
    </row>
    <row r="3863" spans="1:7" x14ac:dyDescent="0.25">
      <c r="A3863" s="2">
        <v>3862</v>
      </c>
      <c r="B3863" s="3" t="s">
        <v>23</v>
      </c>
      <c r="C3863" s="4" t="str">
        <f t="shared" si="326"/>
        <v>Hưng Yên</v>
      </c>
      <c r="D3863" s="3" t="s">
        <v>293</v>
      </c>
      <c r="E3863" s="4" t="str">
        <f t="shared" si="328"/>
        <v>Thị xã Mỹ Hào</v>
      </c>
      <c r="F3863" s="3" t="s">
        <v>4626</v>
      </c>
      <c r="G3863" s="4" t="str">
        <f>HYPERLINK("https://diaocthongthai.com/phuong-bach-sam-my-hao/","Phường Bạch Sam")</f>
        <v>Phường Bạch Sam</v>
      </c>
    </row>
    <row r="3864" spans="1:7" x14ac:dyDescent="0.25">
      <c r="A3864" s="2">
        <v>3863</v>
      </c>
      <c r="B3864" s="3" t="s">
        <v>23</v>
      </c>
      <c r="C3864" s="4" t="str">
        <f t="shared" ref="C3864:C3895" si="329">HYPERLINK("https://diaocthongthai.com/ban-do-hung-yen/","Hưng Yên")</f>
        <v>Hưng Yên</v>
      </c>
      <c r="D3864" s="3" t="s">
        <v>293</v>
      </c>
      <c r="E3864" s="4" t="str">
        <f t="shared" si="328"/>
        <v>Thị xã Mỹ Hào</v>
      </c>
      <c r="F3864" s="3" t="s">
        <v>4627</v>
      </c>
      <c r="G3864" s="4" t="str">
        <f>HYPERLINK("https://diaocthongthai.com/phuong-minh-duc-my-hao/","Phường Minh Đức")</f>
        <v>Phường Minh Đức</v>
      </c>
    </row>
    <row r="3865" spans="1:7" x14ac:dyDescent="0.25">
      <c r="A3865" s="2">
        <v>3864</v>
      </c>
      <c r="B3865" s="3" t="s">
        <v>23</v>
      </c>
      <c r="C3865" s="4" t="str">
        <f t="shared" si="329"/>
        <v>Hưng Yên</v>
      </c>
      <c r="D3865" s="3" t="s">
        <v>293</v>
      </c>
      <c r="E3865" s="4" t="str">
        <f t="shared" si="328"/>
        <v>Thị xã Mỹ Hào</v>
      </c>
      <c r="F3865" s="3" t="s">
        <v>4628</v>
      </c>
      <c r="G3865" s="4" t="str">
        <f>HYPERLINK("https://diaocthongthai.com/phuong-phung-chi-kien-my-hao/","Phường Phùng Chí Kiên")</f>
        <v>Phường Phùng Chí Kiên</v>
      </c>
    </row>
    <row r="3866" spans="1:7" x14ac:dyDescent="0.25">
      <c r="A3866" s="2">
        <v>3865</v>
      </c>
      <c r="B3866" s="3" t="s">
        <v>23</v>
      </c>
      <c r="C3866" s="4" t="str">
        <f t="shared" si="329"/>
        <v>Hưng Yên</v>
      </c>
      <c r="D3866" s="3" t="s">
        <v>293</v>
      </c>
      <c r="E3866" s="4" t="str">
        <f t="shared" si="328"/>
        <v>Thị xã Mỹ Hào</v>
      </c>
      <c r="F3866" s="3" t="s">
        <v>4629</v>
      </c>
      <c r="G3866" s="4" t="str">
        <f>HYPERLINK("https://diaocthongthai.com/xa-xuan-duc-my-hao/","Xã Xuân Dục")</f>
        <v>Xã Xuân Dục</v>
      </c>
    </row>
    <row r="3867" spans="1:7" x14ac:dyDescent="0.25">
      <c r="A3867" s="2">
        <v>3866</v>
      </c>
      <c r="B3867" s="3" t="s">
        <v>23</v>
      </c>
      <c r="C3867" s="4" t="str">
        <f t="shared" si="329"/>
        <v>Hưng Yên</v>
      </c>
      <c r="D3867" s="3" t="s">
        <v>293</v>
      </c>
      <c r="E3867" s="4" t="str">
        <f t="shared" si="328"/>
        <v>Thị xã Mỹ Hào</v>
      </c>
      <c r="F3867" s="3" t="s">
        <v>4630</v>
      </c>
      <c r="G3867" s="4" t="str">
        <f>HYPERLINK("https://diaocthongthai.com/xa-ngoc-lam-my-hao/","Xã Ngọc Lâm")</f>
        <v>Xã Ngọc Lâm</v>
      </c>
    </row>
    <row r="3868" spans="1:7" x14ac:dyDescent="0.25">
      <c r="A3868" s="2">
        <v>3867</v>
      </c>
      <c r="B3868" s="3" t="s">
        <v>23</v>
      </c>
      <c r="C3868" s="4" t="str">
        <f t="shared" si="329"/>
        <v>Hưng Yên</v>
      </c>
      <c r="D3868" s="3" t="s">
        <v>293</v>
      </c>
      <c r="E3868" s="4" t="str">
        <f t="shared" si="328"/>
        <v>Thị xã Mỹ Hào</v>
      </c>
      <c r="F3868" s="3" t="s">
        <v>4631</v>
      </c>
      <c r="G3868" s="4" t="str">
        <f>HYPERLINK("https://diaocthongthai.com/xa-hung-long-my-hao/","Xã Hưng Long")</f>
        <v>Xã Hưng Long</v>
      </c>
    </row>
    <row r="3869" spans="1:7" x14ac:dyDescent="0.25">
      <c r="A3869" s="2">
        <v>3868</v>
      </c>
      <c r="B3869" s="3" t="s">
        <v>23</v>
      </c>
      <c r="C3869" s="4" t="str">
        <f t="shared" si="329"/>
        <v>Hưng Yên</v>
      </c>
      <c r="D3869" s="3" t="s">
        <v>294</v>
      </c>
      <c r="E3869" s="4" t="str">
        <f t="shared" ref="E3869:E3889" si="330">HYPERLINK("https://diaocthongthai.com/ban-do-huyen-an-thi-hung-yen/","Huyện Ân Thi")</f>
        <v>Huyện Ân Thi</v>
      </c>
      <c r="F3869" s="3" t="s">
        <v>4632</v>
      </c>
      <c r="G3869" s="4" t="str">
        <f>HYPERLINK("https://diaocthongthai.com/thi-tran-an-thi-an-thi/","Thị trấn Ân Thi")</f>
        <v>Thị trấn Ân Thi</v>
      </c>
    </row>
    <row r="3870" spans="1:7" x14ac:dyDescent="0.25">
      <c r="A3870" s="2">
        <v>3869</v>
      </c>
      <c r="B3870" s="3" t="s">
        <v>23</v>
      </c>
      <c r="C3870" s="4" t="str">
        <f t="shared" si="329"/>
        <v>Hưng Yên</v>
      </c>
      <c r="D3870" s="3" t="s">
        <v>294</v>
      </c>
      <c r="E3870" s="4" t="str">
        <f t="shared" si="330"/>
        <v>Huyện Ân Thi</v>
      </c>
      <c r="F3870" s="3" t="s">
        <v>4633</v>
      </c>
      <c r="G3870" s="4" t="str">
        <f>HYPERLINK("https://diaocthongthai.com/xa-phu-ung-an-thi/","Xã Phù Ủng")</f>
        <v>Xã Phù Ủng</v>
      </c>
    </row>
    <row r="3871" spans="1:7" x14ac:dyDescent="0.25">
      <c r="A3871" s="2">
        <v>3870</v>
      </c>
      <c r="B3871" s="3" t="s">
        <v>23</v>
      </c>
      <c r="C3871" s="4" t="str">
        <f t="shared" si="329"/>
        <v>Hưng Yên</v>
      </c>
      <c r="D3871" s="3" t="s">
        <v>294</v>
      </c>
      <c r="E3871" s="4" t="str">
        <f t="shared" si="330"/>
        <v>Huyện Ân Thi</v>
      </c>
      <c r="F3871" s="3" t="s">
        <v>4634</v>
      </c>
      <c r="G3871" s="4" t="str">
        <f>HYPERLINK("https://diaocthongthai.com/xa-bac-son-an-thi/","Xã Bắc Sơn")</f>
        <v>Xã Bắc Sơn</v>
      </c>
    </row>
    <row r="3872" spans="1:7" x14ac:dyDescent="0.25">
      <c r="A3872" s="2">
        <v>3871</v>
      </c>
      <c r="B3872" s="3" t="s">
        <v>23</v>
      </c>
      <c r="C3872" s="4" t="str">
        <f t="shared" si="329"/>
        <v>Hưng Yên</v>
      </c>
      <c r="D3872" s="3" t="s">
        <v>294</v>
      </c>
      <c r="E3872" s="4" t="str">
        <f t="shared" si="330"/>
        <v>Huyện Ân Thi</v>
      </c>
      <c r="F3872" s="3" t="s">
        <v>4635</v>
      </c>
      <c r="G3872" s="4" t="str">
        <f>HYPERLINK("https://diaocthongthai.com/xa-bai-say-an-thi/","Xã Bãi Sậy")</f>
        <v>Xã Bãi Sậy</v>
      </c>
    </row>
    <row r="3873" spans="1:7" x14ac:dyDescent="0.25">
      <c r="A3873" s="2">
        <v>3872</v>
      </c>
      <c r="B3873" s="3" t="s">
        <v>23</v>
      </c>
      <c r="C3873" s="4" t="str">
        <f t="shared" si="329"/>
        <v>Hưng Yên</v>
      </c>
      <c r="D3873" s="3" t="s">
        <v>294</v>
      </c>
      <c r="E3873" s="4" t="str">
        <f t="shared" si="330"/>
        <v>Huyện Ân Thi</v>
      </c>
      <c r="F3873" s="3" t="s">
        <v>4636</v>
      </c>
      <c r="G3873" s="4" t="str">
        <f>HYPERLINK("https://diaocthongthai.com/xa-dao-duong-an-thi/","Xã Đào Dương")</f>
        <v>Xã Đào Dương</v>
      </c>
    </row>
    <row r="3874" spans="1:7" x14ac:dyDescent="0.25">
      <c r="A3874" s="2">
        <v>3873</v>
      </c>
      <c r="B3874" s="3" t="s">
        <v>23</v>
      </c>
      <c r="C3874" s="4" t="str">
        <f t="shared" si="329"/>
        <v>Hưng Yên</v>
      </c>
      <c r="D3874" s="3" t="s">
        <v>294</v>
      </c>
      <c r="E3874" s="4" t="str">
        <f t="shared" si="330"/>
        <v>Huyện Ân Thi</v>
      </c>
      <c r="F3874" s="3" t="s">
        <v>4637</v>
      </c>
      <c r="G3874" s="4" t="str">
        <f>HYPERLINK("https://diaocthongthai.com/xa-tan-phuc-an-thi/","Xã Tân Phúc")</f>
        <v>Xã Tân Phúc</v>
      </c>
    </row>
    <row r="3875" spans="1:7" x14ac:dyDescent="0.25">
      <c r="A3875" s="2">
        <v>3874</v>
      </c>
      <c r="B3875" s="3" t="s">
        <v>23</v>
      </c>
      <c r="C3875" s="4" t="str">
        <f t="shared" si="329"/>
        <v>Hưng Yên</v>
      </c>
      <c r="D3875" s="3" t="s">
        <v>294</v>
      </c>
      <c r="E3875" s="4" t="str">
        <f t="shared" si="330"/>
        <v>Huyện Ân Thi</v>
      </c>
      <c r="F3875" s="3" t="s">
        <v>4638</v>
      </c>
      <c r="G3875" s="4" t="str">
        <f>HYPERLINK("https://diaocthongthai.com/xa-van-du-an-thi/","Xã Vân Du")</f>
        <v>Xã Vân Du</v>
      </c>
    </row>
    <row r="3876" spans="1:7" x14ac:dyDescent="0.25">
      <c r="A3876" s="2">
        <v>3875</v>
      </c>
      <c r="B3876" s="3" t="s">
        <v>23</v>
      </c>
      <c r="C3876" s="4" t="str">
        <f t="shared" si="329"/>
        <v>Hưng Yên</v>
      </c>
      <c r="D3876" s="3" t="s">
        <v>294</v>
      </c>
      <c r="E3876" s="4" t="str">
        <f t="shared" si="330"/>
        <v>Huyện Ân Thi</v>
      </c>
      <c r="F3876" s="3" t="s">
        <v>4639</v>
      </c>
      <c r="G3876" s="4" t="str">
        <f>HYPERLINK("https://diaocthongthai.com/xa-quang-vinh-an-thi/","Xã Quang Vinh")</f>
        <v>Xã Quang Vinh</v>
      </c>
    </row>
    <row r="3877" spans="1:7" x14ac:dyDescent="0.25">
      <c r="A3877" s="2">
        <v>3876</v>
      </c>
      <c r="B3877" s="3" t="s">
        <v>23</v>
      </c>
      <c r="C3877" s="4" t="str">
        <f t="shared" si="329"/>
        <v>Hưng Yên</v>
      </c>
      <c r="D3877" s="3" t="s">
        <v>294</v>
      </c>
      <c r="E3877" s="4" t="str">
        <f t="shared" si="330"/>
        <v>Huyện Ân Thi</v>
      </c>
      <c r="F3877" s="3" t="s">
        <v>4640</v>
      </c>
      <c r="G3877" s="4" t="str">
        <f>HYPERLINK("https://diaocthongthai.com/xa-xuan-truc-an-thi/","Xã Xuân Trúc")</f>
        <v>Xã Xuân Trúc</v>
      </c>
    </row>
    <row r="3878" spans="1:7" x14ac:dyDescent="0.25">
      <c r="A3878" s="2">
        <v>3877</v>
      </c>
      <c r="B3878" s="3" t="s">
        <v>23</v>
      </c>
      <c r="C3878" s="4" t="str">
        <f t="shared" si="329"/>
        <v>Hưng Yên</v>
      </c>
      <c r="D3878" s="3" t="s">
        <v>294</v>
      </c>
      <c r="E3878" s="4" t="str">
        <f t="shared" si="330"/>
        <v>Huyện Ân Thi</v>
      </c>
      <c r="F3878" s="3" t="s">
        <v>4641</v>
      </c>
      <c r="G3878" s="4" t="str">
        <f>HYPERLINK("https://diaocthongthai.com/xa-hoang-hoa-tham-an-thi/","Xã Hoàng Hoa Thám")</f>
        <v>Xã Hoàng Hoa Thám</v>
      </c>
    </row>
    <row r="3879" spans="1:7" x14ac:dyDescent="0.25">
      <c r="A3879" s="2">
        <v>3878</v>
      </c>
      <c r="B3879" s="3" t="s">
        <v>23</v>
      </c>
      <c r="C3879" s="4" t="str">
        <f t="shared" si="329"/>
        <v>Hưng Yên</v>
      </c>
      <c r="D3879" s="3" t="s">
        <v>294</v>
      </c>
      <c r="E3879" s="4" t="str">
        <f t="shared" si="330"/>
        <v>Huyện Ân Thi</v>
      </c>
      <c r="F3879" s="3" t="s">
        <v>4642</v>
      </c>
      <c r="G3879" s="4" t="str">
        <f>HYPERLINK("https://diaocthongthai.com/xa-quang-lang-an-thi/","Xã Quảng Lãng")</f>
        <v>Xã Quảng Lãng</v>
      </c>
    </row>
    <row r="3880" spans="1:7" x14ac:dyDescent="0.25">
      <c r="A3880" s="2">
        <v>3879</v>
      </c>
      <c r="B3880" s="3" t="s">
        <v>23</v>
      </c>
      <c r="C3880" s="4" t="str">
        <f t="shared" si="329"/>
        <v>Hưng Yên</v>
      </c>
      <c r="D3880" s="3" t="s">
        <v>294</v>
      </c>
      <c r="E3880" s="4" t="str">
        <f t="shared" si="330"/>
        <v>Huyện Ân Thi</v>
      </c>
      <c r="F3880" s="3" t="s">
        <v>4643</v>
      </c>
      <c r="G3880" s="4" t="str">
        <f>HYPERLINK("https://diaocthongthai.com/xa-van-nhue-an-thi/","Xã Văn Nhuệ")</f>
        <v>Xã Văn Nhuệ</v>
      </c>
    </row>
    <row r="3881" spans="1:7" x14ac:dyDescent="0.25">
      <c r="A3881" s="2">
        <v>3880</v>
      </c>
      <c r="B3881" s="3" t="s">
        <v>23</v>
      </c>
      <c r="C3881" s="4" t="str">
        <f t="shared" si="329"/>
        <v>Hưng Yên</v>
      </c>
      <c r="D3881" s="3" t="s">
        <v>294</v>
      </c>
      <c r="E3881" s="4" t="str">
        <f t="shared" si="330"/>
        <v>Huyện Ân Thi</v>
      </c>
      <c r="F3881" s="3" t="s">
        <v>4644</v>
      </c>
      <c r="G3881" s="4" t="str">
        <f>HYPERLINK("https://diaocthongthai.com/xa-dang-le-an-thi/","Xã Đặng Lễ")</f>
        <v>Xã Đặng Lễ</v>
      </c>
    </row>
    <row r="3882" spans="1:7" x14ac:dyDescent="0.25">
      <c r="A3882" s="2">
        <v>3881</v>
      </c>
      <c r="B3882" s="3" t="s">
        <v>23</v>
      </c>
      <c r="C3882" s="4" t="str">
        <f t="shared" si="329"/>
        <v>Hưng Yên</v>
      </c>
      <c r="D3882" s="3" t="s">
        <v>294</v>
      </c>
      <c r="E3882" s="4" t="str">
        <f t="shared" si="330"/>
        <v>Huyện Ân Thi</v>
      </c>
      <c r="F3882" s="3" t="s">
        <v>4645</v>
      </c>
      <c r="G3882" s="4" t="str">
        <f>HYPERLINK("https://diaocthongthai.com/xa-cam-ninh-an-thi/","Xã Cẩm Ninh")</f>
        <v>Xã Cẩm Ninh</v>
      </c>
    </row>
    <row r="3883" spans="1:7" x14ac:dyDescent="0.25">
      <c r="A3883" s="2">
        <v>3882</v>
      </c>
      <c r="B3883" s="3" t="s">
        <v>23</v>
      </c>
      <c r="C3883" s="4" t="str">
        <f t="shared" si="329"/>
        <v>Hưng Yên</v>
      </c>
      <c r="D3883" s="3" t="s">
        <v>294</v>
      </c>
      <c r="E3883" s="4" t="str">
        <f t="shared" si="330"/>
        <v>Huyện Ân Thi</v>
      </c>
      <c r="F3883" s="3" t="s">
        <v>4646</v>
      </c>
      <c r="G3883" s="4" t="str">
        <f>HYPERLINK("https://diaocthongthai.com/xa-nguyen-trai-an-thi/","Xã Nguyễn Trãi")</f>
        <v>Xã Nguyễn Trãi</v>
      </c>
    </row>
    <row r="3884" spans="1:7" x14ac:dyDescent="0.25">
      <c r="A3884" s="2">
        <v>3883</v>
      </c>
      <c r="B3884" s="3" t="s">
        <v>23</v>
      </c>
      <c r="C3884" s="4" t="str">
        <f t="shared" si="329"/>
        <v>Hưng Yên</v>
      </c>
      <c r="D3884" s="3" t="s">
        <v>294</v>
      </c>
      <c r="E3884" s="4" t="str">
        <f t="shared" si="330"/>
        <v>Huyện Ân Thi</v>
      </c>
      <c r="F3884" s="3" t="s">
        <v>4647</v>
      </c>
      <c r="G3884" s="4" t="str">
        <f>HYPERLINK("https://diaocthongthai.com/xa-da-loc-an-thi/","Xã Đa Lộc")</f>
        <v>Xã Đa Lộc</v>
      </c>
    </row>
    <row r="3885" spans="1:7" x14ac:dyDescent="0.25">
      <c r="A3885" s="2">
        <v>3884</v>
      </c>
      <c r="B3885" s="3" t="s">
        <v>23</v>
      </c>
      <c r="C3885" s="4" t="str">
        <f t="shared" si="329"/>
        <v>Hưng Yên</v>
      </c>
      <c r="D3885" s="3" t="s">
        <v>294</v>
      </c>
      <c r="E3885" s="4" t="str">
        <f t="shared" si="330"/>
        <v>Huyện Ân Thi</v>
      </c>
      <c r="F3885" s="3" t="s">
        <v>4648</v>
      </c>
      <c r="G3885" s="4" t="str">
        <f>HYPERLINK("https://diaocthongthai.com/xa-ho-tung-mau-an-thi/","Xã Hồ Tùng Mậu")</f>
        <v>Xã Hồ Tùng Mậu</v>
      </c>
    </row>
    <row r="3886" spans="1:7" x14ac:dyDescent="0.25">
      <c r="A3886" s="2">
        <v>3885</v>
      </c>
      <c r="B3886" s="3" t="s">
        <v>23</v>
      </c>
      <c r="C3886" s="4" t="str">
        <f t="shared" si="329"/>
        <v>Hưng Yên</v>
      </c>
      <c r="D3886" s="3" t="s">
        <v>294</v>
      </c>
      <c r="E3886" s="4" t="str">
        <f t="shared" si="330"/>
        <v>Huyện Ân Thi</v>
      </c>
      <c r="F3886" s="3" t="s">
        <v>4649</v>
      </c>
      <c r="G3886" s="4" t="str">
        <f>HYPERLINK("https://diaocthongthai.com/xa-tien-phong-an-thi/","Xã Tiền Phong")</f>
        <v>Xã Tiền Phong</v>
      </c>
    </row>
    <row r="3887" spans="1:7" x14ac:dyDescent="0.25">
      <c r="A3887" s="2">
        <v>3886</v>
      </c>
      <c r="B3887" s="3" t="s">
        <v>23</v>
      </c>
      <c r="C3887" s="4" t="str">
        <f t="shared" si="329"/>
        <v>Hưng Yên</v>
      </c>
      <c r="D3887" s="3" t="s">
        <v>294</v>
      </c>
      <c r="E3887" s="4" t="str">
        <f t="shared" si="330"/>
        <v>Huyện Ân Thi</v>
      </c>
      <c r="F3887" s="3" t="s">
        <v>4650</v>
      </c>
      <c r="G3887" s="4" t="str">
        <f>HYPERLINK("https://diaocthongthai.com/xa-hong-van-an-thi/","Xã Hồng Vân")</f>
        <v>Xã Hồng Vân</v>
      </c>
    </row>
    <row r="3888" spans="1:7" x14ac:dyDescent="0.25">
      <c r="A3888" s="2">
        <v>3887</v>
      </c>
      <c r="B3888" s="3" t="s">
        <v>23</v>
      </c>
      <c r="C3888" s="4" t="str">
        <f t="shared" si="329"/>
        <v>Hưng Yên</v>
      </c>
      <c r="D3888" s="3" t="s">
        <v>294</v>
      </c>
      <c r="E3888" s="4" t="str">
        <f t="shared" si="330"/>
        <v>Huyện Ân Thi</v>
      </c>
      <c r="F3888" s="3" t="s">
        <v>4651</v>
      </c>
      <c r="G3888" s="4" t="str">
        <f>HYPERLINK("https://diaocthongthai.com/xa-hong-quang-an-thi/","Xã Hồng Quang")</f>
        <v>Xã Hồng Quang</v>
      </c>
    </row>
    <row r="3889" spans="1:7" x14ac:dyDescent="0.25">
      <c r="A3889" s="2">
        <v>3888</v>
      </c>
      <c r="B3889" s="3" t="s">
        <v>23</v>
      </c>
      <c r="C3889" s="4" t="str">
        <f t="shared" si="329"/>
        <v>Hưng Yên</v>
      </c>
      <c r="D3889" s="3" t="s">
        <v>294</v>
      </c>
      <c r="E3889" s="4" t="str">
        <f t="shared" si="330"/>
        <v>Huyện Ân Thi</v>
      </c>
      <c r="F3889" s="3" t="s">
        <v>4652</v>
      </c>
      <c r="G3889" s="4" t="str">
        <f>HYPERLINK("https://diaocthongthai.com/xa-ha-le-an-thi/","Xã Hạ Lễ")</f>
        <v>Xã Hạ Lễ</v>
      </c>
    </row>
    <row r="3890" spans="1:7" x14ac:dyDescent="0.25">
      <c r="A3890" s="2">
        <v>3889</v>
      </c>
      <c r="B3890" s="3" t="s">
        <v>23</v>
      </c>
      <c r="C3890" s="4" t="str">
        <f t="shared" si="329"/>
        <v>Hưng Yên</v>
      </c>
      <c r="D3890" s="3" t="s">
        <v>295</v>
      </c>
      <c r="E3890" s="4" t="str">
        <f t="shared" ref="E3890:E3914" si="331">HYPERLINK("https://diaocthongthai.com/ban-do-huyen-khoai-chau-hung-yen/","Huyện Khoái Châu")</f>
        <v>Huyện Khoái Châu</v>
      </c>
      <c r="F3890" s="3" t="s">
        <v>4653</v>
      </c>
      <c r="G3890" s="4" t="str">
        <f>HYPERLINK("https://diaocthongthai.com/thi-tran-khoai-chau-khoai-chau/","Thị trấn Khoái Châu")</f>
        <v>Thị trấn Khoái Châu</v>
      </c>
    </row>
    <row r="3891" spans="1:7" x14ac:dyDescent="0.25">
      <c r="A3891" s="2">
        <v>3890</v>
      </c>
      <c r="B3891" s="3" t="s">
        <v>23</v>
      </c>
      <c r="C3891" s="4" t="str">
        <f t="shared" si="329"/>
        <v>Hưng Yên</v>
      </c>
      <c r="D3891" s="3" t="s">
        <v>295</v>
      </c>
      <c r="E3891" s="4" t="str">
        <f t="shared" si="331"/>
        <v>Huyện Khoái Châu</v>
      </c>
      <c r="F3891" s="3" t="s">
        <v>4654</v>
      </c>
      <c r="G3891" s="4" t="str">
        <f>HYPERLINK("https://diaocthongthai.com/xa-dong-tao-khoai-chau/","Xã Đông Tảo")</f>
        <v>Xã Đông Tảo</v>
      </c>
    </row>
    <row r="3892" spans="1:7" x14ac:dyDescent="0.25">
      <c r="A3892" s="2">
        <v>3891</v>
      </c>
      <c r="B3892" s="3" t="s">
        <v>23</v>
      </c>
      <c r="C3892" s="4" t="str">
        <f t="shared" si="329"/>
        <v>Hưng Yên</v>
      </c>
      <c r="D3892" s="3" t="s">
        <v>295</v>
      </c>
      <c r="E3892" s="4" t="str">
        <f t="shared" si="331"/>
        <v>Huyện Khoái Châu</v>
      </c>
      <c r="F3892" s="3" t="s">
        <v>4655</v>
      </c>
      <c r="G3892" s="4" t="str">
        <f>HYPERLINK("https://diaocthongthai.com/xa-binh-minh-khoai-chau/","Xã Bình Minh")</f>
        <v>Xã Bình Minh</v>
      </c>
    </row>
    <row r="3893" spans="1:7" x14ac:dyDescent="0.25">
      <c r="A3893" s="2">
        <v>3892</v>
      </c>
      <c r="B3893" s="3" t="s">
        <v>23</v>
      </c>
      <c r="C3893" s="4" t="str">
        <f t="shared" si="329"/>
        <v>Hưng Yên</v>
      </c>
      <c r="D3893" s="3" t="s">
        <v>295</v>
      </c>
      <c r="E3893" s="4" t="str">
        <f t="shared" si="331"/>
        <v>Huyện Khoái Châu</v>
      </c>
      <c r="F3893" s="3" t="s">
        <v>4656</v>
      </c>
      <c r="G3893" s="4" t="str">
        <f>HYPERLINK("https://diaocthongthai.com/xa-da-trach-khoai-chau/","Xã Dạ Trạch")</f>
        <v>Xã Dạ Trạch</v>
      </c>
    </row>
    <row r="3894" spans="1:7" x14ac:dyDescent="0.25">
      <c r="A3894" s="2">
        <v>3893</v>
      </c>
      <c r="B3894" s="3" t="s">
        <v>23</v>
      </c>
      <c r="C3894" s="4" t="str">
        <f t="shared" si="329"/>
        <v>Hưng Yên</v>
      </c>
      <c r="D3894" s="3" t="s">
        <v>295</v>
      </c>
      <c r="E3894" s="4" t="str">
        <f t="shared" si="331"/>
        <v>Huyện Khoái Châu</v>
      </c>
      <c r="F3894" s="3" t="s">
        <v>4657</v>
      </c>
      <c r="G3894" s="4" t="str">
        <f>HYPERLINK("https://diaocthongthai.com/xa-ham-tu-khoai-chau/","Xã Hàm Tử")</f>
        <v>Xã Hàm Tử</v>
      </c>
    </row>
    <row r="3895" spans="1:7" x14ac:dyDescent="0.25">
      <c r="A3895" s="2">
        <v>3894</v>
      </c>
      <c r="B3895" s="3" t="s">
        <v>23</v>
      </c>
      <c r="C3895" s="4" t="str">
        <f t="shared" si="329"/>
        <v>Hưng Yên</v>
      </c>
      <c r="D3895" s="3" t="s">
        <v>295</v>
      </c>
      <c r="E3895" s="4" t="str">
        <f t="shared" si="331"/>
        <v>Huyện Khoái Châu</v>
      </c>
      <c r="F3895" s="3" t="s">
        <v>4658</v>
      </c>
      <c r="G3895" s="4" t="str">
        <f>HYPERLINK("https://diaocthongthai.com/xa-ong-dinh-khoai-chau/","Xã Ông Đình")</f>
        <v>Xã Ông Đình</v>
      </c>
    </row>
    <row r="3896" spans="1:7" x14ac:dyDescent="0.25">
      <c r="A3896" s="2">
        <v>3895</v>
      </c>
      <c r="B3896" s="3" t="s">
        <v>23</v>
      </c>
      <c r="C3896" s="4" t="str">
        <f t="shared" ref="C3896:C3927" si="332">HYPERLINK("https://diaocthongthai.com/ban-do-hung-yen/","Hưng Yên")</f>
        <v>Hưng Yên</v>
      </c>
      <c r="D3896" s="3" t="s">
        <v>295</v>
      </c>
      <c r="E3896" s="4" t="str">
        <f t="shared" si="331"/>
        <v>Huyện Khoái Châu</v>
      </c>
      <c r="F3896" s="3" t="s">
        <v>4659</v>
      </c>
      <c r="G3896" s="4" t="str">
        <f>HYPERLINK("https://diaocthongthai.com/xa-tan-dan-khoai-chau/","Xã Tân Dân")</f>
        <v>Xã Tân Dân</v>
      </c>
    </row>
    <row r="3897" spans="1:7" x14ac:dyDescent="0.25">
      <c r="A3897" s="2">
        <v>3896</v>
      </c>
      <c r="B3897" s="3" t="s">
        <v>23</v>
      </c>
      <c r="C3897" s="4" t="str">
        <f t="shared" si="332"/>
        <v>Hưng Yên</v>
      </c>
      <c r="D3897" s="3" t="s">
        <v>295</v>
      </c>
      <c r="E3897" s="4" t="str">
        <f t="shared" si="331"/>
        <v>Huyện Khoái Châu</v>
      </c>
      <c r="F3897" s="3" t="s">
        <v>4660</v>
      </c>
      <c r="G3897" s="4" t="str">
        <f>HYPERLINK("https://diaocthongthai.com/xa-tu-dan-khoai-chau/","Xã Tứ Dân")</f>
        <v>Xã Tứ Dân</v>
      </c>
    </row>
    <row r="3898" spans="1:7" x14ac:dyDescent="0.25">
      <c r="A3898" s="2">
        <v>3897</v>
      </c>
      <c r="B3898" s="3" t="s">
        <v>23</v>
      </c>
      <c r="C3898" s="4" t="str">
        <f t="shared" si="332"/>
        <v>Hưng Yên</v>
      </c>
      <c r="D3898" s="3" t="s">
        <v>295</v>
      </c>
      <c r="E3898" s="4" t="str">
        <f t="shared" si="331"/>
        <v>Huyện Khoái Châu</v>
      </c>
      <c r="F3898" s="3" t="s">
        <v>4661</v>
      </c>
      <c r="G3898" s="4" t="str">
        <f>HYPERLINK("https://diaocthongthai.com/xa-an-vi-khoai-chau/","Xã An Vĩ")</f>
        <v>Xã An Vĩ</v>
      </c>
    </row>
    <row r="3899" spans="1:7" x14ac:dyDescent="0.25">
      <c r="A3899" s="2">
        <v>3898</v>
      </c>
      <c r="B3899" s="3" t="s">
        <v>23</v>
      </c>
      <c r="C3899" s="4" t="str">
        <f t="shared" si="332"/>
        <v>Hưng Yên</v>
      </c>
      <c r="D3899" s="3" t="s">
        <v>295</v>
      </c>
      <c r="E3899" s="4" t="str">
        <f t="shared" si="331"/>
        <v>Huyện Khoái Châu</v>
      </c>
      <c r="F3899" s="3" t="s">
        <v>4662</v>
      </c>
      <c r="G3899" s="4" t="str">
        <f>HYPERLINK("https://diaocthongthai.com/xa-dong-ket-khoai-chau/","Xã Đông Kết")</f>
        <v>Xã Đông Kết</v>
      </c>
    </row>
    <row r="3900" spans="1:7" x14ac:dyDescent="0.25">
      <c r="A3900" s="2">
        <v>3899</v>
      </c>
      <c r="B3900" s="3" t="s">
        <v>23</v>
      </c>
      <c r="C3900" s="4" t="str">
        <f t="shared" si="332"/>
        <v>Hưng Yên</v>
      </c>
      <c r="D3900" s="3" t="s">
        <v>295</v>
      </c>
      <c r="E3900" s="4" t="str">
        <f t="shared" si="331"/>
        <v>Huyện Khoái Châu</v>
      </c>
      <c r="F3900" s="3" t="s">
        <v>4663</v>
      </c>
      <c r="G3900" s="4" t="str">
        <f>HYPERLINK("https://diaocthongthai.com/xa-binh-kieu-khoai-chau/","Xã Bình Kiều")</f>
        <v>Xã Bình Kiều</v>
      </c>
    </row>
    <row r="3901" spans="1:7" x14ac:dyDescent="0.25">
      <c r="A3901" s="2">
        <v>3900</v>
      </c>
      <c r="B3901" s="3" t="s">
        <v>23</v>
      </c>
      <c r="C3901" s="4" t="str">
        <f t="shared" si="332"/>
        <v>Hưng Yên</v>
      </c>
      <c r="D3901" s="3" t="s">
        <v>295</v>
      </c>
      <c r="E3901" s="4" t="str">
        <f t="shared" si="331"/>
        <v>Huyện Khoái Châu</v>
      </c>
      <c r="F3901" s="3" t="s">
        <v>4664</v>
      </c>
      <c r="G3901" s="4" t="str">
        <f>HYPERLINK("https://diaocthongthai.com/xa-dan-tien-khoai-chau/","Xã Dân Tiến")</f>
        <v>Xã Dân Tiến</v>
      </c>
    </row>
    <row r="3902" spans="1:7" x14ac:dyDescent="0.25">
      <c r="A3902" s="2">
        <v>3901</v>
      </c>
      <c r="B3902" s="3" t="s">
        <v>23</v>
      </c>
      <c r="C3902" s="4" t="str">
        <f t="shared" si="332"/>
        <v>Hưng Yên</v>
      </c>
      <c r="D3902" s="3" t="s">
        <v>295</v>
      </c>
      <c r="E3902" s="4" t="str">
        <f t="shared" si="331"/>
        <v>Huyện Khoái Châu</v>
      </c>
      <c r="F3902" s="3" t="s">
        <v>4665</v>
      </c>
      <c r="G3902" s="4" t="str">
        <f>HYPERLINK("https://diaocthongthai.com/xa-dong-tien-khoai-chau/","Xã Đồng Tiến")</f>
        <v>Xã Đồng Tiến</v>
      </c>
    </row>
    <row r="3903" spans="1:7" x14ac:dyDescent="0.25">
      <c r="A3903" s="2">
        <v>3902</v>
      </c>
      <c r="B3903" s="3" t="s">
        <v>23</v>
      </c>
      <c r="C3903" s="4" t="str">
        <f t="shared" si="332"/>
        <v>Hưng Yên</v>
      </c>
      <c r="D3903" s="3" t="s">
        <v>295</v>
      </c>
      <c r="E3903" s="4" t="str">
        <f t="shared" si="331"/>
        <v>Huyện Khoái Châu</v>
      </c>
      <c r="F3903" s="3" t="s">
        <v>4666</v>
      </c>
      <c r="G3903" s="4" t="str">
        <f>HYPERLINK("https://diaocthongthai.com/xa-hong-tien-khoai-chau/","Xã Hồng Tiến")</f>
        <v>Xã Hồng Tiến</v>
      </c>
    </row>
    <row r="3904" spans="1:7" x14ac:dyDescent="0.25">
      <c r="A3904" s="2">
        <v>3903</v>
      </c>
      <c r="B3904" s="3" t="s">
        <v>23</v>
      </c>
      <c r="C3904" s="4" t="str">
        <f t="shared" si="332"/>
        <v>Hưng Yên</v>
      </c>
      <c r="D3904" s="3" t="s">
        <v>295</v>
      </c>
      <c r="E3904" s="4" t="str">
        <f t="shared" si="331"/>
        <v>Huyện Khoái Châu</v>
      </c>
      <c r="F3904" s="3" t="s">
        <v>4667</v>
      </c>
      <c r="G3904" s="4" t="str">
        <f>HYPERLINK("https://diaocthongthai.com/xa-tan-chau-khoai-chau/","Xã Tân Châu")</f>
        <v>Xã Tân Châu</v>
      </c>
    </row>
    <row r="3905" spans="1:7" x14ac:dyDescent="0.25">
      <c r="A3905" s="2">
        <v>3904</v>
      </c>
      <c r="B3905" s="3" t="s">
        <v>23</v>
      </c>
      <c r="C3905" s="4" t="str">
        <f t="shared" si="332"/>
        <v>Hưng Yên</v>
      </c>
      <c r="D3905" s="3" t="s">
        <v>295</v>
      </c>
      <c r="E3905" s="4" t="str">
        <f t="shared" si="331"/>
        <v>Huyện Khoái Châu</v>
      </c>
      <c r="F3905" s="3" t="s">
        <v>4668</v>
      </c>
      <c r="G3905" s="4" t="str">
        <f>HYPERLINK("https://diaocthongthai.com/xa-lien-khe-khoai-chau/","Xã Liên Khê")</f>
        <v>Xã Liên Khê</v>
      </c>
    </row>
    <row r="3906" spans="1:7" x14ac:dyDescent="0.25">
      <c r="A3906" s="2">
        <v>3905</v>
      </c>
      <c r="B3906" s="3" t="s">
        <v>23</v>
      </c>
      <c r="C3906" s="4" t="str">
        <f t="shared" si="332"/>
        <v>Hưng Yên</v>
      </c>
      <c r="D3906" s="3" t="s">
        <v>295</v>
      </c>
      <c r="E3906" s="4" t="str">
        <f t="shared" si="331"/>
        <v>Huyện Khoái Châu</v>
      </c>
      <c r="F3906" s="3" t="s">
        <v>4669</v>
      </c>
      <c r="G3906" s="4" t="str">
        <f>HYPERLINK("https://diaocthongthai.com/xa-phung-hung-khoai-chau/","Xã Phùng Hưng")</f>
        <v>Xã Phùng Hưng</v>
      </c>
    </row>
    <row r="3907" spans="1:7" x14ac:dyDescent="0.25">
      <c r="A3907" s="2">
        <v>3906</v>
      </c>
      <c r="B3907" s="3" t="s">
        <v>23</v>
      </c>
      <c r="C3907" s="4" t="str">
        <f t="shared" si="332"/>
        <v>Hưng Yên</v>
      </c>
      <c r="D3907" s="3" t="s">
        <v>295</v>
      </c>
      <c r="E3907" s="4" t="str">
        <f t="shared" si="331"/>
        <v>Huyện Khoái Châu</v>
      </c>
      <c r="F3907" s="3" t="s">
        <v>4670</v>
      </c>
      <c r="G3907" s="4" t="str">
        <f>HYPERLINK("https://diaocthongthai.com/xa-viet-hoa-khoai-chau/","Xã Việt Hòa")</f>
        <v>Xã Việt Hòa</v>
      </c>
    </row>
    <row r="3908" spans="1:7" x14ac:dyDescent="0.25">
      <c r="A3908" s="2">
        <v>3907</v>
      </c>
      <c r="B3908" s="3" t="s">
        <v>23</v>
      </c>
      <c r="C3908" s="4" t="str">
        <f t="shared" si="332"/>
        <v>Hưng Yên</v>
      </c>
      <c r="D3908" s="3" t="s">
        <v>295</v>
      </c>
      <c r="E3908" s="4" t="str">
        <f t="shared" si="331"/>
        <v>Huyện Khoái Châu</v>
      </c>
      <c r="F3908" s="3" t="s">
        <v>4671</v>
      </c>
      <c r="G3908" s="4" t="str">
        <f>HYPERLINK("https://diaocthongthai.com/xa-dong-ninh-khoai-chau/","Xã Đông Ninh")</f>
        <v>Xã Đông Ninh</v>
      </c>
    </row>
    <row r="3909" spans="1:7" x14ac:dyDescent="0.25">
      <c r="A3909" s="2">
        <v>3908</v>
      </c>
      <c r="B3909" s="3" t="s">
        <v>23</v>
      </c>
      <c r="C3909" s="4" t="str">
        <f t="shared" si="332"/>
        <v>Hưng Yên</v>
      </c>
      <c r="D3909" s="3" t="s">
        <v>295</v>
      </c>
      <c r="E3909" s="4" t="str">
        <f t="shared" si="331"/>
        <v>Huyện Khoái Châu</v>
      </c>
      <c r="F3909" s="3" t="s">
        <v>4672</v>
      </c>
      <c r="G3909" s="4" t="str">
        <f>HYPERLINK("https://diaocthongthai.com/xa-dai-tap-khoai-chau/","Xã Đại Tập")</f>
        <v>Xã Đại Tập</v>
      </c>
    </row>
    <row r="3910" spans="1:7" x14ac:dyDescent="0.25">
      <c r="A3910" s="2">
        <v>3909</v>
      </c>
      <c r="B3910" s="3" t="s">
        <v>23</v>
      </c>
      <c r="C3910" s="4" t="str">
        <f t="shared" si="332"/>
        <v>Hưng Yên</v>
      </c>
      <c r="D3910" s="3" t="s">
        <v>295</v>
      </c>
      <c r="E3910" s="4" t="str">
        <f t="shared" si="331"/>
        <v>Huyện Khoái Châu</v>
      </c>
      <c r="F3910" s="3" t="s">
        <v>4673</v>
      </c>
      <c r="G3910" s="4" t="str">
        <f>HYPERLINK("https://diaocthongthai.com/xa-chi-tan-khoai-chau/","Xã Chí Tân")</f>
        <v>Xã Chí Tân</v>
      </c>
    </row>
    <row r="3911" spans="1:7" x14ac:dyDescent="0.25">
      <c r="A3911" s="2">
        <v>3910</v>
      </c>
      <c r="B3911" s="3" t="s">
        <v>23</v>
      </c>
      <c r="C3911" s="4" t="str">
        <f t="shared" si="332"/>
        <v>Hưng Yên</v>
      </c>
      <c r="D3911" s="3" t="s">
        <v>295</v>
      </c>
      <c r="E3911" s="4" t="str">
        <f t="shared" si="331"/>
        <v>Huyện Khoái Châu</v>
      </c>
      <c r="F3911" s="3" t="s">
        <v>4674</v>
      </c>
      <c r="G3911" s="4" t="str">
        <f>HYPERLINK("https://diaocthongthai.com/xa-dai-hung-khoai-chau/","Xã Đại Hưng")</f>
        <v>Xã Đại Hưng</v>
      </c>
    </row>
    <row r="3912" spans="1:7" x14ac:dyDescent="0.25">
      <c r="A3912" s="2">
        <v>3911</v>
      </c>
      <c r="B3912" s="3" t="s">
        <v>23</v>
      </c>
      <c r="C3912" s="4" t="str">
        <f t="shared" si="332"/>
        <v>Hưng Yên</v>
      </c>
      <c r="D3912" s="3" t="s">
        <v>295</v>
      </c>
      <c r="E3912" s="4" t="str">
        <f t="shared" si="331"/>
        <v>Huyện Khoái Châu</v>
      </c>
      <c r="F3912" s="3" t="s">
        <v>4675</v>
      </c>
      <c r="G3912" s="4" t="str">
        <f>HYPERLINK("https://diaocthongthai.com/xa-thuan-hung-khoai-chau/","Xã Thuần Hưng")</f>
        <v>Xã Thuần Hưng</v>
      </c>
    </row>
    <row r="3913" spans="1:7" x14ac:dyDescent="0.25">
      <c r="A3913" s="2">
        <v>3912</v>
      </c>
      <c r="B3913" s="3" t="s">
        <v>23</v>
      </c>
      <c r="C3913" s="4" t="str">
        <f t="shared" si="332"/>
        <v>Hưng Yên</v>
      </c>
      <c r="D3913" s="3" t="s">
        <v>295</v>
      </c>
      <c r="E3913" s="4" t="str">
        <f t="shared" si="331"/>
        <v>Huyện Khoái Châu</v>
      </c>
      <c r="F3913" s="3" t="s">
        <v>4676</v>
      </c>
      <c r="G3913" s="4" t="str">
        <f>HYPERLINK("https://diaocthongthai.com/xa-thanh-cong-khoai-chau/","Xã Thành Công")</f>
        <v>Xã Thành Công</v>
      </c>
    </row>
    <row r="3914" spans="1:7" x14ac:dyDescent="0.25">
      <c r="A3914" s="2">
        <v>3913</v>
      </c>
      <c r="B3914" s="3" t="s">
        <v>23</v>
      </c>
      <c r="C3914" s="4" t="str">
        <f t="shared" si="332"/>
        <v>Hưng Yên</v>
      </c>
      <c r="D3914" s="3" t="s">
        <v>295</v>
      </c>
      <c r="E3914" s="4" t="str">
        <f t="shared" si="331"/>
        <v>Huyện Khoái Châu</v>
      </c>
      <c r="F3914" s="3" t="s">
        <v>4677</v>
      </c>
      <c r="G3914" s="4" t="str">
        <f>HYPERLINK("https://diaocthongthai.com/xa-nhue-duong-khoai-chau/","Xã Nhuế Dương")</f>
        <v>Xã Nhuế Dương</v>
      </c>
    </row>
    <row r="3915" spans="1:7" x14ac:dyDescent="0.25">
      <c r="A3915" s="2">
        <v>3914</v>
      </c>
      <c r="B3915" s="3" t="s">
        <v>23</v>
      </c>
      <c r="C3915" s="4" t="str">
        <f t="shared" si="332"/>
        <v>Hưng Yên</v>
      </c>
      <c r="D3915" s="3" t="s">
        <v>296</v>
      </c>
      <c r="E3915" s="4" t="str">
        <f t="shared" ref="E3915:E3931" si="333">HYPERLINK("https://diaocthongthai.com/ban-do-huyen-kim-dong-hung-yen/","Huyện Kim Động")</f>
        <v>Huyện Kim Động</v>
      </c>
      <c r="F3915" s="3" t="s">
        <v>4678</v>
      </c>
      <c r="G3915" s="4" t="str">
        <f>HYPERLINK("https://diaocthongthai.com/thi-tran-luong-bang-kim-dong/","Thị trấn Lương Bằng")</f>
        <v>Thị trấn Lương Bằng</v>
      </c>
    </row>
    <row r="3916" spans="1:7" x14ac:dyDescent="0.25">
      <c r="A3916" s="2">
        <v>3915</v>
      </c>
      <c r="B3916" s="3" t="s">
        <v>23</v>
      </c>
      <c r="C3916" s="4" t="str">
        <f t="shared" si="332"/>
        <v>Hưng Yên</v>
      </c>
      <c r="D3916" s="3" t="s">
        <v>296</v>
      </c>
      <c r="E3916" s="4" t="str">
        <f t="shared" si="333"/>
        <v>Huyện Kim Động</v>
      </c>
      <c r="F3916" s="3" t="s">
        <v>4679</v>
      </c>
      <c r="G3916" s="4" t="str">
        <f>HYPERLINK("https://diaocthongthai.com/xa-nghia-dan-kim-dong/","Xã Nghĩa Dân")</f>
        <v>Xã Nghĩa Dân</v>
      </c>
    </row>
    <row r="3917" spans="1:7" x14ac:dyDescent="0.25">
      <c r="A3917" s="2">
        <v>3916</v>
      </c>
      <c r="B3917" s="3" t="s">
        <v>23</v>
      </c>
      <c r="C3917" s="4" t="str">
        <f t="shared" si="332"/>
        <v>Hưng Yên</v>
      </c>
      <c r="D3917" s="3" t="s">
        <v>296</v>
      </c>
      <c r="E3917" s="4" t="str">
        <f t="shared" si="333"/>
        <v>Huyện Kim Động</v>
      </c>
      <c r="F3917" s="3" t="s">
        <v>4680</v>
      </c>
      <c r="G3917" s="4" t="str">
        <f>HYPERLINK("https://diaocthongthai.com/xa-toan-thang-kim-dong/","Xã Toàn Thắng")</f>
        <v>Xã Toàn Thắng</v>
      </c>
    </row>
    <row r="3918" spans="1:7" x14ac:dyDescent="0.25">
      <c r="A3918" s="2">
        <v>3917</v>
      </c>
      <c r="B3918" s="3" t="s">
        <v>23</v>
      </c>
      <c r="C3918" s="4" t="str">
        <f t="shared" si="332"/>
        <v>Hưng Yên</v>
      </c>
      <c r="D3918" s="3" t="s">
        <v>296</v>
      </c>
      <c r="E3918" s="4" t="str">
        <f t="shared" si="333"/>
        <v>Huyện Kim Động</v>
      </c>
      <c r="F3918" s="3" t="s">
        <v>4681</v>
      </c>
      <c r="G3918" s="4" t="str">
        <f>HYPERLINK("https://diaocthongthai.com/xa-vinh-xa-kim-dong/","Xã Vĩnh Xá")</f>
        <v>Xã Vĩnh Xá</v>
      </c>
    </row>
    <row r="3919" spans="1:7" x14ac:dyDescent="0.25">
      <c r="A3919" s="2">
        <v>3918</v>
      </c>
      <c r="B3919" s="3" t="s">
        <v>23</v>
      </c>
      <c r="C3919" s="4" t="str">
        <f t="shared" si="332"/>
        <v>Hưng Yên</v>
      </c>
      <c r="D3919" s="3" t="s">
        <v>296</v>
      </c>
      <c r="E3919" s="4" t="str">
        <f t="shared" si="333"/>
        <v>Huyện Kim Động</v>
      </c>
      <c r="F3919" s="3" t="s">
        <v>4682</v>
      </c>
      <c r="G3919" s="4" t="str">
        <f>HYPERLINK("https://diaocthongthai.com/xa-pham-ngu-lao-kim-dong/","Xã Phạm Ngũ Lão")</f>
        <v>Xã Phạm Ngũ Lão</v>
      </c>
    </row>
    <row r="3920" spans="1:7" x14ac:dyDescent="0.25">
      <c r="A3920" s="2">
        <v>3919</v>
      </c>
      <c r="B3920" s="3" t="s">
        <v>23</v>
      </c>
      <c r="C3920" s="4" t="str">
        <f t="shared" si="332"/>
        <v>Hưng Yên</v>
      </c>
      <c r="D3920" s="3" t="s">
        <v>296</v>
      </c>
      <c r="E3920" s="4" t="str">
        <f t="shared" si="333"/>
        <v>Huyện Kim Động</v>
      </c>
      <c r="F3920" s="3" t="s">
        <v>4683</v>
      </c>
      <c r="G3920" s="4" t="str">
        <f>HYPERLINK("https://diaocthongthai.com/xa-tho-vinh-kim-dong/","Xã Thọ Vinh")</f>
        <v>Xã Thọ Vinh</v>
      </c>
    </row>
    <row r="3921" spans="1:7" x14ac:dyDescent="0.25">
      <c r="A3921" s="2">
        <v>3920</v>
      </c>
      <c r="B3921" s="3" t="s">
        <v>23</v>
      </c>
      <c r="C3921" s="4" t="str">
        <f t="shared" si="332"/>
        <v>Hưng Yên</v>
      </c>
      <c r="D3921" s="3" t="s">
        <v>296</v>
      </c>
      <c r="E3921" s="4" t="str">
        <f t="shared" si="333"/>
        <v>Huyện Kim Động</v>
      </c>
      <c r="F3921" s="3" t="s">
        <v>4684</v>
      </c>
      <c r="G3921" s="4" t="str">
        <f>HYPERLINK("https://diaocthongthai.com/xa-dong-thanh-kim-dong/","Xã Đồng Thanh")</f>
        <v>Xã Đồng Thanh</v>
      </c>
    </row>
    <row r="3922" spans="1:7" x14ac:dyDescent="0.25">
      <c r="A3922" s="2">
        <v>3921</v>
      </c>
      <c r="B3922" s="3" t="s">
        <v>23</v>
      </c>
      <c r="C3922" s="4" t="str">
        <f t="shared" si="332"/>
        <v>Hưng Yên</v>
      </c>
      <c r="D3922" s="3" t="s">
        <v>296</v>
      </c>
      <c r="E3922" s="4" t="str">
        <f t="shared" si="333"/>
        <v>Huyện Kim Động</v>
      </c>
      <c r="F3922" s="3" t="s">
        <v>4685</v>
      </c>
      <c r="G3922" s="4" t="str">
        <f>HYPERLINK("https://diaocthongthai.com/xa-song-mai-kim-dong/","Xã Song Mai")</f>
        <v>Xã Song Mai</v>
      </c>
    </row>
    <row r="3923" spans="1:7" x14ac:dyDescent="0.25">
      <c r="A3923" s="2">
        <v>3922</v>
      </c>
      <c r="B3923" s="3" t="s">
        <v>23</v>
      </c>
      <c r="C3923" s="4" t="str">
        <f t="shared" si="332"/>
        <v>Hưng Yên</v>
      </c>
      <c r="D3923" s="3" t="s">
        <v>296</v>
      </c>
      <c r="E3923" s="4" t="str">
        <f t="shared" si="333"/>
        <v>Huyện Kim Động</v>
      </c>
      <c r="F3923" s="3" t="s">
        <v>4686</v>
      </c>
      <c r="G3923" s="4" t="str">
        <f>HYPERLINK("https://diaocthongthai.com/xa-chinh-nghia-kim-dong/","Xã Chính Nghĩa")</f>
        <v>Xã Chính Nghĩa</v>
      </c>
    </row>
    <row r="3924" spans="1:7" x14ac:dyDescent="0.25">
      <c r="A3924" s="2">
        <v>3923</v>
      </c>
      <c r="B3924" s="3" t="s">
        <v>23</v>
      </c>
      <c r="C3924" s="4" t="str">
        <f t="shared" si="332"/>
        <v>Hưng Yên</v>
      </c>
      <c r="D3924" s="3" t="s">
        <v>296</v>
      </c>
      <c r="E3924" s="4" t="str">
        <f t="shared" si="333"/>
        <v>Huyện Kim Động</v>
      </c>
      <c r="F3924" s="3" t="s">
        <v>4687</v>
      </c>
      <c r="G3924" s="4" t="str">
        <f>HYPERLINK("https://diaocthongthai.com/xa-nhan-la-kim-dong/","Xã Nhân La")</f>
        <v>Xã Nhân La</v>
      </c>
    </row>
    <row r="3925" spans="1:7" x14ac:dyDescent="0.25">
      <c r="A3925" s="2">
        <v>3924</v>
      </c>
      <c r="B3925" s="3" t="s">
        <v>23</v>
      </c>
      <c r="C3925" s="4" t="str">
        <f t="shared" si="332"/>
        <v>Hưng Yên</v>
      </c>
      <c r="D3925" s="3" t="s">
        <v>296</v>
      </c>
      <c r="E3925" s="4" t="str">
        <f t="shared" si="333"/>
        <v>Huyện Kim Động</v>
      </c>
      <c r="F3925" s="3" t="s">
        <v>4688</v>
      </c>
      <c r="G3925" s="4" t="str">
        <f>HYPERLINK("https://diaocthongthai.com/xa-phu-thinh-kim-dong/","Xã Phú Thịnh")</f>
        <v>Xã Phú Thịnh</v>
      </c>
    </row>
    <row r="3926" spans="1:7" x14ac:dyDescent="0.25">
      <c r="A3926" s="2">
        <v>3925</v>
      </c>
      <c r="B3926" s="3" t="s">
        <v>23</v>
      </c>
      <c r="C3926" s="4" t="str">
        <f t="shared" si="332"/>
        <v>Hưng Yên</v>
      </c>
      <c r="D3926" s="3" t="s">
        <v>296</v>
      </c>
      <c r="E3926" s="4" t="str">
        <f t="shared" si="333"/>
        <v>Huyện Kim Động</v>
      </c>
      <c r="F3926" s="3" t="s">
        <v>4689</v>
      </c>
      <c r="G3926" s="4" t="str">
        <f>HYPERLINK("https://diaocthongthai.com/xa-mai-dong-kim-dong/","Xã Mai Động")</f>
        <v>Xã Mai Động</v>
      </c>
    </row>
    <row r="3927" spans="1:7" x14ac:dyDescent="0.25">
      <c r="A3927" s="2">
        <v>3926</v>
      </c>
      <c r="B3927" s="3" t="s">
        <v>23</v>
      </c>
      <c r="C3927" s="4" t="str">
        <f t="shared" si="332"/>
        <v>Hưng Yên</v>
      </c>
      <c r="D3927" s="3" t="s">
        <v>296</v>
      </c>
      <c r="E3927" s="4" t="str">
        <f t="shared" si="333"/>
        <v>Huyện Kim Động</v>
      </c>
      <c r="F3927" s="3" t="s">
        <v>4690</v>
      </c>
      <c r="G3927" s="4" t="str">
        <f>HYPERLINK("https://diaocthongthai.com/xa-duc-hop-kim-dong/","Xã Đức Hợp")</f>
        <v>Xã Đức Hợp</v>
      </c>
    </row>
    <row r="3928" spans="1:7" x14ac:dyDescent="0.25">
      <c r="A3928" s="2">
        <v>3927</v>
      </c>
      <c r="B3928" s="3" t="s">
        <v>23</v>
      </c>
      <c r="C3928" s="4" t="str">
        <f t="shared" ref="C3928:C3960" si="334">HYPERLINK("https://diaocthongthai.com/ban-do-hung-yen/","Hưng Yên")</f>
        <v>Hưng Yên</v>
      </c>
      <c r="D3928" s="3" t="s">
        <v>296</v>
      </c>
      <c r="E3928" s="4" t="str">
        <f t="shared" si="333"/>
        <v>Huyện Kim Động</v>
      </c>
      <c r="F3928" s="3" t="s">
        <v>4691</v>
      </c>
      <c r="G3928" s="4" t="str">
        <f>HYPERLINK("https://diaocthongthai.com/xa-hung-an-kim-dong/","Xã Hùng An")</f>
        <v>Xã Hùng An</v>
      </c>
    </row>
    <row r="3929" spans="1:7" x14ac:dyDescent="0.25">
      <c r="A3929" s="2">
        <v>3928</v>
      </c>
      <c r="B3929" s="3" t="s">
        <v>23</v>
      </c>
      <c r="C3929" s="4" t="str">
        <f t="shared" si="334"/>
        <v>Hưng Yên</v>
      </c>
      <c r="D3929" s="3" t="s">
        <v>296</v>
      </c>
      <c r="E3929" s="4" t="str">
        <f t="shared" si="333"/>
        <v>Huyện Kim Động</v>
      </c>
      <c r="F3929" s="3" t="s">
        <v>4692</v>
      </c>
      <c r="G3929" s="4" t="str">
        <f>HYPERLINK("https://diaocthongthai.com/xa-ngoc-thanh-kim-dong/","Xã Ngọc Thanh")</f>
        <v>Xã Ngọc Thanh</v>
      </c>
    </row>
    <row r="3930" spans="1:7" x14ac:dyDescent="0.25">
      <c r="A3930" s="2">
        <v>3929</v>
      </c>
      <c r="B3930" s="3" t="s">
        <v>23</v>
      </c>
      <c r="C3930" s="4" t="str">
        <f t="shared" si="334"/>
        <v>Hưng Yên</v>
      </c>
      <c r="D3930" s="3" t="s">
        <v>296</v>
      </c>
      <c r="E3930" s="4" t="str">
        <f t="shared" si="333"/>
        <v>Huyện Kim Động</v>
      </c>
      <c r="F3930" s="3" t="s">
        <v>4693</v>
      </c>
      <c r="G3930" s="4" t="str">
        <f>HYPERLINK("https://diaocthongthai.com/xa-vu-xa-kim-dong/","Xã Vũ Xá")</f>
        <v>Xã Vũ Xá</v>
      </c>
    </row>
    <row r="3931" spans="1:7" x14ac:dyDescent="0.25">
      <c r="A3931" s="2">
        <v>3930</v>
      </c>
      <c r="B3931" s="3" t="s">
        <v>23</v>
      </c>
      <c r="C3931" s="4" t="str">
        <f t="shared" si="334"/>
        <v>Hưng Yên</v>
      </c>
      <c r="D3931" s="3" t="s">
        <v>296</v>
      </c>
      <c r="E3931" s="4" t="str">
        <f t="shared" si="333"/>
        <v>Huyện Kim Động</v>
      </c>
      <c r="F3931" s="3" t="s">
        <v>4694</v>
      </c>
      <c r="G3931" s="4" t="str">
        <f>HYPERLINK("https://diaocthongthai.com/xa-hiep-cuong-kim-dong/","Xã Hiệp Cường")</f>
        <v>Xã Hiệp Cường</v>
      </c>
    </row>
    <row r="3932" spans="1:7" x14ac:dyDescent="0.25">
      <c r="A3932" s="2">
        <v>3931</v>
      </c>
      <c r="B3932" s="3" t="s">
        <v>23</v>
      </c>
      <c r="C3932" s="4" t="str">
        <f t="shared" si="334"/>
        <v>Hưng Yên</v>
      </c>
      <c r="D3932" s="3" t="s">
        <v>297</v>
      </c>
      <c r="E3932" s="4" t="str">
        <f t="shared" ref="E3932:E3946" si="335">HYPERLINK("https://diaocthongthai.com/ban-do-huyen-tien-lu-hung-yen/","Huyện Tiên Lữ")</f>
        <v>Huyện Tiên Lữ</v>
      </c>
      <c r="F3932" s="3" t="s">
        <v>4695</v>
      </c>
      <c r="G3932" s="4" t="str">
        <f>HYPERLINK("https://diaocthongthai.com/thi-tran-vuong-tien-lu/","Thị trấn Vương")</f>
        <v>Thị trấn Vương</v>
      </c>
    </row>
    <row r="3933" spans="1:7" x14ac:dyDescent="0.25">
      <c r="A3933" s="2">
        <v>3932</v>
      </c>
      <c r="B3933" s="3" t="s">
        <v>23</v>
      </c>
      <c r="C3933" s="4" t="str">
        <f t="shared" si="334"/>
        <v>Hưng Yên</v>
      </c>
      <c r="D3933" s="3" t="s">
        <v>297</v>
      </c>
      <c r="E3933" s="4" t="str">
        <f t="shared" si="335"/>
        <v>Huyện Tiên Lữ</v>
      </c>
      <c r="F3933" s="3" t="s">
        <v>4696</v>
      </c>
      <c r="G3933" s="4" t="str">
        <f>HYPERLINK("https://diaocthongthai.com/xa-hung-dao-tien-lu/","Xã Hưng Đạo")</f>
        <v>Xã Hưng Đạo</v>
      </c>
    </row>
    <row r="3934" spans="1:7" x14ac:dyDescent="0.25">
      <c r="A3934" s="2">
        <v>3933</v>
      </c>
      <c r="B3934" s="3" t="s">
        <v>23</v>
      </c>
      <c r="C3934" s="4" t="str">
        <f t="shared" si="334"/>
        <v>Hưng Yên</v>
      </c>
      <c r="D3934" s="3" t="s">
        <v>297</v>
      </c>
      <c r="E3934" s="4" t="str">
        <f t="shared" si="335"/>
        <v>Huyện Tiên Lữ</v>
      </c>
      <c r="F3934" s="3" t="s">
        <v>4697</v>
      </c>
      <c r="G3934" s="4" t="str">
        <f>HYPERLINK("https://diaocthongthai.com/xa-ngo-quyen-tien-lu/","Xã Ngô Quyền")</f>
        <v>Xã Ngô Quyền</v>
      </c>
    </row>
    <row r="3935" spans="1:7" x14ac:dyDescent="0.25">
      <c r="A3935" s="2">
        <v>3934</v>
      </c>
      <c r="B3935" s="3" t="s">
        <v>23</v>
      </c>
      <c r="C3935" s="4" t="str">
        <f t="shared" si="334"/>
        <v>Hưng Yên</v>
      </c>
      <c r="D3935" s="3" t="s">
        <v>297</v>
      </c>
      <c r="E3935" s="4" t="str">
        <f t="shared" si="335"/>
        <v>Huyện Tiên Lữ</v>
      </c>
      <c r="F3935" s="3" t="s">
        <v>4698</v>
      </c>
      <c r="G3935" s="4" t="str">
        <f>HYPERLINK("https://diaocthongthai.com/xa-nhat-tan-tien-lu/","Xã Nhật Tân")</f>
        <v>Xã Nhật Tân</v>
      </c>
    </row>
    <row r="3936" spans="1:7" x14ac:dyDescent="0.25">
      <c r="A3936" s="2">
        <v>3935</v>
      </c>
      <c r="B3936" s="3" t="s">
        <v>23</v>
      </c>
      <c r="C3936" s="4" t="str">
        <f t="shared" si="334"/>
        <v>Hưng Yên</v>
      </c>
      <c r="D3936" s="3" t="s">
        <v>297</v>
      </c>
      <c r="E3936" s="4" t="str">
        <f t="shared" si="335"/>
        <v>Huyện Tiên Lữ</v>
      </c>
      <c r="F3936" s="3" t="s">
        <v>4699</v>
      </c>
      <c r="G3936" s="4" t="str">
        <f>HYPERLINK("https://diaocthongthai.com/xa-di-che-tien-lu/","Xã Dị Chế")</f>
        <v>Xã Dị Chế</v>
      </c>
    </row>
    <row r="3937" spans="1:7" x14ac:dyDescent="0.25">
      <c r="A3937" s="2">
        <v>3936</v>
      </c>
      <c r="B3937" s="3" t="s">
        <v>23</v>
      </c>
      <c r="C3937" s="4" t="str">
        <f t="shared" si="334"/>
        <v>Hưng Yên</v>
      </c>
      <c r="D3937" s="3" t="s">
        <v>297</v>
      </c>
      <c r="E3937" s="4" t="str">
        <f t="shared" si="335"/>
        <v>Huyện Tiên Lữ</v>
      </c>
      <c r="F3937" s="3" t="s">
        <v>4700</v>
      </c>
      <c r="G3937" s="4" t="str">
        <f>HYPERLINK("https://diaocthongthai.com/xa-le-xa-tien-lu/","Xã Lệ Xá")</f>
        <v>Xã Lệ Xá</v>
      </c>
    </row>
    <row r="3938" spans="1:7" x14ac:dyDescent="0.25">
      <c r="A3938" s="2">
        <v>3937</v>
      </c>
      <c r="B3938" s="3" t="s">
        <v>23</v>
      </c>
      <c r="C3938" s="4" t="str">
        <f t="shared" si="334"/>
        <v>Hưng Yên</v>
      </c>
      <c r="D3938" s="3" t="s">
        <v>297</v>
      </c>
      <c r="E3938" s="4" t="str">
        <f t="shared" si="335"/>
        <v>Huyện Tiên Lữ</v>
      </c>
      <c r="F3938" s="3" t="s">
        <v>4701</v>
      </c>
      <c r="G3938" s="4" t="str">
        <f>HYPERLINK("https://diaocthongthai.com/xa-an-vien-tien-lu/","Xã An Viên")</f>
        <v>Xã An Viên</v>
      </c>
    </row>
    <row r="3939" spans="1:7" x14ac:dyDescent="0.25">
      <c r="A3939" s="2">
        <v>3938</v>
      </c>
      <c r="B3939" s="3" t="s">
        <v>23</v>
      </c>
      <c r="C3939" s="4" t="str">
        <f t="shared" si="334"/>
        <v>Hưng Yên</v>
      </c>
      <c r="D3939" s="3" t="s">
        <v>297</v>
      </c>
      <c r="E3939" s="4" t="str">
        <f t="shared" si="335"/>
        <v>Huyện Tiên Lữ</v>
      </c>
      <c r="F3939" s="3" t="s">
        <v>4702</v>
      </c>
      <c r="G3939" s="4" t="str">
        <f>HYPERLINK("https://diaocthongthai.com/xa-duc-thang-tien-lu/","Xã Đức Thắng")</f>
        <v>Xã Đức Thắng</v>
      </c>
    </row>
    <row r="3940" spans="1:7" x14ac:dyDescent="0.25">
      <c r="A3940" s="2">
        <v>3939</v>
      </c>
      <c r="B3940" s="3" t="s">
        <v>23</v>
      </c>
      <c r="C3940" s="4" t="str">
        <f t="shared" si="334"/>
        <v>Hưng Yên</v>
      </c>
      <c r="D3940" s="3" t="s">
        <v>297</v>
      </c>
      <c r="E3940" s="4" t="str">
        <f t="shared" si="335"/>
        <v>Huyện Tiên Lữ</v>
      </c>
      <c r="F3940" s="3" t="s">
        <v>4703</v>
      </c>
      <c r="G3940" s="4" t="str">
        <f>HYPERLINK("https://diaocthongthai.com/xa-trung-dung-tien-lu/","Xã Trung Dũng")</f>
        <v>Xã Trung Dũng</v>
      </c>
    </row>
    <row r="3941" spans="1:7" x14ac:dyDescent="0.25">
      <c r="A3941" s="2">
        <v>3940</v>
      </c>
      <c r="B3941" s="3" t="s">
        <v>23</v>
      </c>
      <c r="C3941" s="4" t="str">
        <f t="shared" si="334"/>
        <v>Hưng Yên</v>
      </c>
      <c r="D3941" s="3" t="s">
        <v>297</v>
      </c>
      <c r="E3941" s="4" t="str">
        <f t="shared" si="335"/>
        <v>Huyện Tiên Lữ</v>
      </c>
      <c r="F3941" s="3" t="s">
        <v>4704</v>
      </c>
      <c r="G3941" s="4" t="str">
        <f>HYPERLINK("https://diaocthongthai.com/xa-hai-trieu-tien-lu/","Xã Hải Triều")</f>
        <v>Xã Hải Triều</v>
      </c>
    </row>
    <row r="3942" spans="1:7" x14ac:dyDescent="0.25">
      <c r="A3942" s="2">
        <v>3941</v>
      </c>
      <c r="B3942" s="3" t="s">
        <v>23</v>
      </c>
      <c r="C3942" s="4" t="str">
        <f t="shared" si="334"/>
        <v>Hưng Yên</v>
      </c>
      <c r="D3942" s="3" t="s">
        <v>297</v>
      </c>
      <c r="E3942" s="4" t="str">
        <f t="shared" si="335"/>
        <v>Huyện Tiên Lữ</v>
      </c>
      <c r="F3942" s="3" t="s">
        <v>4705</v>
      </c>
      <c r="G3942" s="4" t="str">
        <f>HYPERLINK("https://diaocthongthai.com/xa-thu-sy-tien-lu/","Xã Thủ Sỹ")</f>
        <v>Xã Thủ Sỹ</v>
      </c>
    </row>
    <row r="3943" spans="1:7" x14ac:dyDescent="0.25">
      <c r="A3943" s="2">
        <v>3942</v>
      </c>
      <c r="B3943" s="3" t="s">
        <v>23</v>
      </c>
      <c r="C3943" s="4" t="str">
        <f t="shared" si="334"/>
        <v>Hưng Yên</v>
      </c>
      <c r="D3943" s="3" t="s">
        <v>297</v>
      </c>
      <c r="E3943" s="4" t="str">
        <f t="shared" si="335"/>
        <v>Huyện Tiên Lữ</v>
      </c>
      <c r="F3943" s="3" t="s">
        <v>4706</v>
      </c>
      <c r="G3943" s="4" t="str">
        <f>HYPERLINK("https://diaocthongthai.com/xa-thien-phien-tien-lu/","Xã Thiện Phiến")</f>
        <v>Xã Thiện Phiến</v>
      </c>
    </row>
    <row r="3944" spans="1:7" x14ac:dyDescent="0.25">
      <c r="A3944" s="2">
        <v>3943</v>
      </c>
      <c r="B3944" s="3" t="s">
        <v>23</v>
      </c>
      <c r="C3944" s="4" t="str">
        <f t="shared" si="334"/>
        <v>Hưng Yên</v>
      </c>
      <c r="D3944" s="3" t="s">
        <v>297</v>
      </c>
      <c r="E3944" s="4" t="str">
        <f t="shared" si="335"/>
        <v>Huyện Tiên Lữ</v>
      </c>
      <c r="F3944" s="3" t="s">
        <v>4707</v>
      </c>
      <c r="G3944" s="4" t="str">
        <f>HYPERLINK("https://diaocthongthai.com/xa-thuy-loi-tien-lu/","Xã Thụy Lôi")</f>
        <v>Xã Thụy Lôi</v>
      </c>
    </row>
    <row r="3945" spans="1:7" x14ac:dyDescent="0.25">
      <c r="A3945" s="2">
        <v>3944</v>
      </c>
      <c r="B3945" s="3" t="s">
        <v>23</v>
      </c>
      <c r="C3945" s="4" t="str">
        <f t="shared" si="334"/>
        <v>Hưng Yên</v>
      </c>
      <c r="D3945" s="3" t="s">
        <v>297</v>
      </c>
      <c r="E3945" s="4" t="str">
        <f t="shared" si="335"/>
        <v>Huyện Tiên Lữ</v>
      </c>
      <c r="F3945" s="3" t="s">
        <v>4708</v>
      </c>
      <c r="G3945" s="4" t="str">
        <f>HYPERLINK("https://diaocthongthai.com/xa-cuong-chinh-tien-lu/","Xã Cương Chính")</f>
        <v>Xã Cương Chính</v>
      </c>
    </row>
    <row r="3946" spans="1:7" x14ac:dyDescent="0.25">
      <c r="A3946" s="2">
        <v>3945</v>
      </c>
      <c r="B3946" s="3" t="s">
        <v>23</v>
      </c>
      <c r="C3946" s="4" t="str">
        <f t="shared" si="334"/>
        <v>Hưng Yên</v>
      </c>
      <c r="D3946" s="3" t="s">
        <v>297</v>
      </c>
      <c r="E3946" s="4" t="str">
        <f t="shared" si="335"/>
        <v>Huyện Tiên Lữ</v>
      </c>
      <c r="F3946" s="3" t="s">
        <v>4709</v>
      </c>
      <c r="G3946" s="4" t="str">
        <f>HYPERLINK("https://diaocthongthai.com/xa-minh-phuong-tien-lu/","Xã Minh Phượng")</f>
        <v>Xã Minh Phượng</v>
      </c>
    </row>
    <row r="3947" spans="1:7" x14ac:dyDescent="0.25">
      <c r="A3947" s="2">
        <v>3946</v>
      </c>
      <c r="B3947" s="3" t="s">
        <v>23</v>
      </c>
      <c r="C3947" s="4" t="str">
        <f t="shared" si="334"/>
        <v>Hưng Yên</v>
      </c>
      <c r="D3947" s="3" t="s">
        <v>298</v>
      </c>
      <c r="E3947" s="4" t="str">
        <f t="shared" ref="E3947:E3960" si="336">HYPERLINK("https://diaocthongthai.com/ban-do-huyen-phu-cu-hung-yen/","Huyện Phù Cừ")</f>
        <v>Huyện Phù Cừ</v>
      </c>
      <c r="F3947" s="3" t="s">
        <v>4710</v>
      </c>
      <c r="G3947" s="4" t="str">
        <f>HYPERLINK("https://diaocthongthai.com/thi-tran-tran-cao-phu-cu/","Thị trấn Trần Cao")</f>
        <v>Thị trấn Trần Cao</v>
      </c>
    </row>
    <row r="3948" spans="1:7" x14ac:dyDescent="0.25">
      <c r="A3948" s="2">
        <v>3947</v>
      </c>
      <c r="B3948" s="3" t="s">
        <v>23</v>
      </c>
      <c r="C3948" s="4" t="str">
        <f t="shared" si="334"/>
        <v>Hưng Yên</v>
      </c>
      <c r="D3948" s="3" t="s">
        <v>298</v>
      </c>
      <c r="E3948" s="4" t="str">
        <f t="shared" si="336"/>
        <v>Huyện Phù Cừ</v>
      </c>
      <c r="F3948" s="3" t="s">
        <v>4711</v>
      </c>
      <c r="G3948" s="4" t="str">
        <f>HYPERLINK("https://diaocthongthai.com/xa-minh-tan-phu-cu/","Xã Minh Tân")</f>
        <v>Xã Minh Tân</v>
      </c>
    </row>
    <row r="3949" spans="1:7" x14ac:dyDescent="0.25">
      <c r="A3949" s="2">
        <v>3948</v>
      </c>
      <c r="B3949" s="3" t="s">
        <v>23</v>
      </c>
      <c r="C3949" s="4" t="str">
        <f t="shared" si="334"/>
        <v>Hưng Yên</v>
      </c>
      <c r="D3949" s="3" t="s">
        <v>298</v>
      </c>
      <c r="E3949" s="4" t="str">
        <f t="shared" si="336"/>
        <v>Huyện Phù Cừ</v>
      </c>
      <c r="F3949" s="3" t="s">
        <v>4712</v>
      </c>
      <c r="G3949" s="4" t="str">
        <f>HYPERLINK("https://diaocthongthai.com/xa-phan-sao-nam-phu-cu/","Xã Phan Sào Nam")</f>
        <v>Xã Phan Sào Nam</v>
      </c>
    </row>
    <row r="3950" spans="1:7" x14ac:dyDescent="0.25">
      <c r="A3950" s="2">
        <v>3949</v>
      </c>
      <c r="B3950" s="3" t="s">
        <v>23</v>
      </c>
      <c r="C3950" s="4" t="str">
        <f t="shared" si="334"/>
        <v>Hưng Yên</v>
      </c>
      <c r="D3950" s="3" t="s">
        <v>298</v>
      </c>
      <c r="E3950" s="4" t="str">
        <f t="shared" si="336"/>
        <v>Huyện Phù Cừ</v>
      </c>
      <c r="F3950" s="3" t="s">
        <v>4713</v>
      </c>
      <c r="G3950" s="4" t="str">
        <f>HYPERLINK("https://diaocthongthai.com/xa-quang-hung-phu-cu/","Xã Quang Hưng")</f>
        <v>Xã Quang Hưng</v>
      </c>
    </row>
    <row r="3951" spans="1:7" x14ac:dyDescent="0.25">
      <c r="A3951" s="2">
        <v>3950</v>
      </c>
      <c r="B3951" s="3" t="s">
        <v>23</v>
      </c>
      <c r="C3951" s="4" t="str">
        <f t="shared" si="334"/>
        <v>Hưng Yên</v>
      </c>
      <c r="D3951" s="3" t="s">
        <v>298</v>
      </c>
      <c r="E3951" s="4" t="str">
        <f t="shared" si="336"/>
        <v>Huyện Phù Cừ</v>
      </c>
      <c r="F3951" s="3" t="s">
        <v>4714</v>
      </c>
      <c r="G3951" s="4" t="str">
        <f>HYPERLINK("https://diaocthongthai.com/xa-minh-hoang-phu-cu/","Xã Minh Hoàng")</f>
        <v>Xã Minh Hoàng</v>
      </c>
    </row>
    <row r="3952" spans="1:7" x14ac:dyDescent="0.25">
      <c r="A3952" s="2">
        <v>3951</v>
      </c>
      <c r="B3952" s="3" t="s">
        <v>23</v>
      </c>
      <c r="C3952" s="4" t="str">
        <f t="shared" si="334"/>
        <v>Hưng Yên</v>
      </c>
      <c r="D3952" s="3" t="s">
        <v>298</v>
      </c>
      <c r="E3952" s="4" t="str">
        <f t="shared" si="336"/>
        <v>Huyện Phù Cừ</v>
      </c>
      <c r="F3952" s="3" t="s">
        <v>4715</v>
      </c>
      <c r="G3952" s="4" t="str">
        <f>HYPERLINK("https://diaocthongthai.com/xa-doan-dao-phu-cu/","Xã Đoàn Đào")</f>
        <v>Xã Đoàn Đào</v>
      </c>
    </row>
    <row r="3953" spans="1:7" x14ac:dyDescent="0.25">
      <c r="A3953" s="2">
        <v>3952</v>
      </c>
      <c r="B3953" s="3" t="s">
        <v>23</v>
      </c>
      <c r="C3953" s="4" t="str">
        <f t="shared" si="334"/>
        <v>Hưng Yên</v>
      </c>
      <c r="D3953" s="3" t="s">
        <v>298</v>
      </c>
      <c r="E3953" s="4" t="str">
        <f t="shared" si="336"/>
        <v>Huyện Phù Cừ</v>
      </c>
      <c r="F3953" s="3" t="s">
        <v>4716</v>
      </c>
      <c r="G3953" s="4" t="str">
        <f>HYPERLINK("https://diaocthongthai.com/xa-tong-phan-phu-cu/","Xã Tống Phan")</f>
        <v>Xã Tống Phan</v>
      </c>
    </row>
    <row r="3954" spans="1:7" x14ac:dyDescent="0.25">
      <c r="A3954" s="2">
        <v>3953</v>
      </c>
      <c r="B3954" s="3" t="s">
        <v>23</v>
      </c>
      <c r="C3954" s="4" t="str">
        <f t="shared" si="334"/>
        <v>Hưng Yên</v>
      </c>
      <c r="D3954" s="3" t="s">
        <v>298</v>
      </c>
      <c r="E3954" s="4" t="str">
        <f t="shared" si="336"/>
        <v>Huyện Phù Cừ</v>
      </c>
      <c r="F3954" s="3" t="s">
        <v>4717</v>
      </c>
      <c r="G3954" s="4" t="str">
        <f>HYPERLINK("https://diaocthongthai.com/xa-dinh-cao-phu-cu/","Xã Đình Cao")</f>
        <v>Xã Đình Cao</v>
      </c>
    </row>
    <row r="3955" spans="1:7" x14ac:dyDescent="0.25">
      <c r="A3955" s="2">
        <v>3954</v>
      </c>
      <c r="B3955" s="3" t="s">
        <v>23</v>
      </c>
      <c r="C3955" s="4" t="str">
        <f t="shared" si="334"/>
        <v>Hưng Yên</v>
      </c>
      <c r="D3955" s="3" t="s">
        <v>298</v>
      </c>
      <c r="E3955" s="4" t="str">
        <f t="shared" si="336"/>
        <v>Huyện Phù Cừ</v>
      </c>
      <c r="F3955" s="3" t="s">
        <v>4718</v>
      </c>
      <c r="G3955" s="4" t="str">
        <f>HYPERLINK("https://diaocthongthai.com/xa-nhat-quang-phu-cu/","Xã Nhật Quang")</f>
        <v>Xã Nhật Quang</v>
      </c>
    </row>
    <row r="3956" spans="1:7" x14ac:dyDescent="0.25">
      <c r="A3956" s="2">
        <v>3955</v>
      </c>
      <c r="B3956" s="3" t="s">
        <v>23</v>
      </c>
      <c r="C3956" s="4" t="str">
        <f t="shared" si="334"/>
        <v>Hưng Yên</v>
      </c>
      <c r="D3956" s="3" t="s">
        <v>298</v>
      </c>
      <c r="E3956" s="4" t="str">
        <f t="shared" si="336"/>
        <v>Huyện Phù Cừ</v>
      </c>
      <c r="F3956" s="3" t="s">
        <v>4719</v>
      </c>
      <c r="G3956" s="4" t="str">
        <f>HYPERLINK("https://diaocthongthai.com/xa-tien-tien-phu-cu/","Xã Tiền Tiến")</f>
        <v>Xã Tiền Tiến</v>
      </c>
    </row>
    <row r="3957" spans="1:7" x14ac:dyDescent="0.25">
      <c r="A3957" s="2">
        <v>3956</v>
      </c>
      <c r="B3957" s="3" t="s">
        <v>23</v>
      </c>
      <c r="C3957" s="4" t="str">
        <f t="shared" si="334"/>
        <v>Hưng Yên</v>
      </c>
      <c r="D3957" s="3" t="s">
        <v>298</v>
      </c>
      <c r="E3957" s="4" t="str">
        <f t="shared" si="336"/>
        <v>Huyện Phù Cừ</v>
      </c>
      <c r="F3957" s="3" t="s">
        <v>4720</v>
      </c>
      <c r="G3957" s="4" t="str">
        <f>HYPERLINK("https://diaocthongthai.com/xa-tam-da-phu-cu/","Xã Tam Đa")</f>
        <v>Xã Tam Đa</v>
      </c>
    </row>
    <row r="3958" spans="1:7" x14ac:dyDescent="0.25">
      <c r="A3958" s="2">
        <v>3957</v>
      </c>
      <c r="B3958" s="3" t="s">
        <v>23</v>
      </c>
      <c r="C3958" s="4" t="str">
        <f t="shared" si="334"/>
        <v>Hưng Yên</v>
      </c>
      <c r="D3958" s="3" t="s">
        <v>298</v>
      </c>
      <c r="E3958" s="4" t="str">
        <f t="shared" si="336"/>
        <v>Huyện Phù Cừ</v>
      </c>
      <c r="F3958" s="3" t="s">
        <v>4721</v>
      </c>
      <c r="G3958" s="4" t="str">
        <f>HYPERLINK("https://diaocthongthai.com/xa-minh-tien-phu-cu/","Xã Minh Tiến")</f>
        <v>Xã Minh Tiến</v>
      </c>
    </row>
    <row r="3959" spans="1:7" x14ac:dyDescent="0.25">
      <c r="A3959" s="2">
        <v>3958</v>
      </c>
      <c r="B3959" s="3" t="s">
        <v>23</v>
      </c>
      <c r="C3959" s="4" t="str">
        <f t="shared" si="334"/>
        <v>Hưng Yên</v>
      </c>
      <c r="D3959" s="3" t="s">
        <v>298</v>
      </c>
      <c r="E3959" s="4" t="str">
        <f t="shared" si="336"/>
        <v>Huyện Phù Cừ</v>
      </c>
      <c r="F3959" s="3" t="s">
        <v>4722</v>
      </c>
      <c r="G3959" s="4" t="str">
        <f>HYPERLINK("https://diaocthongthai.com/xa-nguyen-hoa-phu-cu/","Xã Nguyên Hòa")</f>
        <v>Xã Nguyên Hòa</v>
      </c>
    </row>
    <row r="3960" spans="1:7" x14ac:dyDescent="0.25">
      <c r="A3960" s="2">
        <v>3959</v>
      </c>
      <c r="B3960" s="3" t="s">
        <v>23</v>
      </c>
      <c r="C3960" s="4" t="str">
        <f t="shared" si="334"/>
        <v>Hưng Yên</v>
      </c>
      <c r="D3960" s="3" t="s">
        <v>298</v>
      </c>
      <c r="E3960" s="4" t="str">
        <f t="shared" si="336"/>
        <v>Huyện Phù Cừ</v>
      </c>
      <c r="F3960" s="3" t="s">
        <v>4723</v>
      </c>
      <c r="G3960" s="4" t="str">
        <f>HYPERLINK("https://diaocthongthai.com/xa-tong-tran-phu-cu/","Xã Tống Trân")</f>
        <v>Xã Tống Trân</v>
      </c>
    </row>
    <row r="3961" spans="1:7" x14ac:dyDescent="0.25">
      <c r="A3961" s="2">
        <v>3960</v>
      </c>
      <c r="B3961" s="3" t="s">
        <v>24</v>
      </c>
      <c r="C3961" s="4" t="str">
        <f t="shared" ref="C3961:C4024" si="337">HYPERLINK("https://diaocthongthai.com/ban-do-thai-binh/","Thái Bình")</f>
        <v>Thái Bình</v>
      </c>
      <c r="D3961" s="3" t="s">
        <v>299</v>
      </c>
      <c r="E3961" s="4" t="str">
        <f t="shared" ref="E3961:E3979" si="338">HYPERLINK("https://diaocthongthai.com/ban-do-tp-thai-binh-thai-binh/","Thành phố Thái Bình")</f>
        <v>Thành phố Thái Bình</v>
      </c>
      <c r="F3961" s="3" t="s">
        <v>4724</v>
      </c>
      <c r="G3961" s="4" t="str">
        <f>HYPERLINK("https://diaocthongthai.com/phuong-le-hong-phong-tp-thai-binh/","Phường Lê Hồng Phong")</f>
        <v>Phường Lê Hồng Phong</v>
      </c>
    </row>
    <row r="3962" spans="1:7" x14ac:dyDescent="0.25">
      <c r="A3962" s="2">
        <v>3961</v>
      </c>
      <c r="B3962" s="3" t="s">
        <v>24</v>
      </c>
      <c r="C3962" s="4" t="str">
        <f t="shared" si="337"/>
        <v>Thái Bình</v>
      </c>
      <c r="D3962" s="3" t="s">
        <v>299</v>
      </c>
      <c r="E3962" s="4" t="str">
        <f t="shared" si="338"/>
        <v>Thành phố Thái Bình</v>
      </c>
      <c r="F3962" s="3" t="s">
        <v>4725</v>
      </c>
      <c r="G3962" s="4" t="str">
        <f>HYPERLINK("https://diaocthongthai.com/phuong-bo-xuyen-tp-thai-binh/","Phường Bồ Xuyên")</f>
        <v>Phường Bồ Xuyên</v>
      </c>
    </row>
    <row r="3963" spans="1:7" x14ac:dyDescent="0.25">
      <c r="A3963" s="2">
        <v>3962</v>
      </c>
      <c r="B3963" s="3" t="s">
        <v>24</v>
      </c>
      <c r="C3963" s="4" t="str">
        <f t="shared" si="337"/>
        <v>Thái Bình</v>
      </c>
      <c r="D3963" s="3" t="s">
        <v>299</v>
      </c>
      <c r="E3963" s="4" t="str">
        <f t="shared" si="338"/>
        <v>Thành phố Thái Bình</v>
      </c>
      <c r="F3963" s="3" t="s">
        <v>4726</v>
      </c>
      <c r="G3963" s="4" t="str">
        <f>HYPERLINK("https://diaocthongthai.com/phuong-de-tham-tp-thai-binh/","Phường Đề Thám")</f>
        <v>Phường Đề Thám</v>
      </c>
    </row>
    <row r="3964" spans="1:7" x14ac:dyDescent="0.25">
      <c r="A3964" s="2">
        <v>3963</v>
      </c>
      <c r="B3964" s="3" t="s">
        <v>24</v>
      </c>
      <c r="C3964" s="4" t="str">
        <f t="shared" si="337"/>
        <v>Thái Bình</v>
      </c>
      <c r="D3964" s="3" t="s">
        <v>299</v>
      </c>
      <c r="E3964" s="4" t="str">
        <f t="shared" si="338"/>
        <v>Thành phố Thái Bình</v>
      </c>
      <c r="F3964" s="3" t="s">
        <v>4727</v>
      </c>
      <c r="G3964" s="4" t="str">
        <f>HYPERLINK("https://diaocthongthai.com/phuong-ky-ba-tp-thai-binh/","Phường Kỳ Bá")</f>
        <v>Phường Kỳ Bá</v>
      </c>
    </row>
    <row r="3965" spans="1:7" x14ac:dyDescent="0.25">
      <c r="A3965" s="2">
        <v>3964</v>
      </c>
      <c r="B3965" s="3" t="s">
        <v>24</v>
      </c>
      <c r="C3965" s="4" t="str">
        <f t="shared" si="337"/>
        <v>Thái Bình</v>
      </c>
      <c r="D3965" s="3" t="s">
        <v>299</v>
      </c>
      <c r="E3965" s="4" t="str">
        <f t="shared" si="338"/>
        <v>Thành phố Thái Bình</v>
      </c>
      <c r="F3965" s="3" t="s">
        <v>4728</v>
      </c>
      <c r="G3965" s="4" t="str">
        <f>HYPERLINK("https://diaocthongthai.com/phuong-quang-trung-tp-thai-binh/","Phường Quang Trung")</f>
        <v>Phường Quang Trung</v>
      </c>
    </row>
    <row r="3966" spans="1:7" x14ac:dyDescent="0.25">
      <c r="A3966" s="2">
        <v>3965</v>
      </c>
      <c r="B3966" s="3" t="s">
        <v>24</v>
      </c>
      <c r="C3966" s="4" t="str">
        <f t="shared" si="337"/>
        <v>Thái Bình</v>
      </c>
      <c r="D3966" s="3" t="s">
        <v>299</v>
      </c>
      <c r="E3966" s="4" t="str">
        <f t="shared" si="338"/>
        <v>Thành phố Thái Bình</v>
      </c>
      <c r="F3966" s="3" t="s">
        <v>4729</v>
      </c>
      <c r="G3966" s="4" t="str">
        <f>HYPERLINK("https://diaocthongthai.com/phuong-phu-khanh-tp-thai-binh/","Phường Phú Khánh")</f>
        <v>Phường Phú Khánh</v>
      </c>
    </row>
    <row r="3967" spans="1:7" x14ac:dyDescent="0.25">
      <c r="A3967" s="2">
        <v>3966</v>
      </c>
      <c r="B3967" s="3" t="s">
        <v>24</v>
      </c>
      <c r="C3967" s="4" t="str">
        <f t="shared" si="337"/>
        <v>Thái Bình</v>
      </c>
      <c r="D3967" s="3" t="s">
        <v>299</v>
      </c>
      <c r="E3967" s="4" t="str">
        <f t="shared" si="338"/>
        <v>Thành phố Thái Bình</v>
      </c>
      <c r="F3967" s="3" t="s">
        <v>4730</v>
      </c>
      <c r="G3967" s="4" t="str">
        <f>HYPERLINK("https://diaocthongthai.com/phuong-tien-phong-tp-thai-binh/","Phường Tiền Phong")</f>
        <v>Phường Tiền Phong</v>
      </c>
    </row>
    <row r="3968" spans="1:7" x14ac:dyDescent="0.25">
      <c r="A3968" s="2">
        <v>3967</v>
      </c>
      <c r="B3968" s="3" t="s">
        <v>24</v>
      </c>
      <c r="C3968" s="4" t="str">
        <f t="shared" si="337"/>
        <v>Thái Bình</v>
      </c>
      <c r="D3968" s="3" t="s">
        <v>299</v>
      </c>
      <c r="E3968" s="4" t="str">
        <f t="shared" si="338"/>
        <v>Thành phố Thái Bình</v>
      </c>
      <c r="F3968" s="3" t="s">
        <v>4731</v>
      </c>
      <c r="G3968" s="4" t="str">
        <f>HYPERLINK("https://diaocthongthai.com/phuong-tran-hung-dao-tp-thai-binh/","Phường Trần Hưng Đạo")</f>
        <v>Phường Trần Hưng Đạo</v>
      </c>
    </row>
    <row r="3969" spans="1:7" x14ac:dyDescent="0.25">
      <c r="A3969" s="2">
        <v>3968</v>
      </c>
      <c r="B3969" s="3" t="s">
        <v>24</v>
      </c>
      <c r="C3969" s="4" t="str">
        <f t="shared" si="337"/>
        <v>Thái Bình</v>
      </c>
      <c r="D3969" s="3" t="s">
        <v>299</v>
      </c>
      <c r="E3969" s="4" t="str">
        <f t="shared" si="338"/>
        <v>Thành phố Thái Bình</v>
      </c>
      <c r="F3969" s="3" t="s">
        <v>4732</v>
      </c>
      <c r="G3969" s="4" t="str">
        <f>HYPERLINK("https://diaocthongthai.com/phuong-tran-lam-tp-thai-binh/","Phường Trần Lãm")</f>
        <v>Phường Trần Lãm</v>
      </c>
    </row>
    <row r="3970" spans="1:7" x14ac:dyDescent="0.25">
      <c r="A3970" s="2">
        <v>3969</v>
      </c>
      <c r="B3970" s="3" t="s">
        <v>24</v>
      </c>
      <c r="C3970" s="4" t="str">
        <f t="shared" si="337"/>
        <v>Thái Bình</v>
      </c>
      <c r="D3970" s="3" t="s">
        <v>299</v>
      </c>
      <c r="E3970" s="4" t="str">
        <f t="shared" si="338"/>
        <v>Thành phố Thái Bình</v>
      </c>
      <c r="F3970" s="3" t="s">
        <v>4733</v>
      </c>
      <c r="G3970" s="4" t="str">
        <f>HYPERLINK("https://diaocthongthai.com/xa-dong-hoa-tp-thai-binh/","Xã Đông Hòa")</f>
        <v>Xã Đông Hòa</v>
      </c>
    </row>
    <row r="3971" spans="1:7" x14ac:dyDescent="0.25">
      <c r="A3971" s="2">
        <v>3970</v>
      </c>
      <c r="B3971" s="3" t="s">
        <v>24</v>
      </c>
      <c r="C3971" s="4" t="str">
        <f t="shared" si="337"/>
        <v>Thái Bình</v>
      </c>
      <c r="D3971" s="3" t="s">
        <v>299</v>
      </c>
      <c r="E3971" s="4" t="str">
        <f t="shared" si="338"/>
        <v>Thành phố Thái Bình</v>
      </c>
      <c r="F3971" s="3" t="s">
        <v>4734</v>
      </c>
      <c r="G3971" s="4" t="str">
        <f>HYPERLINK("https://diaocthongthai.com/phuong-hoang-dieu-tp-thai-binh/","Phường Hoàng Diệu")</f>
        <v>Phường Hoàng Diệu</v>
      </c>
    </row>
    <row r="3972" spans="1:7" x14ac:dyDescent="0.25">
      <c r="A3972" s="2">
        <v>3971</v>
      </c>
      <c r="B3972" s="3" t="s">
        <v>24</v>
      </c>
      <c r="C3972" s="4" t="str">
        <f t="shared" si="337"/>
        <v>Thái Bình</v>
      </c>
      <c r="D3972" s="3" t="s">
        <v>299</v>
      </c>
      <c r="E3972" s="4" t="str">
        <f t="shared" si="338"/>
        <v>Thành phố Thái Bình</v>
      </c>
      <c r="F3972" s="3" t="s">
        <v>4735</v>
      </c>
      <c r="G3972" s="4" t="str">
        <f>HYPERLINK("https://diaocthongthai.com/xa-phu-xuan-tp-thai-binh/","Xã Phú Xuân")</f>
        <v>Xã Phú Xuân</v>
      </c>
    </row>
    <row r="3973" spans="1:7" x14ac:dyDescent="0.25">
      <c r="A3973" s="2">
        <v>3972</v>
      </c>
      <c r="B3973" s="3" t="s">
        <v>24</v>
      </c>
      <c r="C3973" s="4" t="str">
        <f t="shared" si="337"/>
        <v>Thái Bình</v>
      </c>
      <c r="D3973" s="3" t="s">
        <v>299</v>
      </c>
      <c r="E3973" s="4" t="str">
        <f t="shared" si="338"/>
        <v>Thành phố Thái Bình</v>
      </c>
      <c r="F3973" s="3" t="s">
        <v>4736</v>
      </c>
      <c r="G3973" s="4" t="str">
        <f>HYPERLINK("https://diaocthongthai.com/xa-vu-phuc-tp-thai-binh/","Xã Vũ Phúc")</f>
        <v>Xã Vũ Phúc</v>
      </c>
    </row>
    <row r="3974" spans="1:7" x14ac:dyDescent="0.25">
      <c r="A3974" s="2">
        <v>3973</v>
      </c>
      <c r="B3974" s="3" t="s">
        <v>24</v>
      </c>
      <c r="C3974" s="4" t="str">
        <f t="shared" si="337"/>
        <v>Thái Bình</v>
      </c>
      <c r="D3974" s="3" t="s">
        <v>299</v>
      </c>
      <c r="E3974" s="4" t="str">
        <f t="shared" si="338"/>
        <v>Thành phố Thái Bình</v>
      </c>
      <c r="F3974" s="3" t="s">
        <v>4737</v>
      </c>
      <c r="G3974" s="4" t="str">
        <f>HYPERLINK("https://diaocthongthai.com/xa-vu-chinh-tp-thai-binh/","Xã Vũ Chính")</f>
        <v>Xã Vũ Chính</v>
      </c>
    </row>
    <row r="3975" spans="1:7" x14ac:dyDescent="0.25">
      <c r="A3975" s="2">
        <v>3974</v>
      </c>
      <c r="B3975" s="3" t="s">
        <v>24</v>
      </c>
      <c r="C3975" s="4" t="str">
        <f t="shared" si="337"/>
        <v>Thái Bình</v>
      </c>
      <c r="D3975" s="3" t="s">
        <v>299</v>
      </c>
      <c r="E3975" s="4" t="str">
        <f t="shared" si="338"/>
        <v>Thành phố Thái Bình</v>
      </c>
      <c r="F3975" s="3" t="s">
        <v>4738</v>
      </c>
      <c r="G3975" s="4" t="str">
        <f>HYPERLINK("https://diaocthongthai.com/xa-dong-my-tp-thai-binh/","Xã Đông Mỹ")</f>
        <v>Xã Đông Mỹ</v>
      </c>
    </row>
    <row r="3976" spans="1:7" x14ac:dyDescent="0.25">
      <c r="A3976" s="2">
        <v>3975</v>
      </c>
      <c r="B3976" s="3" t="s">
        <v>24</v>
      </c>
      <c r="C3976" s="4" t="str">
        <f t="shared" si="337"/>
        <v>Thái Bình</v>
      </c>
      <c r="D3976" s="3" t="s">
        <v>299</v>
      </c>
      <c r="E3976" s="4" t="str">
        <f t="shared" si="338"/>
        <v>Thành phố Thái Bình</v>
      </c>
      <c r="F3976" s="3" t="s">
        <v>4739</v>
      </c>
      <c r="G3976" s="4" t="str">
        <f>HYPERLINK("https://diaocthongthai.com/xa-dong-tho-tp-thai-binh/","Xã Đông Thọ")</f>
        <v>Xã Đông Thọ</v>
      </c>
    </row>
    <row r="3977" spans="1:7" x14ac:dyDescent="0.25">
      <c r="A3977" s="2">
        <v>3976</v>
      </c>
      <c r="B3977" s="3" t="s">
        <v>24</v>
      </c>
      <c r="C3977" s="4" t="str">
        <f t="shared" si="337"/>
        <v>Thái Bình</v>
      </c>
      <c r="D3977" s="3" t="s">
        <v>299</v>
      </c>
      <c r="E3977" s="4" t="str">
        <f t="shared" si="338"/>
        <v>Thành phố Thái Bình</v>
      </c>
      <c r="F3977" s="3" t="s">
        <v>4740</v>
      </c>
      <c r="G3977" s="4" t="str">
        <f>HYPERLINK("https://diaocthongthai.com/xa-vu-dong-tp-thai-binh/","Xã Vũ Đông")</f>
        <v>Xã Vũ Đông</v>
      </c>
    </row>
    <row r="3978" spans="1:7" x14ac:dyDescent="0.25">
      <c r="A3978" s="2">
        <v>3977</v>
      </c>
      <c r="B3978" s="3" t="s">
        <v>24</v>
      </c>
      <c r="C3978" s="4" t="str">
        <f t="shared" si="337"/>
        <v>Thái Bình</v>
      </c>
      <c r="D3978" s="3" t="s">
        <v>299</v>
      </c>
      <c r="E3978" s="4" t="str">
        <f t="shared" si="338"/>
        <v>Thành phố Thái Bình</v>
      </c>
      <c r="F3978" s="3" t="s">
        <v>4741</v>
      </c>
      <c r="G3978" s="4" t="str">
        <f>HYPERLINK("https://diaocthongthai.com/xa-vu-lac-tp-thai-binh/","Xã Vũ Lạc")</f>
        <v>Xã Vũ Lạc</v>
      </c>
    </row>
    <row r="3979" spans="1:7" x14ac:dyDescent="0.25">
      <c r="A3979" s="2">
        <v>3978</v>
      </c>
      <c r="B3979" s="3" t="s">
        <v>24</v>
      </c>
      <c r="C3979" s="4" t="str">
        <f t="shared" si="337"/>
        <v>Thái Bình</v>
      </c>
      <c r="D3979" s="3" t="s">
        <v>299</v>
      </c>
      <c r="E3979" s="4" t="str">
        <f t="shared" si="338"/>
        <v>Thành phố Thái Bình</v>
      </c>
      <c r="F3979" s="3" t="s">
        <v>4742</v>
      </c>
      <c r="G3979" s="4" t="str">
        <f>HYPERLINK("https://diaocthongthai.com/xa-tan-binh-tp-thai-binh/","Xã Tân Bình")</f>
        <v>Xã Tân Bình</v>
      </c>
    </row>
    <row r="3980" spans="1:7" x14ac:dyDescent="0.25">
      <c r="A3980" s="2">
        <v>3979</v>
      </c>
      <c r="B3980" s="3" t="s">
        <v>24</v>
      </c>
      <c r="C3980" s="4" t="str">
        <f t="shared" si="337"/>
        <v>Thái Bình</v>
      </c>
      <c r="D3980" s="3" t="s">
        <v>300</v>
      </c>
      <c r="E3980" s="4" t="str">
        <f t="shared" ref="E3980:E4016" si="339">HYPERLINK("https://diaocthongthai.com/ban-do-huyen-quynh-phu-thai-binh/","Huyện Quỳnh Phụ")</f>
        <v>Huyện Quỳnh Phụ</v>
      </c>
      <c r="F3980" s="3" t="s">
        <v>4743</v>
      </c>
      <c r="G3980" s="4" t="str">
        <f>HYPERLINK("https://diaocthongthai.com/thi-tran-quynh-coi-quynh-phu/","Thị trấn Quỳnh Côi")</f>
        <v>Thị trấn Quỳnh Côi</v>
      </c>
    </row>
    <row r="3981" spans="1:7" x14ac:dyDescent="0.25">
      <c r="A3981" s="2">
        <v>3980</v>
      </c>
      <c r="B3981" s="3" t="s">
        <v>24</v>
      </c>
      <c r="C3981" s="4" t="str">
        <f t="shared" si="337"/>
        <v>Thái Bình</v>
      </c>
      <c r="D3981" s="3" t="s">
        <v>300</v>
      </c>
      <c r="E3981" s="4" t="str">
        <f t="shared" si="339"/>
        <v>Huyện Quỳnh Phụ</v>
      </c>
      <c r="F3981" s="3" t="s">
        <v>4744</v>
      </c>
      <c r="G3981" s="4" t="str">
        <f>HYPERLINK("https://diaocthongthai.com/xa-an-khe-quynh-phu/","Xã An Khê")</f>
        <v>Xã An Khê</v>
      </c>
    </row>
    <row r="3982" spans="1:7" x14ac:dyDescent="0.25">
      <c r="A3982" s="2">
        <v>3981</v>
      </c>
      <c r="B3982" s="3" t="s">
        <v>24</v>
      </c>
      <c r="C3982" s="4" t="str">
        <f t="shared" si="337"/>
        <v>Thái Bình</v>
      </c>
      <c r="D3982" s="3" t="s">
        <v>300</v>
      </c>
      <c r="E3982" s="4" t="str">
        <f t="shared" si="339"/>
        <v>Huyện Quỳnh Phụ</v>
      </c>
      <c r="F3982" s="3" t="s">
        <v>4745</v>
      </c>
      <c r="G3982" s="4" t="str">
        <f>HYPERLINK("https://diaocthongthai.com/xa-an-dong-quynh-phu/","Xã An Đồng")</f>
        <v>Xã An Đồng</v>
      </c>
    </row>
    <row r="3983" spans="1:7" x14ac:dyDescent="0.25">
      <c r="A3983" s="2">
        <v>3982</v>
      </c>
      <c r="B3983" s="3" t="s">
        <v>24</v>
      </c>
      <c r="C3983" s="4" t="str">
        <f t="shared" si="337"/>
        <v>Thái Bình</v>
      </c>
      <c r="D3983" s="3" t="s">
        <v>300</v>
      </c>
      <c r="E3983" s="4" t="str">
        <f t="shared" si="339"/>
        <v>Huyện Quỳnh Phụ</v>
      </c>
      <c r="F3983" s="3" t="s">
        <v>4746</v>
      </c>
      <c r="G3983" s="4" t="str">
        <f>HYPERLINK("https://diaocthongthai.com/xa-quynh-hoa-quynh-phu/","Xã Quỳnh Hoa")</f>
        <v>Xã Quỳnh Hoa</v>
      </c>
    </row>
    <row r="3984" spans="1:7" x14ac:dyDescent="0.25">
      <c r="A3984" s="2">
        <v>3983</v>
      </c>
      <c r="B3984" s="3" t="s">
        <v>24</v>
      </c>
      <c r="C3984" s="4" t="str">
        <f t="shared" si="337"/>
        <v>Thái Bình</v>
      </c>
      <c r="D3984" s="3" t="s">
        <v>300</v>
      </c>
      <c r="E3984" s="4" t="str">
        <f t="shared" si="339"/>
        <v>Huyện Quỳnh Phụ</v>
      </c>
      <c r="F3984" s="3" t="s">
        <v>4747</v>
      </c>
      <c r="G3984" s="4" t="str">
        <f>HYPERLINK("https://diaocthongthai.com/xa-quynh-lam-quynh-phu/","Xã Quỳnh Lâm")</f>
        <v>Xã Quỳnh Lâm</v>
      </c>
    </row>
    <row r="3985" spans="1:7" x14ac:dyDescent="0.25">
      <c r="A3985" s="2">
        <v>3984</v>
      </c>
      <c r="B3985" s="3" t="s">
        <v>24</v>
      </c>
      <c r="C3985" s="4" t="str">
        <f t="shared" si="337"/>
        <v>Thái Bình</v>
      </c>
      <c r="D3985" s="3" t="s">
        <v>300</v>
      </c>
      <c r="E3985" s="4" t="str">
        <f t="shared" si="339"/>
        <v>Huyện Quỳnh Phụ</v>
      </c>
      <c r="F3985" s="3" t="s">
        <v>4748</v>
      </c>
      <c r="G3985" s="4" t="str">
        <f>HYPERLINK("https://diaocthongthai.com/xa-quynh-tho-quynh-phu/","Xã Quỳnh Thọ")</f>
        <v>Xã Quỳnh Thọ</v>
      </c>
    </row>
    <row r="3986" spans="1:7" x14ac:dyDescent="0.25">
      <c r="A3986" s="2">
        <v>3985</v>
      </c>
      <c r="B3986" s="3" t="s">
        <v>24</v>
      </c>
      <c r="C3986" s="4" t="str">
        <f t="shared" si="337"/>
        <v>Thái Bình</v>
      </c>
      <c r="D3986" s="3" t="s">
        <v>300</v>
      </c>
      <c r="E3986" s="4" t="str">
        <f t="shared" si="339"/>
        <v>Huyện Quỳnh Phụ</v>
      </c>
      <c r="F3986" s="3" t="s">
        <v>4749</v>
      </c>
      <c r="G3986" s="4" t="str">
        <f>HYPERLINK("https://diaocthongthai.com/xa-an-hiep-quynh-phu/","Xã An Hiệp")</f>
        <v>Xã An Hiệp</v>
      </c>
    </row>
    <row r="3987" spans="1:7" x14ac:dyDescent="0.25">
      <c r="A3987" s="2">
        <v>3986</v>
      </c>
      <c r="B3987" s="3" t="s">
        <v>24</v>
      </c>
      <c r="C3987" s="4" t="str">
        <f t="shared" si="337"/>
        <v>Thái Bình</v>
      </c>
      <c r="D3987" s="3" t="s">
        <v>300</v>
      </c>
      <c r="E3987" s="4" t="str">
        <f t="shared" si="339"/>
        <v>Huyện Quỳnh Phụ</v>
      </c>
      <c r="F3987" s="3" t="s">
        <v>4750</v>
      </c>
      <c r="G3987" s="4" t="str">
        <f>HYPERLINK("https://diaocthongthai.com/xa-quynh-hoang-quynh-phu/","Xã Quỳnh Hoàng")</f>
        <v>Xã Quỳnh Hoàng</v>
      </c>
    </row>
    <row r="3988" spans="1:7" x14ac:dyDescent="0.25">
      <c r="A3988" s="2">
        <v>3987</v>
      </c>
      <c r="B3988" s="3" t="s">
        <v>24</v>
      </c>
      <c r="C3988" s="4" t="str">
        <f t="shared" si="337"/>
        <v>Thái Bình</v>
      </c>
      <c r="D3988" s="3" t="s">
        <v>300</v>
      </c>
      <c r="E3988" s="4" t="str">
        <f t="shared" si="339"/>
        <v>Huyện Quỳnh Phụ</v>
      </c>
      <c r="F3988" s="3" t="s">
        <v>4751</v>
      </c>
      <c r="G3988" s="4" t="str">
        <f>HYPERLINK("https://diaocthongthai.com/xa-quynh-giao-quynh-phu/","Xã Quỳnh Giao")</f>
        <v>Xã Quỳnh Giao</v>
      </c>
    </row>
    <row r="3989" spans="1:7" x14ac:dyDescent="0.25">
      <c r="A3989" s="2">
        <v>3988</v>
      </c>
      <c r="B3989" s="3" t="s">
        <v>24</v>
      </c>
      <c r="C3989" s="4" t="str">
        <f t="shared" si="337"/>
        <v>Thái Bình</v>
      </c>
      <c r="D3989" s="3" t="s">
        <v>300</v>
      </c>
      <c r="E3989" s="4" t="str">
        <f t="shared" si="339"/>
        <v>Huyện Quỳnh Phụ</v>
      </c>
      <c r="F3989" s="3" t="s">
        <v>4752</v>
      </c>
      <c r="G3989" s="4" t="str">
        <f>HYPERLINK("https://diaocthongthai.com/xa-an-thai-quynh-phu/","Xã An Thái")</f>
        <v>Xã An Thái</v>
      </c>
    </row>
    <row r="3990" spans="1:7" x14ac:dyDescent="0.25">
      <c r="A3990" s="2">
        <v>3989</v>
      </c>
      <c r="B3990" s="3" t="s">
        <v>24</v>
      </c>
      <c r="C3990" s="4" t="str">
        <f t="shared" si="337"/>
        <v>Thái Bình</v>
      </c>
      <c r="D3990" s="3" t="s">
        <v>300</v>
      </c>
      <c r="E3990" s="4" t="str">
        <f t="shared" si="339"/>
        <v>Huyện Quỳnh Phụ</v>
      </c>
      <c r="F3990" s="3" t="s">
        <v>4753</v>
      </c>
      <c r="G3990" s="4" t="str">
        <f>HYPERLINK("https://diaocthongthai.com/xa-an-cau-quynh-phu/","Xã An Cầu")</f>
        <v>Xã An Cầu</v>
      </c>
    </row>
    <row r="3991" spans="1:7" x14ac:dyDescent="0.25">
      <c r="A3991" s="2">
        <v>3990</v>
      </c>
      <c r="B3991" s="3" t="s">
        <v>24</v>
      </c>
      <c r="C3991" s="4" t="str">
        <f t="shared" si="337"/>
        <v>Thái Bình</v>
      </c>
      <c r="D3991" s="3" t="s">
        <v>300</v>
      </c>
      <c r="E3991" s="4" t="str">
        <f t="shared" si="339"/>
        <v>Huyện Quỳnh Phụ</v>
      </c>
      <c r="F3991" s="3" t="s">
        <v>4754</v>
      </c>
      <c r="G3991" s="4" t="str">
        <f>HYPERLINK("https://diaocthongthai.com/xa-quynh-hong-quynh-phu/","Xã Quỳnh Hồng")</f>
        <v>Xã Quỳnh Hồng</v>
      </c>
    </row>
    <row r="3992" spans="1:7" x14ac:dyDescent="0.25">
      <c r="A3992" s="2">
        <v>3991</v>
      </c>
      <c r="B3992" s="3" t="s">
        <v>24</v>
      </c>
      <c r="C3992" s="4" t="str">
        <f t="shared" si="337"/>
        <v>Thái Bình</v>
      </c>
      <c r="D3992" s="3" t="s">
        <v>300</v>
      </c>
      <c r="E3992" s="4" t="str">
        <f t="shared" si="339"/>
        <v>Huyện Quỳnh Phụ</v>
      </c>
      <c r="F3992" s="3" t="s">
        <v>4755</v>
      </c>
      <c r="G3992" s="4" t="str">
        <f>HYPERLINK("https://diaocthongthai.com/xa-quynh-khe-quynh-phu/","Xã Quỳnh Khê")</f>
        <v>Xã Quỳnh Khê</v>
      </c>
    </row>
    <row r="3993" spans="1:7" x14ac:dyDescent="0.25">
      <c r="A3993" s="2">
        <v>3992</v>
      </c>
      <c r="B3993" s="3" t="s">
        <v>24</v>
      </c>
      <c r="C3993" s="4" t="str">
        <f t="shared" si="337"/>
        <v>Thái Bình</v>
      </c>
      <c r="D3993" s="3" t="s">
        <v>300</v>
      </c>
      <c r="E3993" s="4" t="str">
        <f t="shared" si="339"/>
        <v>Huyện Quỳnh Phụ</v>
      </c>
      <c r="F3993" s="3" t="s">
        <v>4756</v>
      </c>
      <c r="G3993" s="4" t="str">
        <f>HYPERLINK("https://diaocthongthai.com/xa-quynh-minh-quynh-phu/","Xã Quỳnh Minh")</f>
        <v>Xã Quỳnh Minh</v>
      </c>
    </row>
    <row r="3994" spans="1:7" x14ac:dyDescent="0.25">
      <c r="A3994" s="2">
        <v>3993</v>
      </c>
      <c r="B3994" s="3" t="s">
        <v>24</v>
      </c>
      <c r="C3994" s="4" t="str">
        <f t="shared" si="337"/>
        <v>Thái Bình</v>
      </c>
      <c r="D3994" s="3" t="s">
        <v>300</v>
      </c>
      <c r="E3994" s="4" t="str">
        <f t="shared" si="339"/>
        <v>Huyện Quỳnh Phụ</v>
      </c>
      <c r="F3994" s="3" t="s">
        <v>4757</v>
      </c>
      <c r="G3994" s="4" t="str">
        <f>HYPERLINK("https://diaocthongthai.com/xa-an-ninh-quynh-phu/","Xã An Ninh")</f>
        <v>Xã An Ninh</v>
      </c>
    </row>
    <row r="3995" spans="1:7" x14ac:dyDescent="0.25">
      <c r="A3995" s="2">
        <v>3994</v>
      </c>
      <c r="B3995" s="3" t="s">
        <v>24</v>
      </c>
      <c r="C3995" s="4" t="str">
        <f t="shared" si="337"/>
        <v>Thái Bình</v>
      </c>
      <c r="D3995" s="3" t="s">
        <v>300</v>
      </c>
      <c r="E3995" s="4" t="str">
        <f t="shared" si="339"/>
        <v>Huyện Quỳnh Phụ</v>
      </c>
      <c r="F3995" s="3" t="s">
        <v>4758</v>
      </c>
      <c r="G3995" s="4" t="str">
        <f>HYPERLINK("https://diaocthongthai.com/xa-quynh-ngoc-quynh-phu/","Xã Quỳnh Ngọc")</f>
        <v>Xã Quỳnh Ngọc</v>
      </c>
    </row>
    <row r="3996" spans="1:7" x14ac:dyDescent="0.25">
      <c r="A3996" s="2">
        <v>3995</v>
      </c>
      <c r="B3996" s="3" t="s">
        <v>24</v>
      </c>
      <c r="C3996" s="4" t="str">
        <f t="shared" si="337"/>
        <v>Thái Bình</v>
      </c>
      <c r="D3996" s="3" t="s">
        <v>300</v>
      </c>
      <c r="E3996" s="4" t="str">
        <f t="shared" si="339"/>
        <v>Huyện Quỳnh Phụ</v>
      </c>
      <c r="F3996" s="3" t="s">
        <v>4759</v>
      </c>
      <c r="G3996" s="4" t="str">
        <f>HYPERLINK("https://diaocthongthai.com/xa-quynh-hai-quynh-phu/","Xã Quỳnh Hải")</f>
        <v>Xã Quỳnh Hải</v>
      </c>
    </row>
    <row r="3997" spans="1:7" x14ac:dyDescent="0.25">
      <c r="A3997" s="2">
        <v>3996</v>
      </c>
      <c r="B3997" s="3" t="s">
        <v>24</v>
      </c>
      <c r="C3997" s="4" t="str">
        <f t="shared" si="337"/>
        <v>Thái Bình</v>
      </c>
      <c r="D3997" s="3" t="s">
        <v>300</v>
      </c>
      <c r="E3997" s="4" t="str">
        <f t="shared" si="339"/>
        <v>Huyện Quỳnh Phụ</v>
      </c>
      <c r="F3997" s="3" t="s">
        <v>4760</v>
      </c>
      <c r="G3997" s="4" t="str">
        <f>HYPERLINK("https://diaocthongthai.com/thi-tran-an-bai-quynh-phu/","Thị trấn An Bài")</f>
        <v>Thị trấn An Bài</v>
      </c>
    </row>
    <row r="3998" spans="1:7" x14ac:dyDescent="0.25">
      <c r="A3998" s="2">
        <v>3997</v>
      </c>
      <c r="B3998" s="3" t="s">
        <v>24</v>
      </c>
      <c r="C3998" s="4" t="str">
        <f t="shared" si="337"/>
        <v>Thái Bình</v>
      </c>
      <c r="D3998" s="3" t="s">
        <v>300</v>
      </c>
      <c r="E3998" s="4" t="str">
        <f t="shared" si="339"/>
        <v>Huyện Quỳnh Phụ</v>
      </c>
      <c r="F3998" s="3" t="s">
        <v>4761</v>
      </c>
      <c r="G3998" s="4" t="str">
        <f>HYPERLINK("https://diaocthongthai.com/xa-an-ap-quynh-phu/","Xã An Ấp")</f>
        <v>Xã An Ấp</v>
      </c>
    </row>
    <row r="3999" spans="1:7" x14ac:dyDescent="0.25">
      <c r="A3999" s="2">
        <v>3998</v>
      </c>
      <c r="B3999" s="3" t="s">
        <v>24</v>
      </c>
      <c r="C3999" s="4" t="str">
        <f t="shared" si="337"/>
        <v>Thái Bình</v>
      </c>
      <c r="D3999" s="3" t="s">
        <v>300</v>
      </c>
      <c r="E3999" s="4" t="str">
        <f t="shared" si="339"/>
        <v>Huyện Quỳnh Phụ</v>
      </c>
      <c r="F3999" s="3" t="s">
        <v>4762</v>
      </c>
      <c r="G3999" s="4" t="str">
        <f>HYPERLINK("https://diaocthongthai.com/xa-quynh-hoi-quynh-phu/","Xã Quỳnh Hội")</f>
        <v>Xã Quỳnh Hội</v>
      </c>
    </row>
    <row r="4000" spans="1:7" x14ac:dyDescent="0.25">
      <c r="A4000" s="2">
        <v>3999</v>
      </c>
      <c r="B4000" s="3" t="s">
        <v>24</v>
      </c>
      <c r="C4000" s="4" t="str">
        <f t="shared" si="337"/>
        <v>Thái Bình</v>
      </c>
      <c r="D4000" s="3" t="s">
        <v>300</v>
      </c>
      <c r="E4000" s="4" t="str">
        <f t="shared" si="339"/>
        <v>Huyện Quỳnh Phụ</v>
      </c>
      <c r="F4000" s="3" t="s">
        <v>4763</v>
      </c>
      <c r="G4000" s="4" t="str">
        <f>HYPERLINK("https://diaocthongthai.com/xa-chau-son-quynh-phu/","Xã Châu Sơn")</f>
        <v>Xã Châu Sơn</v>
      </c>
    </row>
    <row r="4001" spans="1:7" x14ac:dyDescent="0.25">
      <c r="A4001" s="2">
        <v>4000</v>
      </c>
      <c r="B4001" s="3" t="s">
        <v>24</v>
      </c>
      <c r="C4001" s="4" t="str">
        <f t="shared" si="337"/>
        <v>Thái Bình</v>
      </c>
      <c r="D4001" s="3" t="s">
        <v>300</v>
      </c>
      <c r="E4001" s="4" t="str">
        <f t="shared" si="339"/>
        <v>Huyện Quỳnh Phụ</v>
      </c>
      <c r="F4001" s="3" t="s">
        <v>4764</v>
      </c>
      <c r="G4001" s="4" t="str">
        <f>HYPERLINK("https://diaocthongthai.com/xa-quynh-my-quynh-phu/","Xã Quỳnh Mỹ")</f>
        <v>Xã Quỳnh Mỹ</v>
      </c>
    </row>
    <row r="4002" spans="1:7" x14ac:dyDescent="0.25">
      <c r="A4002" s="2">
        <v>4001</v>
      </c>
      <c r="B4002" s="3" t="s">
        <v>24</v>
      </c>
      <c r="C4002" s="4" t="str">
        <f t="shared" si="337"/>
        <v>Thái Bình</v>
      </c>
      <c r="D4002" s="3" t="s">
        <v>300</v>
      </c>
      <c r="E4002" s="4" t="str">
        <f t="shared" si="339"/>
        <v>Huyện Quỳnh Phụ</v>
      </c>
      <c r="F4002" s="3" t="s">
        <v>4765</v>
      </c>
      <c r="G4002" s="4" t="str">
        <f>HYPERLINK("https://diaocthongthai.com/xa-an-quy-quynh-phu/","Xã An Quí")</f>
        <v>Xã An Quí</v>
      </c>
    </row>
    <row r="4003" spans="1:7" x14ac:dyDescent="0.25">
      <c r="A4003" s="2">
        <v>4002</v>
      </c>
      <c r="B4003" s="3" t="s">
        <v>24</v>
      </c>
      <c r="C4003" s="4" t="str">
        <f t="shared" si="337"/>
        <v>Thái Bình</v>
      </c>
      <c r="D4003" s="3" t="s">
        <v>300</v>
      </c>
      <c r="E4003" s="4" t="str">
        <f t="shared" si="339"/>
        <v>Huyện Quỳnh Phụ</v>
      </c>
      <c r="F4003" s="3" t="s">
        <v>4766</v>
      </c>
      <c r="G4003" s="4" t="str">
        <f>HYPERLINK("https://diaocthongthai.com/xa-an-thanh-quynh-phu/","Xã An Thanh")</f>
        <v>Xã An Thanh</v>
      </c>
    </row>
    <row r="4004" spans="1:7" x14ac:dyDescent="0.25">
      <c r="A4004" s="2">
        <v>4003</v>
      </c>
      <c r="B4004" s="3" t="s">
        <v>24</v>
      </c>
      <c r="C4004" s="4" t="str">
        <f t="shared" si="337"/>
        <v>Thái Bình</v>
      </c>
      <c r="D4004" s="3" t="s">
        <v>300</v>
      </c>
      <c r="E4004" s="4" t="str">
        <f t="shared" si="339"/>
        <v>Huyện Quỳnh Phụ</v>
      </c>
      <c r="F4004" s="3" t="s">
        <v>4767</v>
      </c>
      <c r="G4004" s="4" t="str">
        <f>HYPERLINK("https://diaocthongthai.com/xa-an-vu-quynh-phu/","Xã An Vũ")</f>
        <v>Xã An Vũ</v>
      </c>
    </row>
    <row r="4005" spans="1:7" x14ac:dyDescent="0.25">
      <c r="A4005" s="2">
        <v>4004</v>
      </c>
      <c r="B4005" s="3" t="s">
        <v>24</v>
      </c>
      <c r="C4005" s="4" t="str">
        <f t="shared" si="337"/>
        <v>Thái Bình</v>
      </c>
      <c r="D4005" s="3" t="s">
        <v>300</v>
      </c>
      <c r="E4005" s="4" t="str">
        <f t="shared" si="339"/>
        <v>Huyện Quỳnh Phụ</v>
      </c>
      <c r="F4005" s="3" t="s">
        <v>4768</v>
      </c>
      <c r="G4005" s="4" t="str">
        <f>HYPERLINK("https://diaocthongthai.com/xa-an-le-quynh-phu/","Xã An Lễ")</f>
        <v>Xã An Lễ</v>
      </c>
    </row>
    <row r="4006" spans="1:7" x14ac:dyDescent="0.25">
      <c r="A4006" s="2">
        <v>4005</v>
      </c>
      <c r="B4006" s="3" t="s">
        <v>24</v>
      </c>
      <c r="C4006" s="4" t="str">
        <f t="shared" si="337"/>
        <v>Thái Bình</v>
      </c>
      <c r="D4006" s="3" t="s">
        <v>300</v>
      </c>
      <c r="E4006" s="4" t="str">
        <f t="shared" si="339"/>
        <v>Huyện Quỳnh Phụ</v>
      </c>
      <c r="F4006" s="3" t="s">
        <v>4769</v>
      </c>
      <c r="G4006" s="4" t="str">
        <f>HYPERLINK("https://diaocthongthai.com/xa-quynh-hung-quynh-phu/","Xã Quỳnh Hưng")</f>
        <v>Xã Quỳnh Hưng</v>
      </c>
    </row>
    <row r="4007" spans="1:7" x14ac:dyDescent="0.25">
      <c r="A4007" s="2">
        <v>4006</v>
      </c>
      <c r="B4007" s="3" t="s">
        <v>24</v>
      </c>
      <c r="C4007" s="4" t="str">
        <f t="shared" si="337"/>
        <v>Thái Bình</v>
      </c>
      <c r="D4007" s="3" t="s">
        <v>300</v>
      </c>
      <c r="E4007" s="4" t="str">
        <f t="shared" si="339"/>
        <v>Huyện Quỳnh Phụ</v>
      </c>
      <c r="F4007" s="3" t="s">
        <v>4770</v>
      </c>
      <c r="G4007" s="4" t="str">
        <f>HYPERLINK("https://diaocthongthai.com/xa-quynh-bao-quynh-phu/","Xã Quỳnh Bảo")</f>
        <v>Xã Quỳnh Bảo</v>
      </c>
    </row>
    <row r="4008" spans="1:7" x14ac:dyDescent="0.25">
      <c r="A4008" s="2">
        <v>4007</v>
      </c>
      <c r="B4008" s="3" t="s">
        <v>24</v>
      </c>
      <c r="C4008" s="4" t="str">
        <f t="shared" si="337"/>
        <v>Thái Bình</v>
      </c>
      <c r="D4008" s="3" t="s">
        <v>300</v>
      </c>
      <c r="E4008" s="4" t="str">
        <f t="shared" si="339"/>
        <v>Huyện Quỳnh Phụ</v>
      </c>
      <c r="F4008" s="3" t="s">
        <v>4771</v>
      </c>
      <c r="G4008" s="4" t="str">
        <f>HYPERLINK("https://diaocthongthai.com/xa-an-my-quynh-phu/","Xã An Mỹ")</f>
        <v>Xã An Mỹ</v>
      </c>
    </row>
    <row r="4009" spans="1:7" x14ac:dyDescent="0.25">
      <c r="A4009" s="2">
        <v>4008</v>
      </c>
      <c r="B4009" s="3" t="s">
        <v>24</v>
      </c>
      <c r="C4009" s="4" t="str">
        <f t="shared" si="337"/>
        <v>Thái Bình</v>
      </c>
      <c r="D4009" s="3" t="s">
        <v>300</v>
      </c>
      <c r="E4009" s="4" t="str">
        <f t="shared" si="339"/>
        <v>Huyện Quỳnh Phụ</v>
      </c>
      <c r="F4009" s="3" t="s">
        <v>4772</v>
      </c>
      <c r="G4009" s="4" t="str">
        <f>HYPERLINK("https://diaocthongthai.com/xa-quynh-nguyen-quynh-phu/","Xã Quỳnh Nguyên")</f>
        <v>Xã Quỳnh Nguyên</v>
      </c>
    </row>
    <row r="4010" spans="1:7" x14ac:dyDescent="0.25">
      <c r="A4010" s="2">
        <v>4009</v>
      </c>
      <c r="B4010" s="3" t="s">
        <v>24</v>
      </c>
      <c r="C4010" s="4" t="str">
        <f t="shared" si="337"/>
        <v>Thái Bình</v>
      </c>
      <c r="D4010" s="3" t="s">
        <v>300</v>
      </c>
      <c r="E4010" s="4" t="str">
        <f t="shared" si="339"/>
        <v>Huyện Quỳnh Phụ</v>
      </c>
      <c r="F4010" s="3" t="s">
        <v>4773</v>
      </c>
      <c r="G4010" s="4" t="str">
        <f>HYPERLINK("https://diaocthongthai.com/xa-an-vinh-quynh-phu/","Xã An Vinh")</f>
        <v>Xã An Vinh</v>
      </c>
    </row>
    <row r="4011" spans="1:7" x14ac:dyDescent="0.25">
      <c r="A4011" s="2">
        <v>4010</v>
      </c>
      <c r="B4011" s="3" t="s">
        <v>24</v>
      </c>
      <c r="C4011" s="4" t="str">
        <f t="shared" si="337"/>
        <v>Thái Bình</v>
      </c>
      <c r="D4011" s="3" t="s">
        <v>300</v>
      </c>
      <c r="E4011" s="4" t="str">
        <f t="shared" si="339"/>
        <v>Huyện Quỳnh Phụ</v>
      </c>
      <c r="F4011" s="3" t="s">
        <v>4774</v>
      </c>
      <c r="G4011" s="4" t="str">
        <f>HYPERLINK("https://diaocthongthai.com/xa-quynh-xa-quynh-phu/","Xã Quỳnh Xá")</f>
        <v>Xã Quỳnh Xá</v>
      </c>
    </row>
    <row r="4012" spans="1:7" x14ac:dyDescent="0.25">
      <c r="A4012" s="2">
        <v>4011</v>
      </c>
      <c r="B4012" s="3" t="s">
        <v>24</v>
      </c>
      <c r="C4012" s="4" t="str">
        <f t="shared" si="337"/>
        <v>Thái Bình</v>
      </c>
      <c r="D4012" s="3" t="s">
        <v>300</v>
      </c>
      <c r="E4012" s="4" t="str">
        <f t="shared" si="339"/>
        <v>Huyện Quỳnh Phụ</v>
      </c>
      <c r="F4012" s="3" t="s">
        <v>4775</v>
      </c>
      <c r="G4012" s="4" t="str">
        <f>HYPERLINK("https://diaocthongthai.com/xa-an-duc-quynh-phu/","Xã An Dục")</f>
        <v>Xã An Dục</v>
      </c>
    </row>
    <row r="4013" spans="1:7" x14ac:dyDescent="0.25">
      <c r="A4013" s="2">
        <v>4012</v>
      </c>
      <c r="B4013" s="3" t="s">
        <v>24</v>
      </c>
      <c r="C4013" s="4" t="str">
        <f t="shared" si="337"/>
        <v>Thái Bình</v>
      </c>
      <c r="D4013" s="3" t="s">
        <v>300</v>
      </c>
      <c r="E4013" s="4" t="str">
        <f t="shared" si="339"/>
        <v>Huyện Quỳnh Phụ</v>
      </c>
      <c r="F4013" s="3" t="s">
        <v>4776</v>
      </c>
      <c r="G4013" s="4" t="str">
        <f>HYPERLINK("https://diaocthongthai.com/xa-dong-hai-quynh-phu/","Xã Đông Hải")</f>
        <v>Xã Đông Hải</v>
      </c>
    </row>
    <row r="4014" spans="1:7" x14ac:dyDescent="0.25">
      <c r="A4014" s="2">
        <v>4013</v>
      </c>
      <c r="B4014" s="3" t="s">
        <v>24</v>
      </c>
      <c r="C4014" s="4" t="str">
        <f t="shared" si="337"/>
        <v>Thái Bình</v>
      </c>
      <c r="D4014" s="3" t="s">
        <v>300</v>
      </c>
      <c r="E4014" s="4" t="str">
        <f t="shared" si="339"/>
        <v>Huyện Quỳnh Phụ</v>
      </c>
      <c r="F4014" s="3" t="s">
        <v>4777</v>
      </c>
      <c r="G4014" s="4" t="str">
        <f>HYPERLINK("https://diaocthongthai.com/xa-quynh-trang-quynh-phu/","Xã Quỳnh Trang")</f>
        <v>Xã Quỳnh Trang</v>
      </c>
    </row>
    <row r="4015" spans="1:7" x14ac:dyDescent="0.25">
      <c r="A4015" s="2">
        <v>4014</v>
      </c>
      <c r="B4015" s="3" t="s">
        <v>24</v>
      </c>
      <c r="C4015" s="4" t="str">
        <f t="shared" si="337"/>
        <v>Thái Bình</v>
      </c>
      <c r="D4015" s="3" t="s">
        <v>300</v>
      </c>
      <c r="E4015" s="4" t="str">
        <f t="shared" si="339"/>
        <v>Huyện Quỳnh Phụ</v>
      </c>
      <c r="F4015" s="3" t="s">
        <v>4778</v>
      </c>
      <c r="G4015" s="4" t="str">
        <f>HYPERLINK("https://diaocthongthai.com/xa-an-trang-quynh-phu/","Xã An Tràng")</f>
        <v>Xã An Tràng</v>
      </c>
    </row>
    <row r="4016" spans="1:7" x14ac:dyDescent="0.25">
      <c r="A4016" s="2">
        <v>4015</v>
      </c>
      <c r="B4016" s="3" t="s">
        <v>24</v>
      </c>
      <c r="C4016" s="4" t="str">
        <f t="shared" si="337"/>
        <v>Thái Bình</v>
      </c>
      <c r="D4016" s="3" t="s">
        <v>300</v>
      </c>
      <c r="E4016" s="4" t="str">
        <f t="shared" si="339"/>
        <v>Huyện Quỳnh Phụ</v>
      </c>
      <c r="F4016" s="3" t="s">
        <v>4779</v>
      </c>
      <c r="G4016" s="4" t="str">
        <f>HYPERLINK("https://diaocthongthai.com/xa-dong-tien-quynh-phu/","Xã Đồng Tiến")</f>
        <v>Xã Đồng Tiến</v>
      </c>
    </row>
    <row r="4017" spans="1:7" x14ac:dyDescent="0.25">
      <c r="A4017" s="2">
        <v>4016</v>
      </c>
      <c r="B4017" s="3" t="s">
        <v>24</v>
      </c>
      <c r="C4017" s="4" t="str">
        <f t="shared" si="337"/>
        <v>Thái Bình</v>
      </c>
      <c r="D4017" s="3" t="s">
        <v>301</v>
      </c>
      <c r="E4017" s="4" t="str">
        <f t="shared" ref="E4017:E4051" si="340">HYPERLINK("https://diaocthongthai.com/ban-do-huyen-hung-ha-thai-binh/","Huyện Hưng Hà")</f>
        <v>Huyện Hưng Hà</v>
      </c>
      <c r="F4017" s="3" t="s">
        <v>4780</v>
      </c>
      <c r="G4017" s="4" t="str">
        <f>HYPERLINK("https://diaocthongthai.com/thi-tran-hung-ha-hung-ha/","Thị trấn Hưng Hà")</f>
        <v>Thị trấn Hưng Hà</v>
      </c>
    </row>
    <row r="4018" spans="1:7" x14ac:dyDescent="0.25">
      <c r="A4018" s="2">
        <v>4017</v>
      </c>
      <c r="B4018" s="3" t="s">
        <v>24</v>
      </c>
      <c r="C4018" s="4" t="str">
        <f t="shared" si="337"/>
        <v>Thái Bình</v>
      </c>
      <c r="D4018" s="3" t="s">
        <v>301</v>
      </c>
      <c r="E4018" s="4" t="str">
        <f t="shared" si="340"/>
        <v>Huyện Hưng Hà</v>
      </c>
      <c r="F4018" s="3" t="s">
        <v>4781</v>
      </c>
      <c r="G4018" s="4" t="str">
        <f>HYPERLINK("https://diaocthongthai.com/xa-diep-nong-hung-ha/","Xã Điệp Nông")</f>
        <v>Xã Điệp Nông</v>
      </c>
    </row>
    <row r="4019" spans="1:7" x14ac:dyDescent="0.25">
      <c r="A4019" s="2">
        <v>4018</v>
      </c>
      <c r="B4019" s="3" t="s">
        <v>24</v>
      </c>
      <c r="C4019" s="4" t="str">
        <f t="shared" si="337"/>
        <v>Thái Bình</v>
      </c>
      <c r="D4019" s="3" t="s">
        <v>301</v>
      </c>
      <c r="E4019" s="4" t="str">
        <f t="shared" si="340"/>
        <v>Huyện Hưng Hà</v>
      </c>
      <c r="F4019" s="3" t="s">
        <v>4782</v>
      </c>
      <c r="G4019" s="4" t="str">
        <f>HYPERLINK("https://diaocthongthai.com/xa-tan-le-hung-ha/","Xã Tân Lễ")</f>
        <v>Xã Tân Lễ</v>
      </c>
    </row>
    <row r="4020" spans="1:7" x14ac:dyDescent="0.25">
      <c r="A4020" s="2">
        <v>4019</v>
      </c>
      <c r="B4020" s="3" t="s">
        <v>24</v>
      </c>
      <c r="C4020" s="4" t="str">
        <f t="shared" si="337"/>
        <v>Thái Bình</v>
      </c>
      <c r="D4020" s="3" t="s">
        <v>301</v>
      </c>
      <c r="E4020" s="4" t="str">
        <f t="shared" si="340"/>
        <v>Huyện Hưng Hà</v>
      </c>
      <c r="F4020" s="3" t="s">
        <v>4783</v>
      </c>
      <c r="G4020" s="4" t="str">
        <f>HYPERLINK("https://diaocthongthai.com/xa-cong-hoa-hung-ha/","Xã Cộng Hòa")</f>
        <v>Xã Cộng Hòa</v>
      </c>
    </row>
    <row r="4021" spans="1:7" x14ac:dyDescent="0.25">
      <c r="A4021" s="2">
        <v>4020</v>
      </c>
      <c r="B4021" s="3" t="s">
        <v>24</v>
      </c>
      <c r="C4021" s="4" t="str">
        <f t="shared" si="337"/>
        <v>Thái Bình</v>
      </c>
      <c r="D4021" s="3" t="s">
        <v>301</v>
      </c>
      <c r="E4021" s="4" t="str">
        <f t="shared" si="340"/>
        <v>Huyện Hưng Hà</v>
      </c>
      <c r="F4021" s="3" t="s">
        <v>4784</v>
      </c>
      <c r="G4021" s="4" t="str">
        <f>HYPERLINK("https://diaocthongthai.com/xa-dan-chu-hung-ha/","Xã Dân Chủ")</f>
        <v>Xã Dân Chủ</v>
      </c>
    </row>
    <row r="4022" spans="1:7" x14ac:dyDescent="0.25">
      <c r="A4022" s="2">
        <v>4021</v>
      </c>
      <c r="B4022" s="3" t="s">
        <v>24</v>
      </c>
      <c r="C4022" s="4" t="str">
        <f t="shared" si="337"/>
        <v>Thái Bình</v>
      </c>
      <c r="D4022" s="3" t="s">
        <v>301</v>
      </c>
      <c r="E4022" s="4" t="str">
        <f t="shared" si="340"/>
        <v>Huyện Hưng Hà</v>
      </c>
      <c r="F4022" s="3" t="s">
        <v>4785</v>
      </c>
      <c r="G4022" s="4" t="str">
        <f>HYPERLINK("https://diaocthongthai.com/xa-canh-tan-hung-ha/","Xã Canh Tân")</f>
        <v>Xã Canh Tân</v>
      </c>
    </row>
    <row r="4023" spans="1:7" x14ac:dyDescent="0.25">
      <c r="A4023" s="2">
        <v>4022</v>
      </c>
      <c r="B4023" s="3" t="s">
        <v>24</v>
      </c>
      <c r="C4023" s="4" t="str">
        <f t="shared" si="337"/>
        <v>Thái Bình</v>
      </c>
      <c r="D4023" s="3" t="s">
        <v>301</v>
      </c>
      <c r="E4023" s="4" t="str">
        <f t="shared" si="340"/>
        <v>Huyện Hưng Hà</v>
      </c>
      <c r="F4023" s="3" t="s">
        <v>4786</v>
      </c>
      <c r="G4023" s="4" t="str">
        <f>HYPERLINK("https://diaocthongthai.com/xa-hoa-tien-hung-ha/","Xã Hòa Tiến")</f>
        <v>Xã Hòa Tiến</v>
      </c>
    </row>
    <row r="4024" spans="1:7" x14ac:dyDescent="0.25">
      <c r="A4024" s="2">
        <v>4023</v>
      </c>
      <c r="B4024" s="3" t="s">
        <v>24</v>
      </c>
      <c r="C4024" s="4" t="str">
        <f t="shared" si="337"/>
        <v>Thái Bình</v>
      </c>
      <c r="D4024" s="3" t="s">
        <v>301</v>
      </c>
      <c r="E4024" s="4" t="str">
        <f t="shared" si="340"/>
        <v>Huyện Hưng Hà</v>
      </c>
      <c r="F4024" s="3" t="s">
        <v>4787</v>
      </c>
      <c r="G4024" s="4" t="str">
        <f>HYPERLINK("https://diaocthongthai.com/xa-hung-dung-hung-ha/","Xã Hùng Dũng")</f>
        <v>Xã Hùng Dũng</v>
      </c>
    </row>
    <row r="4025" spans="1:7" x14ac:dyDescent="0.25">
      <c r="A4025" s="2">
        <v>4024</v>
      </c>
      <c r="B4025" s="3" t="s">
        <v>24</v>
      </c>
      <c r="C4025" s="4" t="str">
        <f t="shared" ref="C4025:C4088" si="341">HYPERLINK("https://diaocthongthai.com/ban-do-thai-binh/","Thái Bình")</f>
        <v>Thái Bình</v>
      </c>
      <c r="D4025" s="3" t="s">
        <v>301</v>
      </c>
      <c r="E4025" s="4" t="str">
        <f t="shared" si="340"/>
        <v>Huyện Hưng Hà</v>
      </c>
      <c r="F4025" s="3" t="s">
        <v>4788</v>
      </c>
      <c r="G4025" s="4" t="str">
        <f>HYPERLINK("https://diaocthongthai.com/xa-tan-tien-hung-ha/","Xã Tân Tiến")</f>
        <v>Xã Tân Tiến</v>
      </c>
    </row>
    <row r="4026" spans="1:7" x14ac:dyDescent="0.25">
      <c r="A4026" s="2">
        <v>4025</v>
      </c>
      <c r="B4026" s="3" t="s">
        <v>24</v>
      </c>
      <c r="C4026" s="4" t="str">
        <f t="shared" si="341"/>
        <v>Thái Bình</v>
      </c>
      <c r="D4026" s="3" t="s">
        <v>301</v>
      </c>
      <c r="E4026" s="4" t="str">
        <f t="shared" si="340"/>
        <v>Huyện Hưng Hà</v>
      </c>
      <c r="F4026" s="3" t="s">
        <v>4789</v>
      </c>
      <c r="G4026" s="4" t="str">
        <f>HYPERLINK("https://diaocthongthai.com/thi-tran-hung-nhan-hung-ha/","Thị trấn Hưng Nhân")</f>
        <v>Thị trấn Hưng Nhân</v>
      </c>
    </row>
    <row r="4027" spans="1:7" x14ac:dyDescent="0.25">
      <c r="A4027" s="2">
        <v>4026</v>
      </c>
      <c r="B4027" s="3" t="s">
        <v>24</v>
      </c>
      <c r="C4027" s="4" t="str">
        <f t="shared" si="341"/>
        <v>Thái Bình</v>
      </c>
      <c r="D4027" s="3" t="s">
        <v>301</v>
      </c>
      <c r="E4027" s="4" t="str">
        <f t="shared" si="340"/>
        <v>Huyện Hưng Hà</v>
      </c>
      <c r="F4027" s="3" t="s">
        <v>4790</v>
      </c>
      <c r="G4027" s="4" t="str">
        <f>HYPERLINK("https://diaocthongthai.com/xa-doan-hung-hung-ha/","Xã Đoan Hùng")</f>
        <v>Xã Đoan Hùng</v>
      </c>
    </row>
    <row r="4028" spans="1:7" x14ac:dyDescent="0.25">
      <c r="A4028" s="2">
        <v>4027</v>
      </c>
      <c r="B4028" s="3" t="s">
        <v>24</v>
      </c>
      <c r="C4028" s="4" t="str">
        <f t="shared" si="341"/>
        <v>Thái Bình</v>
      </c>
      <c r="D4028" s="3" t="s">
        <v>301</v>
      </c>
      <c r="E4028" s="4" t="str">
        <f t="shared" si="340"/>
        <v>Huyện Hưng Hà</v>
      </c>
      <c r="F4028" s="3" t="s">
        <v>4791</v>
      </c>
      <c r="G4028" s="4" t="str">
        <f>HYPERLINK("https://diaocthongthai.com/xa-duyen-hai-hung-ha/","Xã Duyên Hải")</f>
        <v>Xã Duyên Hải</v>
      </c>
    </row>
    <row r="4029" spans="1:7" x14ac:dyDescent="0.25">
      <c r="A4029" s="2">
        <v>4028</v>
      </c>
      <c r="B4029" s="3" t="s">
        <v>24</v>
      </c>
      <c r="C4029" s="4" t="str">
        <f t="shared" si="341"/>
        <v>Thái Bình</v>
      </c>
      <c r="D4029" s="3" t="s">
        <v>301</v>
      </c>
      <c r="E4029" s="4" t="str">
        <f t="shared" si="340"/>
        <v>Huyện Hưng Hà</v>
      </c>
      <c r="F4029" s="3" t="s">
        <v>4792</v>
      </c>
      <c r="G4029" s="4" t="str">
        <f>HYPERLINK("https://diaocthongthai.com/xa-tan-hoa-hung-ha/","Xã Tân Hòa")</f>
        <v>Xã Tân Hòa</v>
      </c>
    </row>
    <row r="4030" spans="1:7" x14ac:dyDescent="0.25">
      <c r="A4030" s="2">
        <v>4029</v>
      </c>
      <c r="B4030" s="3" t="s">
        <v>24</v>
      </c>
      <c r="C4030" s="4" t="str">
        <f t="shared" si="341"/>
        <v>Thái Bình</v>
      </c>
      <c r="D4030" s="3" t="s">
        <v>301</v>
      </c>
      <c r="E4030" s="4" t="str">
        <f t="shared" si="340"/>
        <v>Huyện Hưng Hà</v>
      </c>
      <c r="F4030" s="3" t="s">
        <v>4793</v>
      </c>
      <c r="G4030" s="4" t="str">
        <f>HYPERLINK("https://diaocthongthai.com/xa-van-cam-hung-ha/","Xã Văn Cẩm")</f>
        <v>Xã Văn Cẩm</v>
      </c>
    </row>
    <row r="4031" spans="1:7" x14ac:dyDescent="0.25">
      <c r="A4031" s="2">
        <v>4030</v>
      </c>
      <c r="B4031" s="3" t="s">
        <v>24</v>
      </c>
      <c r="C4031" s="4" t="str">
        <f t="shared" si="341"/>
        <v>Thái Bình</v>
      </c>
      <c r="D4031" s="3" t="s">
        <v>301</v>
      </c>
      <c r="E4031" s="4" t="str">
        <f t="shared" si="340"/>
        <v>Huyện Hưng Hà</v>
      </c>
      <c r="F4031" s="3" t="s">
        <v>4794</v>
      </c>
      <c r="G4031" s="4" t="str">
        <f>HYPERLINK("https://diaocthongthai.com/xa-bac-son-hung-ha/","Xã Bắc Sơn")</f>
        <v>Xã Bắc Sơn</v>
      </c>
    </row>
    <row r="4032" spans="1:7" x14ac:dyDescent="0.25">
      <c r="A4032" s="2">
        <v>4031</v>
      </c>
      <c r="B4032" s="3" t="s">
        <v>24</v>
      </c>
      <c r="C4032" s="4" t="str">
        <f t="shared" si="341"/>
        <v>Thái Bình</v>
      </c>
      <c r="D4032" s="3" t="s">
        <v>301</v>
      </c>
      <c r="E4032" s="4" t="str">
        <f t="shared" si="340"/>
        <v>Huyện Hưng Hà</v>
      </c>
      <c r="F4032" s="3" t="s">
        <v>4795</v>
      </c>
      <c r="G4032" s="4" t="str">
        <f>HYPERLINK("https://diaocthongthai.com/xa-dong-do-hung-ha/","Xã Đông Đô")</f>
        <v>Xã Đông Đô</v>
      </c>
    </row>
    <row r="4033" spans="1:7" x14ac:dyDescent="0.25">
      <c r="A4033" s="2">
        <v>4032</v>
      </c>
      <c r="B4033" s="3" t="s">
        <v>24</v>
      </c>
      <c r="C4033" s="4" t="str">
        <f t="shared" si="341"/>
        <v>Thái Bình</v>
      </c>
      <c r="D4033" s="3" t="s">
        <v>301</v>
      </c>
      <c r="E4033" s="4" t="str">
        <f t="shared" si="340"/>
        <v>Huyện Hưng Hà</v>
      </c>
      <c r="F4033" s="3" t="s">
        <v>4796</v>
      </c>
      <c r="G4033" s="4" t="str">
        <f>HYPERLINK("https://diaocthongthai.com/xa-phuc-khanh-hung-ha/","Xã Phúc Khánh")</f>
        <v>Xã Phúc Khánh</v>
      </c>
    </row>
    <row r="4034" spans="1:7" x14ac:dyDescent="0.25">
      <c r="A4034" s="2">
        <v>4033</v>
      </c>
      <c r="B4034" s="3" t="s">
        <v>24</v>
      </c>
      <c r="C4034" s="4" t="str">
        <f t="shared" si="341"/>
        <v>Thái Bình</v>
      </c>
      <c r="D4034" s="3" t="s">
        <v>301</v>
      </c>
      <c r="E4034" s="4" t="str">
        <f t="shared" si="340"/>
        <v>Huyện Hưng Hà</v>
      </c>
      <c r="F4034" s="3" t="s">
        <v>4797</v>
      </c>
      <c r="G4034" s="4" t="str">
        <f>HYPERLINK("https://diaocthongthai.com/xa-lien-hiep-hung-ha/","Xã Liên Hiệp")</f>
        <v>Xã Liên Hiệp</v>
      </c>
    </row>
    <row r="4035" spans="1:7" x14ac:dyDescent="0.25">
      <c r="A4035" s="2">
        <v>4034</v>
      </c>
      <c r="B4035" s="3" t="s">
        <v>24</v>
      </c>
      <c r="C4035" s="4" t="str">
        <f t="shared" si="341"/>
        <v>Thái Bình</v>
      </c>
      <c r="D4035" s="3" t="s">
        <v>301</v>
      </c>
      <c r="E4035" s="4" t="str">
        <f t="shared" si="340"/>
        <v>Huyện Hưng Hà</v>
      </c>
      <c r="F4035" s="3" t="s">
        <v>4798</v>
      </c>
      <c r="G4035" s="4" t="str">
        <f>HYPERLINK("https://diaocthongthai.com/xa-tay-do-hung-ha/","Xã Tây Đô")</f>
        <v>Xã Tây Đô</v>
      </c>
    </row>
    <row r="4036" spans="1:7" x14ac:dyDescent="0.25">
      <c r="A4036" s="2">
        <v>4035</v>
      </c>
      <c r="B4036" s="3" t="s">
        <v>24</v>
      </c>
      <c r="C4036" s="4" t="str">
        <f t="shared" si="341"/>
        <v>Thái Bình</v>
      </c>
      <c r="D4036" s="3" t="s">
        <v>301</v>
      </c>
      <c r="E4036" s="4" t="str">
        <f t="shared" si="340"/>
        <v>Huyện Hưng Hà</v>
      </c>
      <c r="F4036" s="3" t="s">
        <v>4799</v>
      </c>
      <c r="G4036" s="4" t="str">
        <f>HYPERLINK("https://diaocthongthai.com/xa-thong-nhat-hung-ha/","Xã Thống Nhất")</f>
        <v>Xã Thống Nhất</v>
      </c>
    </row>
    <row r="4037" spans="1:7" x14ac:dyDescent="0.25">
      <c r="A4037" s="2">
        <v>4036</v>
      </c>
      <c r="B4037" s="3" t="s">
        <v>24</v>
      </c>
      <c r="C4037" s="4" t="str">
        <f t="shared" si="341"/>
        <v>Thái Bình</v>
      </c>
      <c r="D4037" s="3" t="s">
        <v>301</v>
      </c>
      <c r="E4037" s="4" t="str">
        <f t="shared" si="340"/>
        <v>Huyện Hưng Hà</v>
      </c>
      <c r="F4037" s="3" t="s">
        <v>4800</v>
      </c>
      <c r="G4037" s="4" t="str">
        <f>HYPERLINK("https://diaocthongthai.com/xa-tien-duc-hung-ha/","Xã Tiến Đức")</f>
        <v>Xã Tiến Đức</v>
      </c>
    </row>
    <row r="4038" spans="1:7" x14ac:dyDescent="0.25">
      <c r="A4038" s="2">
        <v>4037</v>
      </c>
      <c r="B4038" s="3" t="s">
        <v>24</v>
      </c>
      <c r="C4038" s="4" t="str">
        <f t="shared" si="341"/>
        <v>Thái Bình</v>
      </c>
      <c r="D4038" s="3" t="s">
        <v>301</v>
      </c>
      <c r="E4038" s="4" t="str">
        <f t="shared" si="340"/>
        <v>Huyện Hưng Hà</v>
      </c>
      <c r="F4038" s="3" t="s">
        <v>4801</v>
      </c>
      <c r="G4038" s="4" t="str">
        <f>HYPERLINK("https://diaocthongthai.com/xa-thai-hung-hung-ha/","Xã Thái Hưng")</f>
        <v>Xã Thái Hưng</v>
      </c>
    </row>
    <row r="4039" spans="1:7" x14ac:dyDescent="0.25">
      <c r="A4039" s="2">
        <v>4038</v>
      </c>
      <c r="B4039" s="3" t="s">
        <v>24</v>
      </c>
      <c r="C4039" s="4" t="str">
        <f t="shared" si="341"/>
        <v>Thái Bình</v>
      </c>
      <c r="D4039" s="3" t="s">
        <v>301</v>
      </c>
      <c r="E4039" s="4" t="str">
        <f t="shared" si="340"/>
        <v>Huyện Hưng Hà</v>
      </c>
      <c r="F4039" s="3" t="s">
        <v>4802</v>
      </c>
      <c r="G4039" s="4" t="str">
        <f>HYPERLINK("https://diaocthongthai.com/xa-thai-phuong-hung-ha/","Xã Thái Phương")</f>
        <v>Xã Thái Phương</v>
      </c>
    </row>
    <row r="4040" spans="1:7" x14ac:dyDescent="0.25">
      <c r="A4040" s="2">
        <v>4039</v>
      </c>
      <c r="B4040" s="3" t="s">
        <v>24</v>
      </c>
      <c r="C4040" s="4" t="str">
        <f t="shared" si="341"/>
        <v>Thái Bình</v>
      </c>
      <c r="D4040" s="3" t="s">
        <v>301</v>
      </c>
      <c r="E4040" s="4" t="str">
        <f t="shared" si="340"/>
        <v>Huyện Hưng Hà</v>
      </c>
      <c r="F4040" s="3" t="s">
        <v>4803</v>
      </c>
      <c r="G4040" s="4" t="str">
        <f>HYPERLINK("https://diaocthongthai.com/xa-hoa-binh-hung-ha/","Xã Hòa Bình")</f>
        <v>Xã Hòa Bình</v>
      </c>
    </row>
    <row r="4041" spans="1:7" x14ac:dyDescent="0.25">
      <c r="A4041" s="2">
        <v>4040</v>
      </c>
      <c r="B4041" s="3" t="s">
        <v>24</v>
      </c>
      <c r="C4041" s="4" t="str">
        <f t="shared" si="341"/>
        <v>Thái Bình</v>
      </c>
      <c r="D4041" s="3" t="s">
        <v>301</v>
      </c>
      <c r="E4041" s="4" t="str">
        <f t="shared" si="340"/>
        <v>Huyện Hưng Hà</v>
      </c>
      <c r="F4041" s="3" t="s">
        <v>4804</v>
      </c>
      <c r="G4041" s="4" t="str">
        <f>HYPERLINK("https://diaocthongthai.com/xa-chi-lang-hung-ha/","Xã Chi Lăng")</f>
        <v>Xã Chi Lăng</v>
      </c>
    </row>
    <row r="4042" spans="1:7" x14ac:dyDescent="0.25">
      <c r="A4042" s="2">
        <v>4041</v>
      </c>
      <c r="B4042" s="3" t="s">
        <v>24</v>
      </c>
      <c r="C4042" s="4" t="str">
        <f t="shared" si="341"/>
        <v>Thái Bình</v>
      </c>
      <c r="D4042" s="3" t="s">
        <v>301</v>
      </c>
      <c r="E4042" s="4" t="str">
        <f t="shared" si="340"/>
        <v>Huyện Hưng Hà</v>
      </c>
      <c r="F4042" s="3" t="s">
        <v>4805</v>
      </c>
      <c r="G4042" s="4" t="str">
        <f>HYPERLINK("https://diaocthongthai.com/xa-minh-khai-hung-ha/","Xã Minh Khai")</f>
        <v>Xã Minh Khai</v>
      </c>
    </row>
    <row r="4043" spans="1:7" x14ac:dyDescent="0.25">
      <c r="A4043" s="2">
        <v>4042</v>
      </c>
      <c r="B4043" s="3" t="s">
        <v>24</v>
      </c>
      <c r="C4043" s="4" t="str">
        <f t="shared" si="341"/>
        <v>Thái Bình</v>
      </c>
      <c r="D4043" s="3" t="s">
        <v>301</v>
      </c>
      <c r="E4043" s="4" t="str">
        <f t="shared" si="340"/>
        <v>Huyện Hưng Hà</v>
      </c>
      <c r="F4043" s="3" t="s">
        <v>4806</v>
      </c>
      <c r="G4043" s="4" t="str">
        <f>HYPERLINK("https://diaocthongthai.com/xa-hong-an-hung-ha/","Xã Hồng An")</f>
        <v>Xã Hồng An</v>
      </c>
    </row>
    <row r="4044" spans="1:7" x14ac:dyDescent="0.25">
      <c r="A4044" s="2">
        <v>4043</v>
      </c>
      <c r="B4044" s="3" t="s">
        <v>24</v>
      </c>
      <c r="C4044" s="4" t="str">
        <f t="shared" si="341"/>
        <v>Thái Bình</v>
      </c>
      <c r="D4044" s="3" t="s">
        <v>301</v>
      </c>
      <c r="E4044" s="4" t="str">
        <f t="shared" si="340"/>
        <v>Huyện Hưng Hà</v>
      </c>
      <c r="F4044" s="3" t="s">
        <v>4807</v>
      </c>
      <c r="G4044" s="4" t="str">
        <f>HYPERLINK("https://diaocthongthai.com/xa-kim-trung-hung-ha/","Xã Kim Chung")</f>
        <v>Xã Kim Chung</v>
      </c>
    </row>
    <row r="4045" spans="1:7" x14ac:dyDescent="0.25">
      <c r="A4045" s="2">
        <v>4044</v>
      </c>
      <c r="B4045" s="3" t="s">
        <v>24</v>
      </c>
      <c r="C4045" s="4" t="str">
        <f t="shared" si="341"/>
        <v>Thái Bình</v>
      </c>
      <c r="D4045" s="3" t="s">
        <v>301</v>
      </c>
      <c r="E4045" s="4" t="str">
        <f t="shared" si="340"/>
        <v>Huyện Hưng Hà</v>
      </c>
      <c r="F4045" s="3" t="s">
        <v>4808</v>
      </c>
      <c r="G4045" s="4" t="str">
        <f>HYPERLINK("https://diaocthongthai.com/xa-hong-linh-hung-ha/","Xã Hồng Lĩnh")</f>
        <v>Xã Hồng Lĩnh</v>
      </c>
    </row>
    <row r="4046" spans="1:7" x14ac:dyDescent="0.25">
      <c r="A4046" s="2">
        <v>4045</v>
      </c>
      <c r="B4046" s="3" t="s">
        <v>24</v>
      </c>
      <c r="C4046" s="4" t="str">
        <f t="shared" si="341"/>
        <v>Thái Bình</v>
      </c>
      <c r="D4046" s="3" t="s">
        <v>301</v>
      </c>
      <c r="E4046" s="4" t="str">
        <f t="shared" si="340"/>
        <v>Huyện Hưng Hà</v>
      </c>
      <c r="F4046" s="3" t="s">
        <v>4809</v>
      </c>
      <c r="G4046" s="4" t="str">
        <f>HYPERLINK("https://diaocthongthai.com/xa-minh-tan-hung-ha/","Xã Minh Tân")</f>
        <v>Xã Minh Tân</v>
      </c>
    </row>
    <row r="4047" spans="1:7" x14ac:dyDescent="0.25">
      <c r="A4047" s="2">
        <v>4046</v>
      </c>
      <c r="B4047" s="3" t="s">
        <v>24</v>
      </c>
      <c r="C4047" s="4" t="str">
        <f t="shared" si="341"/>
        <v>Thái Bình</v>
      </c>
      <c r="D4047" s="3" t="s">
        <v>301</v>
      </c>
      <c r="E4047" s="4" t="str">
        <f t="shared" si="340"/>
        <v>Huyện Hưng Hà</v>
      </c>
      <c r="F4047" s="3" t="s">
        <v>4810</v>
      </c>
      <c r="G4047" s="4" t="str">
        <f>HYPERLINK("https://diaocthongthai.com/xa-van-lang-hung-ha/","Xã Văn Lang")</f>
        <v>Xã Văn Lang</v>
      </c>
    </row>
    <row r="4048" spans="1:7" x14ac:dyDescent="0.25">
      <c r="A4048" s="2">
        <v>4047</v>
      </c>
      <c r="B4048" s="3" t="s">
        <v>24</v>
      </c>
      <c r="C4048" s="4" t="str">
        <f t="shared" si="341"/>
        <v>Thái Bình</v>
      </c>
      <c r="D4048" s="3" t="s">
        <v>301</v>
      </c>
      <c r="E4048" s="4" t="str">
        <f t="shared" si="340"/>
        <v>Huyện Hưng Hà</v>
      </c>
      <c r="F4048" s="3" t="s">
        <v>4811</v>
      </c>
      <c r="G4048" s="4" t="str">
        <f>HYPERLINK("https://diaocthongthai.com/xa-doc-lap-hung-ha/","Xã Độc Lập")</f>
        <v>Xã Độc Lập</v>
      </c>
    </row>
    <row r="4049" spans="1:7" x14ac:dyDescent="0.25">
      <c r="A4049" s="2">
        <v>4048</v>
      </c>
      <c r="B4049" s="3" t="s">
        <v>24</v>
      </c>
      <c r="C4049" s="4" t="str">
        <f t="shared" si="341"/>
        <v>Thái Bình</v>
      </c>
      <c r="D4049" s="3" t="s">
        <v>301</v>
      </c>
      <c r="E4049" s="4" t="str">
        <f t="shared" si="340"/>
        <v>Huyện Hưng Hà</v>
      </c>
      <c r="F4049" s="3" t="s">
        <v>4812</v>
      </c>
      <c r="G4049" s="4" t="str">
        <f>HYPERLINK("https://diaocthongthai.com/xa-chi-hoa-hung-ha/","Xã Chí Hòa")</f>
        <v>Xã Chí Hòa</v>
      </c>
    </row>
    <row r="4050" spans="1:7" x14ac:dyDescent="0.25">
      <c r="A4050" s="2">
        <v>4049</v>
      </c>
      <c r="B4050" s="3" t="s">
        <v>24</v>
      </c>
      <c r="C4050" s="4" t="str">
        <f t="shared" si="341"/>
        <v>Thái Bình</v>
      </c>
      <c r="D4050" s="3" t="s">
        <v>301</v>
      </c>
      <c r="E4050" s="4" t="str">
        <f t="shared" si="340"/>
        <v>Huyện Hưng Hà</v>
      </c>
      <c r="F4050" s="3" t="s">
        <v>4813</v>
      </c>
      <c r="G4050" s="4" t="str">
        <f>HYPERLINK("https://diaocthongthai.com/xa-minh-hoa-hung-ha/","Xã Minh Hòa")</f>
        <v>Xã Minh Hòa</v>
      </c>
    </row>
    <row r="4051" spans="1:7" x14ac:dyDescent="0.25">
      <c r="A4051" s="2">
        <v>4050</v>
      </c>
      <c r="B4051" s="3" t="s">
        <v>24</v>
      </c>
      <c r="C4051" s="4" t="str">
        <f t="shared" si="341"/>
        <v>Thái Bình</v>
      </c>
      <c r="D4051" s="3" t="s">
        <v>301</v>
      </c>
      <c r="E4051" s="4" t="str">
        <f t="shared" si="340"/>
        <v>Huyện Hưng Hà</v>
      </c>
      <c r="F4051" s="3" t="s">
        <v>4814</v>
      </c>
      <c r="G4051" s="4" t="str">
        <f>HYPERLINK("https://diaocthongthai.com/xa-hong-minh-hung-ha/","Xã Hồng Minh")</f>
        <v>Xã Hồng Minh</v>
      </c>
    </row>
    <row r="4052" spans="1:7" x14ac:dyDescent="0.25">
      <c r="A4052" s="2">
        <v>4051</v>
      </c>
      <c r="B4052" s="3" t="s">
        <v>24</v>
      </c>
      <c r="C4052" s="4" t="str">
        <f t="shared" si="341"/>
        <v>Thái Bình</v>
      </c>
      <c r="D4052" s="3" t="s">
        <v>302</v>
      </c>
      <c r="E4052" s="4" t="str">
        <f t="shared" ref="E4052:E4089" si="342">HYPERLINK("https://diaocthongthai.com/ban-do-huyen-dong-hung-thai-binh/","Huyện Đông Hưng")</f>
        <v>Huyện Đông Hưng</v>
      </c>
      <c r="F4052" s="3" t="s">
        <v>4815</v>
      </c>
      <c r="G4052" s="4" t="str">
        <f>HYPERLINK("https://diaocthongthai.com/thi-tran-dong-hung-dong-hung/","Thị trấn Đông Hưng")</f>
        <v>Thị trấn Đông Hưng</v>
      </c>
    </row>
    <row r="4053" spans="1:7" x14ac:dyDescent="0.25">
      <c r="A4053" s="2">
        <v>4052</v>
      </c>
      <c r="B4053" s="3" t="s">
        <v>24</v>
      </c>
      <c r="C4053" s="4" t="str">
        <f t="shared" si="341"/>
        <v>Thái Bình</v>
      </c>
      <c r="D4053" s="3" t="s">
        <v>302</v>
      </c>
      <c r="E4053" s="4" t="str">
        <f t="shared" si="342"/>
        <v>Huyện Đông Hưng</v>
      </c>
      <c r="F4053" s="3" t="s">
        <v>4816</v>
      </c>
      <c r="G4053" s="4" t="str">
        <f>HYPERLINK("https://diaocthongthai.com/xa-do-luong-dong-hung/","Xã Đô Lương")</f>
        <v>Xã Đô Lương</v>
      </c>
    </row>
    <row r="4054" spans="1:7" x14ac:dyDescent="0.25">
      <c r="A4054" s="2">
        <v>4053</v>
      </c>
      <c r="B4054" s="3" t="s">
        <v>24</v>
      </c>
      <c r="C4054" s="4" t="str">
        <f t="shared" si="341"/>
        <v>Thái Bình</v>
      </c>
      <c r="D4054" s="3" t="s">
        <v>302</v>
      </c>
      <c r="E4054" s="4" t="str">
        <f t="shared" si="342"/>
        <v>Huyện Đông Hưng</v>
      </c>
      <c r="F4054" s="3" t="s">
        <v>4817</v>
      </c>
      <c r="G4054" s="4" t="str">
        <f>HYPERLINK("https://diaocthongthai.com/xa-dong-phuong-dong-hung/","Xã Đông Phương")</f>
        <v>Xã Đông Phương</v>
      </c>
    </row>
    <row r="4055" spans="1:7" x14ac:dyDescent="0.25">
      <c r="A4055" s="2">
        <v>4054</v>
      </c>
      <c r="B4055" s="3" t="s">
        <v>24</v>
      </c>
      <c r="C4055" s="4" t="str">
        <f t="shared" si="341"/>
        <v>Thái Bình</v>
      </c>
      <c r="D4055" s="3" t="s">
        <v>302</v>
      </c>
      <c r="E4055" s="4" t="str">
        <f t="shared" si="342"/>
        <v>Huyện Đông Hưng</v>
      </c>
      <c r="F4055" s="3" t="s">
        <v>4818</v>
      </c>
      <c r="G4055" s="4" t="str">
        <f>HYPERLINK("https://diaocthongthai.com/xa-lien-giang-dong-hung/","Xã Liên Giang")</f>
        <v>Xã Liên Giang</v>
      </c>
    </row>
    <row r="4056" spans="1:7" x14ac:dyDescent="0.25">
      <c r="A4056" s="2">
        <v>4055</v>
      </c>
      <c r="B4056" s="3" t="s">
        <v>24</v>
      </c>
      <c r="C4056" s="4" t="str">
        <f t="shared" si="341"/>
        <v>Thái Bình</v>
      </c>
      <c r="D4056" s="3" t="s">
        <v>302</v>
      </c>
      <c r="E4056" s="4" t="str">
        <f t="shared" si="342"/>
        <v>Huyện Đông Hưng</v>
      </c>
      <c r="F4056" s="3" t="s">
        <v>4819</v>
      </c>
      <c r="G4056" s="4" t="str">
        <f>HYPERLINK("https://diaocthongthai.com/xa-an-chau-dong-hung/","Xã An Châu")</f>
        <v>Xã An Châu</v>
      </c>
    </row>
    <row r="4057" spans="1:7" x14ac:dyDescent="0.25">
      <c r="A4057" s="2">
        <v>4056</v>
      </c>
      <c r="B4057" s="3" t="s">
        <v>24</v>
      </c>
      <c r="C4057" s="4" t="str">
        <f t="shared" si="341"/>
        <v>Thái Bình</v>
      </c>
      <c r="D4057" s="3" t="s">
        <v>302</v>
      </c>
      <c r="E4057" s="4" t="str">
        <f t="shared" si="342"/>
        <v>Huyện Đông Hưng</v>
      </c>
      <c r="F4057" s="3" t="s">
        <v>4820</v>
      </c>
      <c r="G4057" s="4" t="str">
        <f>HYPERLINK("https://diaocthongthai.com/xa-dong-son-dong-hung/","Xã Đông Sơn")</f>
        <v>Xã Đông Sơn</v>
      </c>
    </row>
    <row r="4058" spans="1:7" x14ac:dyDescent="0.25">
      <c r="A4058" s="2">
        <v>4057</v>
      </c>
      <c r="B4058" s="3" t="s">
        <v>24</v>
      </c>
      <c r="C4058" s="4" t="str">
        <f t="shared" si="341"/>
        <v>Thái Bình</v>
      </c>
      <c r="D4058" s="3" t="s">
        <v>302</v>
      </c>
      <c r="E4058" s="4" t="str">
        <f t="shared" si="342"/>
        <v>Huyện Đông Hưng</v>
      </c>
      <c r="F4058" s="3" t="s">
        <v>4821</v>
      </c>
      <c r="G4058" s="4" t="str">
        <f>HYPERLINK("https://diaocthongthai.com/xa-dong-cuong-dong-hung/","Xã Đông Cường")</f>
        <v>Xã Đông Cường</v>
      </c>
    </row>
    <row r="4059" spans="1:7" x14ac:dyDescent="0.25">
      <c r="A4059" s="2">
        <v>4058</v>
      </c>
      <c r="B4059" s="3" t="s">
        <v>24</v>
      </c>
      <c r="C4059" s="4" t="str">
        <f t="shared" si="341"/>
        <v>Thái Bình</v>
      </c>
      <c r="D4059" s="3" t="s">
        <v>302</v>
      </c>
      <c r="E4059" s="4" t="str">
        <f t="shared" si="342"/>
        <v>Huyện Đông Hưng</v>
      </c>
      <c r="F4059" s="3" t="s">
        <v>4822</v>
      </c>
      <c r="G4059" s="4" t="str">
        <f>HYPERLINK("https://diaocthongthai.com/xa-phu-luong-dong-hung/","Xã Phú Lương")</f>
        <v>Xã Phú Lương</v>
      </c>
    </row>
    <row r="4060" spans="1:7" x14ac:dyDescent="0.25">
      <c r="A4060" s="2">
        <v>4059</v>
      </c>
      <c r="B4060" s="3" t="s">
        <v>24</v>
      </c>
      <c r="C4060" s="4" t="str">
        <f t="shared" si="341"/>
        <v>Thái Bình</v>
      </c>
      <c r="D4060" s="3" t="s">
        <v>302</v>
      </c>
      <c r="E4060" s="4" t="str">
        <f t="shared" si="342"/>
        <v>Huyện Đông Hưng</v>
      </c>
      <c r="F4060" s="3" t="s">
        <v>4823</v>
      </c>
      <c r="G4060" s="4" t="str">
        <f>HYPERLINK("https://diaocthongthai.com/xa-me-linh-dong-hung/","Xã Mê Linh")</f>
        <v>Xã Mê Linh</v>
      </c>
    </row>
    <row r="4061" spans="1:7" x14ac:dyDescent="0.25">
      <c r="A4061" s="2">
        <v>4060</v>
      </c>
      <c r="B4061" s="3" t="s">
        <v>24</v>
      </c>
      <c r="C4061" s="4" t="str">
        <f t="shared" si="341"/>
        <v>Thái Bình</v>
      </c>
      <c r="D4061" s="3" t="s">
        <v>302</v>
      </c>
      <c r="E4061" s="4" t="str">
        <f t="shared" si="342"/>
        <v>Huyện Đông Hưng</v>
      </c>
      <c r="F4061" s="3" t="s">
        <v>4824</v>
      </c>
      <c r="G4061" s="4" t="str">
        <f>HYPERLINK("https://diaocthongthai.com/xa-lo-giang-dong-hung/","Xã Lô Giang")</f>
        <v>Xã Lô Giang</v>
      </c>
    </row>
    <row r="4062" spans="1:7" x14ac:dyDescent="0.25">
      <c r="A4062" s="2">
        <v>4061</v>
      </c>
      <c r="B4062" s="3" t="s">
        <v>24</v>
      </c>
      <c r="C4062" s="4" t="str">
        <f t="shared" si="341"/>
        <v>Thái Bình</v>
      </c>
      <c r="D4062" s="3" t="s">
        <v>302</v>
      </c>
      <c r="E4062" s="4" t="str">
        <f t="shared" si="342"/>
        <v>Huyện Đông Hưng</v>
      </c>
      <c r="F4062" s="3" t="s">
        <v>4825</v>
      </c>
      <c r="G4062" s="4" t="str">
        <f>HYPERLINK("https://diaocthongthai.com/xa-dong-la-dong-hung/","Xã Đông La")</f>
        <v>Xã Đông La</v>
      </c>
    </row>
    <row r="4063" spans="1:7" x14ac:dyDescent="0.25">
      <c r="A4063" s="2">
        <v>4062</v>
      </c>
      <c r="B4063" s="3" t="s">
        <v>24</v>
      </c>
      <c r="C4063" s="4" t="str">
        <f t="shared" si="341"/>
        <v>Thái Bình</v>
      </c>
      <c r="D4063" s="3" t="s">
        <v>302</v>
      </c>
      <c r="E4063" s="4" t="str">
        <f t="shared" si="342"/>
        <v>Huyện Đông Hưng</v>
      </c>
      <c r="F4063" s="3" t="s">
        <v>4826</v>
      </c>
      <c r="G4063" s="4" t="str">
        <f>HYPERLINK("https://diaocthongthai.com/xa-minh-tan-dong-hung/","Xã Minh Tân")</f>
        <v>Xã Minh Tân</v>
      </c>
    </row>
    <row r="4064" spans="1:7" x14ac:dyDescent="0.25">
      <c r="A4064" s="2">
        <v>4063</v>
      </c>
      <c r="B4064" s="3" t="s">
        <v>24</v>
      </c>
      <c r="C4064" s="4" t="str">
        <f t="shared" si="341"/>
        <v>Thái Bình</v>
      </c>
      <c r="D4064" s="3" t="s">
        <v>302</v>
      </c>
      <c r="E4064" s="4" t="str">
        <f t="shared" si="342"/>
        <v>Huyện Đông Hưng</v>
      </c>
      <c r="F4064" s="3" t="s">
        <v>4827</v>
      </c>
      <c r="G4064" s="4" t="str">
        <f>HYPERLINK("https://diaocthongthai.com/xa-dong-xa-dong-hung/","Xã Đông Xá")</f>
        <v>Xã Đông Xá</v>
      </c>
    </row>
    <row r="4065" spans="1:7" x14ac:dyDescent="0.25">
      <c r="A4065" s="2">
        <v>4064</v>
      </c>
      <c r="B4065" s="3" t="s">
        <v>24</v>
      </c>
      <c r="C4065" s="4" t="str">
        <f t="shared" si="341"/>
        <v>Thái Bình</v>
      </c>
      <c r="D4065" s="3" t="s">
        <v>302</v>
      </c>
      <c r="E4065" s="4" t="str">
        <f t="shared" si="342"/>
        <v>Huyện Đông Hưng</v>
      </c>
      <c r="F4065" s="3" t="s">
        <v>4828</v>
      </c>
      <c r="G4065" s="4" t="str">
        <f>HYPERLINK("https://diaocthongthai.com/xa-chuong-duong-dong-hung/","Xã Chương Dương")</f>
        <v>Xã Chương Dương</v>
      </c>
    </row>
    <row r="4066" spans="1:7" x14ac:dyDescent="0.25">
      <c r="A4066" s="2">
        <v>4065</v>
      </c>
      <c r="B4066" s="3" t="s">
        <v>24</v>
      </c>
      <c r="C4066" s="4" t="str">
        <f t="shared" si="341"/>
        <v>Thái Bình</v>
      </c>
      <c r="D4066" s="3" t="s">
        <v>302</v>
      </c>
      <c r="E4066" s="4" t="str">
        <f t="shared" si="342"/>
        <v>Huyện Đông Hưng</v>
      </c>
      <c r="F4066" s="3" t="s">
        <v>4829</v>
      </c>
      <c r="G4066" s="4" t="str">
        <f>HYPERLINK("https://diaocthongthai.com/xa-nguyen-xa-dong-hung/","Xã Nguyên Xá")</f>
        <v>Xã Nguyên Xá</v>
      </c>
    </row>
    <row r="4067" spans="1:7" x14ac:dyDescent="0.25">
      <c r="A4067" s="2">
        <v>4066</v>
      </c>
      <c r="B4067" s="3" t="s">
        <v>24</v>
      </c>
      <c r="C4067" s="4" t="str">
        <f t="shared" si="341"/>
        <v>Thái Bình</v>
      </c>
      <c r="D4067" s="3" t="s">
        <v>302</v>
      </c>
      <c r="E4067" s="4" t="str">
        <f t="shared" si="342"/>
        <v>Huyện Đông Hưng</v>
      </c>
      <c r="F4067" s="3" t="s">
        <v>4830</v>
      </c>
      <c r="G4067" s="4" t="str">
        <f>HYPERLINK("https://diaocthongthai.com/xa-phong-chau-dong-hung/","Xã Phong Châu")</f>
        <v>Xã Phong Châu</v>
      </c>
    </row>
    <row r="4068" spans="1:7" x14ac:dyDescent="0.25">
      <c r="A4068" s="2">
        <v>4067</v>
      </c>
      <c r="B4068" s="3" t="s">
        <v>24</v>
      </c>
      <c r="C4068" s="4" t="str">
        <f t="shared" si="341"/>
        <v>Thái Bình</v>
      </c>
      <c r="D4068" s="3" t="s">
        <v>302</v>
      </c>
      <c r="E4068" s="4" t="str">
        <f t="shared" si="342"/>
        <v>Huyện Đông Hưng</v>
      </c>
      <c r="F4068" s="3" t="s">
        <v>4831</v>
      </c>
      <c r="G4068" s="4" t="str">
        <f>HYPERLINK("https://diaocthongthai.com/xa-hop-tien-dong-hung/","Xã Hợp Tiến")</f>
        <v>Xã Hợp Tiến</v>
      </c>
    </row>
    <row r="4069" spans="1:7" x14ac:dyDescent="0.25">
      <c r="A4069" s="2">
        <v>4068</v>
      </c>
      <c r="B4069" s="3" t="s">
        <v>24</v>
      </c>
      <c r="C4069" s="4" t="str">
        <f t="shared" si="341"/>
        <v>Thái Bình</v>
      </c>
      <c r="D4069" s="3" t="s">
        <v>302</v>
      </c>
      <c r="E4069" s="4" t="str">
        <f t="shared" si="342"/>
        <v>Huyện Đông Hưng</v>
      </c>
      <c r="F4069" s="3" t="s">
        <v>4832</v>
      </c>
      <c r="G4069" s="4" t="str">
        <f>HYPERLINK("https://diaocthongthai.com/xa-hong-viet-dong-hung/","Xã Hồng Việt")</f>
        <v>Xã Hồng Việt</v>
      </c>
    </row>
    <row r="4070" spans="1:7" x14ac:dyDescent="0.25">
      <c r="A4070" s="2">
        <v>4069</v>
      </c>
      <c r="B4070" s="3" t="s">
        <v>24</v>
      </c>
      <c r="C4070" s="4" t="str">
        <f t="shared" si="341"/>
        <v>Thái Bình</v>
      </c>
      <c r="D4070" s="3" t="s">
        <v>302</v>
      </c>
      <c r="E4070" s="4" t="str">
        <f t="shared" si="342"/>
        <v>Huyện Đông Hưng</v>
      </c>
      <c r="F4070" s="3" t="s">
        <v>4833</v>
      </c>
      <c r="G4070" s="4" t="str">
        <f>HYPERLINK("https://diaocthongthai.com/xa-ha-giang-dong-hung/","Xã Hà Giang")</f>
        <v>Xã Hà Giang</v>
      </c>
    </row>
    <row r="4071" spans="1:7" x14ac:dyDescent="0.25">
      <c r="A4071" s="2">
        <v>4070</v>
      </c>
      <c r="B4071" s="3" t="s">
        <v>24</v>
      </c>
      <c r="C4071" s="4" t="str">
        <f t="shared" si="341"/>
        <v>Thái Bình</v>
      </c>
      <c r="D4071" s="3" t="s">
        <v>302</v>
      </c>
      <c r="E4071" s="4" t="str">
        <f t="shared" si="342"/>
        <v>Huyện Đông Hưng</v>
      </c>
      <c r="F4071" s="3" t="s">
        <v>4834</v>
      </c>
      <c r="G4071" s="4" t="str">
        <f>HYPERLINK("https://diaocthongthai.com/xa-dong-kinh-dong-hung/","Xã Đông Kinh")</f>
        <v>Xã Đông Kinh</v>
      </c>
    </row>
    <row r="4072" spans="1:7" x14ac:dyDescent="0.25">
      <c r="A4072" s="2">
        <v>4071</v>
      </c>
      <c r="B4072" s="3" t="s">
        <v>24</v>
      </c>
      <c r="C4072" s="4" t="str">
        <f t="shared" si="341"/>
        <v>Thái Bình</v>
      </c>
      <c r="D4072" s="3" t="s">
        <v>302</v>
      </c>
      <c r="E4072" s="4" t="str">
        <f t="shared" si="342"/>
        <v>Huyện Đông Hưng</v>
      </c>
      <c r="F4072" s="3" t="s">
        <v>4835</v>
      </c>
      <c r="G4072" s="4" t="str">
        <f>HYPERLINK("https://diaocthongthai.com/xa-dong-hop-dong-hung/","Xã Đông Hợp")</f>
        <v>Xã Đông Hợp</v>
      </c>
    </row>
    <row r="4073" spans="1:7" x14ac:dyDescent="0.25">
      <c r="A4073" s="2">
        <v>4072</v>
      </c>
      <c r="B4073" s="3" t="s">
        <v>24</v>
      </c>
      <c r="C4073" s="4" t="str">
        <f t="shared" si="341"/>
        <v>Thái Bình</v>
      </c>
      <c r="D4073" s="3" t="s">
        <v>302</v>
      </c>
      <c r="E4073" s="4" t="str">
        <f t="shared" si="342"/>
        <v>Huyện Đông Hưng</v>
      </c>
      <c r="F4073" s="3" t="s">
        <v>4836</v>
      </c>
      <c r="G4073" s="4" t="str">
        <f>HYPERLINK("https://diaocthongthai.com/xa-thang-long-dong-hung/","Xã Thăng Long")</f>
        <v>Xã Thăng Long</v>
      </c>
    </row>
    <row r="4074" spans="1:7" x14ac:dyDescent="0.25">
      <c r="A4074" s="2">
        <v>4073</v>
      </c>
      <c r="B4074" s="3" t="s">
        <v>24</v>
      </c>
      <c r="C4074" s="4" t="str">
        <f t="shared" si="341"/>
        <v>Thái Bình</v>
      </c>
      <c r="D4074" s="3" t="s">
        <v>302</v>
      </c>
      <c r="E4074" s="4" t="str">
        <f t="shared" si="342"/>
        <v>Huyện Đông Hưng</v>
      </c>
      <c r="F4074" s="3" t="s">
        <v>4837</v>
      </c>
      <c r="G4074" s="4" t="str">
        <f>HYPERLINK("https://diaocthongthai.com/xa-dong-cac-dong-hung/","Xã Đông Các")</f>
        <v>Xã Đông Các</v>
      </c>
    </row>
    <row r="4075" spans="1:7" x14ac:dyDescent="0.25">
      <c r="A4075" s="2">
        <v>4074</v>
      </c>
      <c r="B4075" s="3" t="s">
        <v>24</v>
      </c>
      <c r="C4075" s="4" t="str">
        <f t="shared" si="341"/>
        <v>Thái Bình</v>
      </c>
      <c r="D4075" s="3" t="s">
        <v>302</v>
      </c>
      <c r="E4075" s="4" t="str">
        <f t="shared" si="342"/>
        <v>Huyện Đông Hưng</v>
      </c>
      <c r="F4075" s="3" t="s">
        <v>4838</v>
      </c>
      <c r="G4075" s="4" t="str">
        <f>HYPERLINK("https://diaocthongthai.com/xa-phu-chau-dong-hung/","Xã Phú Châu")</f>
        <v>Xã Phú Châu</v>
      </c>
    </row>
    <row r="4076" spans="1:7" x14ac:dyDescent="0.25">
      <c r="A4076" s="2">
        <v>4075</v>
      </c>
      <c r="B4076" s="3" t="s">
        <v>24</v>
      </c>
      <c r="C4076" s="4" t="str">
        <f t="shared" si="341"/>
        <v>Thái Bình</v>
      </c>
      <c r="D4076" s="3" t="s">
        <v>302</v>
      </c>
      <c r="E4076" s="4" t="str">
        <f t="shared" si="342"/>
        <v>Huyện Đông Hưng</v>
      </c>
      <c r="F4076" s="3" t="s">
        <v>4839</v>
      </c>
      <c r="G4076" s="4" t="str">
        <f>HYPERLINK("https://diaocthongthai.com/xa-lien-hoa-dong-hung/","Xã Liên Hoa")</f>
        <v>Xã Liên Hoa</v>
      </c>
    </row>
    <row r="4077" spans="1:7" x14ac:dyDescent="0.25">
      <c r="A4077" s="2">
        <v>4076</v>
      </c>
      <c r="B4077" s="3" t="s">
        <v>24</v>
      </c>
      <c r="C4077" s="4" t="str">
        <f t="shared" si="341"/>
        <v>Thái Bình</v>
      </c>
      <c r="D4077" s="3" t="s">
        <v>302</v>
      </c>
      <c r="E4077" s="4" t="str">
        <f t="shared" si="342"/>
        <v>Huyện Đông Hưng</v>
      </c>
      <c r="F4077" s="3" t="s">
        <v>4840</v>
      </c>
      <c r="G4077" s="4" t="str">
        <f>HYPERLINK("https://diaocthongthai.com/xa-dong-tan-dong-hung/","Xã Đông Tân")</f>
        <v>Xã Đông Tân</v>
      </c>
    </row>
    <row r="4078" spans="1:7" x14ac:dyDescent="0.25">
      <c r="A4078" s="2">
        <v>4077</v>
      </c>
      <c r="B4078" s="3" t="s">
        <v>24</v>
      </c>
      <c r="C4078" s="4" t="str">
        <f t="shared" si="341"/>
        <v>Thái Bình</v>
      </c>
      <c r="D4078" s="3" t="s">
        <v>302</v>
      </c>
      <c r="E4078" s="4" t="str">
        <f t="shared" si="342"/>
        <v>Huyện Đông Hưng</v>
      </c>
      <c r="F4078" s="3" t="s">
        <v>4841</v>
      </c>
      <c r="G4078" s="4" t="str">
        <f>HYPERLINK("https://diaocthongthai.com/xa-dong-vinh-dong-hung/","Xã Đông Vinh")</f>
        <v>Xã Đông Vinh</v>
      </c>
    </row>
    <row r="4079" spans="1:7" x14ac:dyDescent="0.25">
      <c r="A4079" s="2">
        <v>4078</v>
      </c>
      <c r="B4079" s="3" t="s">
        <v>24</v>
      </c>
      <c r="C4079" s="4" t="str">
        <f t="shared" si="341"/>
        <v>Thái Bình</v>
      </c>
      <c r="D4079" s="3" t="s">
        <v>302</v>
      </c>
      <c r="E4079" s="4" t="str">
        <f t="shared" si="342"/>
        <v>Huyện Đông Hưng</v>
      </c>
      <c r="F4079" s="3" t="s">
        <v>4842</v>
      </c>
      <c r="G4079" s="4" t="str">
        <f>HYPERLINK("https://diaocthongthai.com/xa-dong-dong-dong-hung/","Xã Đông Động")</f>
        <v>Xã Đông Động</v>
      </c>
    </row>
    <row r="4080" spans="1:7" x14ac:dyDescent="0.25">
      <c r="A4080" s="2">
        <v>4079</v>
      </c>
      <c r="B4080" s="3" t="s">
        <v>24</v>
      </c>
      <c r="C4080" s="4" t="str">
        <f t="shared" si="341"/>
        <v>Thái Bình</v>
      </c>
      <c r="D4080" s="3" t="s">
        <v>302</v>
      </c>
      <c r="E4080" s="4" t="str">
        <f t="shared" si="342"/>
        <v>Huyện Đông Hưng</v>
      </c>
      <c r="F4080" s="3" t="s">
        <v>4843</v>
      </c>
      <c r="G4080" s="4" t="str">
        <f>HYPERLINK("https://diaocthongthai.com/xa-hong-bach-dong-hung/","Xã Hồng Bạch")</f>
        <v>Xã Hồng Bạch</v>
      </c>
    </row>
    <row r="4081" spans="1:7" x14ac:dyDescent="0.25">
      <c r="A4081" s="2">
        <v>4080</v>
      </c>
      <c r="B4081" s="3" t="s">
        <v>24</v>
      </c>
      <c r="C4081" s="4" t="str">
        <f t="shared" si="341"/>
        <v>Thái Bình</v>
      </c>
      <c r="D4081" s="3" t="s">
        <v>302</v>
      </c>
      <c r="E4081" s="4" t="str">
        <f t="shared" si="342"/>
        <v>Huyện Đông Hưng</v>
      </c>
      <c r="F4081" s="3" t="s">
        <v>4844</v>
      </c>
      <c r="G4081" s="4" t="str">
        <f>HYPERLINK("https://diaocthongthai.com/xa-trong-quan-dong-hung/","Xã Trọng Quan")</f>
        <v>Xã Trọng Quan</v>
      </c>
    </row>
    <row r="4082" spans="1:7" x14ac:dyDescent="0.25">
      <c r="A4082" s="2">
        <v>4081</v>
      </c>
      <c r="B4082" s="3" t="s">
        <v>24</v>
      </c>
      <c r="C4082" s="4" t="str">
        <f t="shared" si="341"/>
        <v>Thái Bình</v>
      </c>
      <c r="D4082" s="3" t="s">
        <v>302</v>
      </c>
      <c r="E4082" s="4" t="str">
        <f t="shared" si="342"/>
        <v>Huyện Đông Hưng</v>
      </c>
      <c r="F4082" s="3" t="s">
        <v>4845</v>
      </c>
      <c r="G4082" s="4" t="str">
        <f>HYPERLINK("https://diaocthongthai.com/xa-hong-giang-dong-hung/","Xã Hồng Giang")</f>
        <v>Xã Hồng Giang</v>
      </c>
    </row>
    <row r="4083" spans="1:7" x14ac:dyDescent="0.25">
      <c r="A4083" s="2">
        <v>4082</v>
      </c>
      <c r="B4083" s="3" t="s">
        <v>24</v>
      </c>
      <c r="C4083" s="4" t="str">
        <f t="shared" si="341"/>
        <v>Thái Bình</v>
      </c>
      <c r="D4083" s="3" t="s">
        <v>302</v>
      </c>
      <c r="E4083" s="4" t="str">
        <f t="shared" si="342"/>
        <v>Huyện Đông Hưng</v>
      </c>
      <c r="F4083" s="3" t="s">
        <v>4846</v>
      </c>
      <c r="G4083" s="4" t="str">
        <f>HYPERLINK("https://diaocthongthai.com/xa-dong-quan-dong-hung/","Xã Đông Quan")</f>
        <v>Xã Đông Quan</v>
      </c>
    </row>
    <row r="4084" spans="1:7" x14ac:dyDescent="0.25">
      <c r="A4084" s="2">
        <v>4083</v>
      </c>
      <c r="B4084" s="3" t="s">
        <v>24</v>
      </c>
      <c r="C4084" s="4" t="str">
        <f t="shared" si="341"/>
        <v>Thái Bình</v>
      </c>
      <c r="D4084" s="3" t="s">
        <v>302</v>
      </c>
      <c r="E4084" s="4" t="str">
        <f t="shared" si="342"/>
        <v>Huyện Đông Hưng</v>
      </c>
      <c r="F4084" s="3" t="s">
        <v>4847</v>
      </c>
      <c r="G4084" s="4" t="str">
        <f>HYPERLINK("https://diaocthongthai.com/xa-dong-quang-dong-hung/","Xã Đông Quang")</f>
        <v>Xã Đông Quang</v>
      </c>
    </row>
    <row r="4085" spans="1:7" x14ac:dyDescent="0.25">
      <c r="A4085" s="2">
        <v>4084</v>
      </c>
      <c r="B4085" s="3" t="s">
        <v>24</v>
      </c>
      <c r="C4085" s="4" t="str">
        <f t="shared" si="341"/>
        <v>Thái Bình</v>
      </c>
      <c r="D4085" s="3" t="s">
        <v>302</v>
      </c>
      <c r="E4085" s="4" t="str">
        <f t="shared" si="342"/>
        <v>Huyện Đông Hưng</v>
      </c>
      <c r="F4085" s="3" t="s">
        <v>4848</v>
      </c>
      <c r="G4085" s="4" t="str">
        <f>HYPERLINK("https://diaocthongthai.com/xa-dong-xuan-dong-hung/","Xã Đông Xuân")</f>
        <v>Xã Đông Xuân</v>
      </c>
    </row>
    <row r="4086" spans="1:7" x14ac:dyDescent="0.25">
      <c r="A4086" s="2">
        <v>4085</v>
      </c>
      <c r="B4086" s="3" t="s">
        <v>24</v>
      </c>
      <c r="C4086" s="4" t="str">
        <f t="shared" si="341"/>
        <v>Thái Bình</v>
      </c>
      <c r="D4086" s="3" t="s">
        <v>302</v>
      </c>
      <c r="E4086" s="4" t="str">
        <f t="shared" si="342"/>
        <v>Huyện Đông Hưng</v>
      </c>
      <c r="F4086" s="3" t="s">
        <v>4849</v>
      </c>
      <c r="G4086" s="4" t="str">
        <f>HYPERLINK("https://diaocthongthai.com/xa-dong-a-dong-hung/","Xã Đông Á")</f>
        <v>Xã Đông Á</v>
      </c>
    </row>
    <row r="4087" spans="1:7" x14ac:dyDescent="0.25">
      <c r="A4087" s="2">
        <v>4086</v>
      </c>
      <c r="B4087" s="3" t="s">
        <v>24</v>
      </c>
      <c r="C4087" s="4" t="str">
        <f t="shared" si="341"/>
        <v>Thái Bình</v>
      </c>
      <c r="D4087" s="3" t="s">
        <v>302</v>
      </c>
      <c r="E4087" s="4" t="str">
        <f t="shared" si="342"/>
        <v>Huyện Đông Hưng</v>
      </c>
      <c r="F4087" s="3" t="s">
        <v>4850</v>
      </c>
      <c r="G4087" s="4" t="str">
        <f>HYPERLINK("https://diaocthongthai.com/xa-dong-hoang-dong-hung/","Xã Đông Hoàng")</f>
        <v>Xã Đông Hoàng</v>
      </c>
    </row>
    <row r="4088" spans="1:7" x14ac:dyDescent="0.25">
      <c r="A4088" s="2">
        <v>4087</v>
      </c>
      <c r="B4088" s="3" t="s">
        <v>24</v>
      </c>
      <c r="C4088" s="4" t="str">
        <f t="shared" si="341"/>
        <v>Thái Bình</v>
      </c>
      <c r="D4088" s="3" t="s">
        <v>302</v>
      </c>
      <c r="E4088" s="4" t="str">
        <f t="shared" si="342"/>
        <v>Huyện Đông Hưng</v>
      </c>
      <c r="F4088" s="3" t="s">
        <v>4851</v>
      </c>
      <c r="G4088" s="4" t="str">
        <f>HYPERLINK("https://diaocthongthai.com/xa-dong-duong-dong-hung/","Xã Đông Dương")</f>
        <v>Xã Đông Dương</v>
      </c>
    </row>
    <row r="4089" spans="1:7" x14ac:dyDescent="0.25">
      <c r="A4089" s="2">
        <v>4088</v>
      </c>
      <c r="B4089" s="3" t="s">
        <v>24</v>
      </c>
      <c r="C4089" s="4" t="str">
        <f t="shared" ref="C4089:C4152" si="343">HYPERLINK("https://diaocthongthai.com/ban-do-thai-binh/","Thái Bình")</f>
        <v>Thái Bình</v>
      </c>
      <c r="D4089" s="3" t="s">
        <v>302</v>
      </c>
      <c r="E4089" s="4" t="str">
        <f t="shared" si="342"/>
        <v>Huyện Đông Hưng</v>
      </c>
      <c r="F4089" s="3" t="s">
        <v>4852</v>
      </c>
      <c r="G4089" s="4" t="str">
        <f>HYPERLINK("https://diaocthongthai.com/xa-minh-phu-dong-hung/","Xã Minh Phú")</f>
        <v>Xã Minh Phú</v>
      </c>
    </row>
    <row r="4090" spans="1:7" x14ac:dyDescent="0.25">
      <c r="A4090" s="2">
        <v>4089</v>
      </c>
      <c r="B4090" s="3" t="s">
        <v>24</v>
      </c>
      <c r="C4090" s="4" t="str">
        <f t="shared" si="343"/>
        <v>Thái Bình</v>
      </c>
      <c r="D4090" s="3" t="s">
        <v>303</v>
      </c>
      <c r="E4090" s="4" t="str">
        <f t="shared" ref="E4090:E4125" si="344">HYPERLINK("https://diaocthongthai.com/ban-do-huyen-thai-thuy-thai-binh/","Huyện Thái Thụy")</f>
        <v>Huyện Thái Thụy</v>
      </c>
      <c r="F4090" s="3" t="s">
        <v>4853</v>
      </c>
      <c r="G4090" s="4" t="str">
        <f>HYPERLINK("https://diaocthongthai.com/thi-tran-diem-dien-thai-thuy/","Thị trấn Diêm Điền")</f>
        <v>Thị trấn Diêm Điền</v>
      </c>
    </row>
    <row r="4091" spans="1:7" x14ac:dyDescent="0.25">
      <c r="A4091" s="2">
        <v>4090</v>
      </c>
      <c r="B4091" s="3" t="s">
        <v>24</v>
      </c>
      <c r="C4091" s="4" t="str">
        <f t="shared" si="343"/>
        <v>Thái Bình</v>
      </c>
      <c r="D4091" s="3" t="s">
        <v>303</v>
      </c>
      <c r="E4091" s="4" t="str">
        <f t="shared" si="344"/>
        <v>Huyện Thái Thụy</v>
      </c>
      <c r="F4091" s="3" t="s">
        <v>4854</v>
      </c>
      <c r="G4091" s="4" t="str">
        <f>HYPERLINK("https://diaocthongthai.com/xa-thuy-truong-thai-thuy/","Xã Thụy Trường")</f>
        <v>Xã Thụy Trường</v>
      </c>
    </row>
    <row r="4092" spans="1:7" x14ac:dyDescent="0.25">
      <c r="A4092" s="2">
        <v>4091</v>
      </c>
      <c r="B4092" s="3" t="s">
        <v>24</v>
      </c>
      <c r="C4092" s="4" t="str">
        <f t="shared" si="343"/>
        <v>Thái Bình</v>
      </c>
      <c r="D4092" s="3" t="s">
        <v>303</v>
      </c>
      <c r="E4092" s="4" t="str">
        <f t="shared" si="344"/>
        <v>Huyện Thái Thụy</v>
      </c>
      <c r="F4092" s="3" t="s">
        <v>4855</v>
      </c>
      <c r="G4092" s="4" t="str">
        <f>HYPERLINK("https://diaocthongthai.com/xa-hong-dung-thai-thuy/","Xã Hồng Dũng")</f>
        <v>Xã Hồng Dũng</v>
      </c>
    </row>
    <row r="4093" spans="1:7" x14ac:dyDescent="0.25">
      <c r="A4093" s="2">
        <v>4092</v>
      </c>
      <c r="B4093" s="3" t="s">
        <v>24</v>
      </c>
      <c r="C4093" s="4" t="str">
        <f t="shared" si="343"/>
        <v>Thái Bình</v>
      </c>
      <c r="D4093" s="3" t="s">
        <v>303</v>
      </c>
      <c r="E4093" s="4" t="str">
        <f t="shared" si="344"/>
        <v>Huyện Thái Thụy</v>
      </c>
      <c r="F4093" s="3" t="s">
        <v>4856</v>
      </c>
      <c r="G4093" s="4" t="str">
        <f>HYPERLINK("https://diaocthongthai.com/xa-thuy-quynh-thai-thuy/","Xã Thụy Quỳnh")</f>
        <v>Xã Thụy Quỳnh</v>
      </c>
    </row>
    <row r="4094" spans="1:7" x14ac:dyDescent="0.25">
      <c r="A4094" s="2">
        <v>4093</v>
      </c>
      <c r="B4094" s="3" t="s">
        <v>24</v>
      </c>
      <c r="C4094" s="4" t="str">
        <f t="shared" si="343"/>
        <v>Thái Bình</v>
      </c>
      <c r="D4094" s="3" t="s">
        <v>303</v>
      </c>
      <c r="E4094" s="4" t="str">
        <f t="shared" si="344"/>
        <v>Huyện Thái Thụy</v>
      </c>
      <c r="F4094" s="3" t="s">
        <v>4857</v>
      </c>
      <c r="G4094" s="4" t="str">
        <f>HYPERLINK("https://diaocthongthai.com/xa-an-tan-thai-thuy/","Xã An Tân")</f>
        <v>Xã An Tân</v>
      </c>
    </row>
    <row r="4095" spans="1:7" x14ac:dyDescent="0.25">
      <c r="A4095" s="2">
        <v>4094</v>
      </c>
      <c r="B4095" s="3" t="s">
        <v>24</v>
      </c>
      <c r="C4095" s="4" t="str">
        <f t="shared" si="343"/>
        <v>Thái Bình</v>
      </c>
      <c r="D4095" s="3" t="s">
        <v>303</v>
      </c>
      <c r="E4095" s="4" t="str">
        <f t="shared" si="344"/>
        <v>Huyện Thái Thụy</v>
      </c>
      <c r="F4095" s="3" t="s">
        <v>4858</v>
      </c>
      <c r="G4095" s="4" t="str">
        <f>HYPERLINK("https://diaocthongthai.com/xa-thuy-ninh-thai-thuy/","Xã Thụy Ninh")</f>
        <v>Xã Thụy Ninh</v>
      </c>
    </row>
    <row r="4096" spans="1:7" x14ac:dyDescent="0.25">
      <c r="A4096" s="2">
        <v>4095</v>
      </c>
      <c r="B4096" s="3" t="s">
        <v>24</v>
      </c>
      <c r="C4096" s="4" t="str">
        <f t="shared" si="343"/>
        <v>Thái Bình</v>
      </c>
      <c r="D4096" s="3" t="s">
        <v>303</v>
      </c>
      <c r="E4096" s="4" t="str">
        <f t="shared" si="344"/>
        <v>Huyện Thái Thụy</v>
      </c>
      <c r="F4096" s="3" t="s">
        <v>4859</v>
      </c>
      <c r="G4096" s="4" t="str">
        <f>HYPERLINK("https://diaocthongthai.com/xa-thuy-hung-thai-thuy/","Xã Thụy Hưng")</f>
        <v>Xã Thụy Hưng</v>
      </c>
    </row>
    <row r="4097" spans="1:7" x14ac:dyDescent="0.25">
      <c r="A4097" s="2">
        <v>4096</v>
      </c>
      <c r="B4097" s="3" t="s">
        <v>24</v>
      </c>
      <c r="C4097" s="4" t="str">
        <f t="shared" si="343"/>
        <v>Thái Bình</v>
      </c>
      <c r="D4097" s="3" t="s">
        <v>303</v>
      </c>
      <c r="E4097" s="4" t="str">
        <f t="shared" si="344"/>
        <v>Huyện Thái Thụy</v>
      </c>
      <c r="F4097" s="3" t="s">
        <v>4860</v>
      </c>
      <c r="G4097" s="4" t="str">
        <f>HYPERLINK("https://diaocthongthai.com/xa-thuy-viet-thai-thuy/","Xã Thụy Việt")</f>
        <v>Xã Thụy Việt</v>
      </c>
    </row>
    <row r="4098" spans="1:7" x14ac:dyDescent="0.25">
      <c r="A4098" s="2">
        <v>4097</v>
      </c>
      <c r="B4098" s="3" t="s">
        <v>24</v>
      </c>
      <c r="C4098" s="4" t="str">
        <f t="shared" si="343"/>
        <v>Thái Bình</v>
      </c>
      <c r="D4098" s="3" t="s">
        <v>303</v>
      </c>
      <c r="E4098" s="4" t="str">
        <f t="shared" si="344"/>
        <v>Huyện Thái Thụy</v>
      </c>
      <c r="F4098" s="3" t="s">
        <v>4861</v>
      </c>
      <c r="G4098" s="4" t="str">
        <f>HYPERLINK("https://diaocthongthai.com/xa-thuy-van-thai-thuy/","Xã Thụy Văn")</f>
        <v>Xã Thụy Văn</v>
      </c>
    </row>
    <row r="4099" spans="1:7" x14ac:dyDescent="0.25">
      <c r="A4099" s="2">
        <v>4098</v>
      </c>
      <c r="B4099" s="3" t="s">
        <v>24</v>
      </c>
      <c r="C4099" s="4" t="str">
        <f t="shared" si="343"/>
        <v>Thái Bình</v>
      </c>
      <c r="D4099" s="3" t="s">
        <v>303</v>
      </c>
      <c r="E4099" s="4" t="str">
        <f t="shared" si="344"/>
        <v>Huyện Thái Thụy</v>
      </c>
      <c r="F4099" s="3" t="s">
        <v>4862</v>
      </c>
      <c r="G4099" s="4" t="str">
        <f>HYPERLINK("https://diaocthongthai.com/xa-thuy-xuan-thai-thuy/","Xã Thụy Xuân")</f>
        <v>Xã Thụy Xuân</v>
      </c>
    </row>
    <row r="4100" spans="1:7" x14ac:dyDescent="0.25">
      <c r="A4100" s="2">
        <v>4099</v>
      </c>
      <c r="B4100" s="3" t="s">
        <v>24</v>
      </c>
      <c r="C4100" s="4" t="str">
        <f t="shared" si="343"/>
        <v>Thái Bình</v>
      </c>
      <c r="D4100" s="3" t="s">
        <v>303</v>
      </c>
      <c r="E4100" s="4" t="str">
        <f t="shared" si="344"/>
        <v>Huyện Thái Thụy</v>
      </c>
      <c r="F4100" s="3" t="s">
        <v>4863</v>
      </c>
      <c r="G4100" s="4" t="str">
        <f>HYPERLINK("https://diaocthongthai.com/xa-duong-phuc-thai-thuy/","Xã Dương Phúc")</f>
        <v>Xã Dương Phúc</v>
      </c>
    </row>
    <row r="4101" spans="1:7" x14ac:dyDescent="0.25">
      <c r="A4101" s="2">
        <v>4100</v>
      </c>
      <c r="B4101" s="3" t="s">
        <v>24</v>
      </c>
      <c r="C4101" s="4" t="str">
        <f t="shared" si="343"/>
        <v>Thái Bình</v>
      </c>
      <c r="D4101" s="3" t="s">
        <v>303</v>
      </c>
      <c r="E4101" s="4" t="str">
        <f t="shared" si="344"/>
        <v>Huyện Thái Thụy</v>
      </c>
      <c r="F4101" s="3" t="s">
        <v>4864</v>
      </c>
      <c r="G4101" s="4" t="str">
        <f>HYPERLINK("https://diaocthongthai.com/xa-thuy-trinh-thai-thuy/","Xã Thụy Trình")</f>
        <v>Xã Thụy Trình</v>
      </c>
    </row>
    <row r="4102" spans="1:7" x14ac:dyDescent="0.25">
      <c r="A4102" s="2">
        <v>4101</v>
      </c>
      <c r="B4102" s="3" t="s">
        <v>24</v>
      </c>
      <c r="C4102" s="4" t="str">
        <f t="shared" si="343"/>
        <v>Thái Bình</v>
      </c>
      <c r="D4102" s="3" t="s">
        <v>303</v>
      </c>
      <c r="E4102" s="4" t="str">
        <f t="shared" si="344"/>
        <v>Huyện Thái Thụy</v>
      </c>
      <c r="F4102" s="3" t="s">
        <v>4865</v>
      </c>
      <c r="G4102" s="4" t="str">
        <f>HYPERLINK("https://diaocthongthai.com/xa-thuy-binh-thai-thuy/","Xã Thụy Bình")</f>
        <v>Xã Thụy Bình</v>
      </c>
    </row>
    <row r="4103" spans="1:7" x14ac:dyDescent="0.25">
      <c r="A4103" s="2">
        <v>4102</v>
      </c>
      <c r="B4103" s="3" t="s">
        <v>24</v>
      </c>
      <c r="C4103" s="4" t="str">
        <f t="shared" si="343"/>
        <v>Thái Bình</v>
      </c>
      <c r="D4103" s="3" t="s">
        <v>303</v>
      </c>
      <c r="E4103" s="4" t="str">
        <f t="shared" si="344"/>
        <v>Huyện Thái Thụy</v>
      </c>
      <c r="F4103" s="3" t="s">
        <v>4866</v>
      </c>
      <c r="G4103" s="4" t="str">
        <f>HYPERLINK("https://diaocthongthai.com/xa-thuy-chinh-thai-thuy/","Xã Thụy Chính")</f>
        <v>Xã Thụy Chính</v>
      </c>
    </row>
    <row r="4104" spans="1:7" x14ac:dyDescent="0.25">
      <c r="A4104" s="2">
        <v>4103</v>
      </c>
      <c r="B4104" s="3" t="s">
        <v>24</v>
      </c>
      <c r="C4104" s="4" t="str">
        <f t="shared" si="343"/>
        <v>Thái Bình</v>
      </c>
      <c r="D4104" s="3" t="s">
        <v>303</v>
      </c>
      <c r="E4104" s="4" t="str">
        <f t="shared" si="344"/>
        <v>Huyện Thái Thụy</v>
      </c>
      <c r="F4104" s="3" t="s">
        <v>4867</v>
      </c>
      <c r="G4104" s="4" t="str">
        <f>HYPERLINK("https://diaocthongthai.com/xa-thuy-dan-thai-thuy/","Xã Thụy Dân")</f>
        <v>Xã Thụy Dân</v>
      </c>
    </row>
    <row r="4105" spans="1:7" x14ac:dyDescent="0.25">
      <c r="A4105" s="2">
        <v>4104</v>
      </c>
      <c r="B4105" s="3" t="s">
        <v>24</v>
      </c>
      <c r="C4105" s="4" t="str">
        <f t="shared" si="343"/>
        <v>Thái Bình</v>
      </c>
      <c r="D4105" s="3" t="s">
        <v>303</v>
      </c>
      <c r="E4105" s="4" t="str">
        <f t="shared" si="344"/>
        <v>Huyện Thái Thụy</v>
      </c>
      <c r="F4105" s="3" t="s">
        <v>4868</v>
      </c>
      <c r="G4105" s="4" t="str">
        <f>HYPERLINK("https://diaocthongthai.com/xa-thuy-hai-thai-thuy/","Xã Thụy Hải")</f>
        <v>Xã Thụy Hải</v>
      </c>
    </row>
    <row r="4106" spans="1:7" x14ac:dyDescent="0.25">
      <c r="A4106" s="2">
        <v>4105</v>
      </c>
      <c r="B4106" s="3" t="s">
        <v>24</v>
      </c>
      <c r="C4106" s="4" t="str">
        <f t="shared" si="343"/>
        <v>Thái Bình</v>
      </c>
      <c r="D4106" s="3" t="s">
        <v>303</v>
      </c>
      <c r="E4106" s="4" t="str">
        <f t="shared" si="344"/>
        <v>Huyện Thái Thụy</v>
      </c>
      <c r="F4106" s="3" t="s">
        <v>4869</v>
      </c>
      <c r="G4106" s="4" t="str">
        <f>HYPERLINK("https://diaocthongthai.com/xa-thuy-lien-thai-thuy/","Xã Thụy Liên")</f>
        <v>Xã Thụy Liên</v>
      </c>
    </row>
    <row r="4107" spans="1:7" x14ac:dyDescent="0.25">
      <c r="A4107" s="2">
        <v>4106</v>
      </c>
      <c r="B4107" s="3" t="s">
        <v>24</v>
      </c>
      <c r="C4107" s="4" t="str">
        <f t="shared" si="343"/>
        <v>Thái Bình</v>
      </c>
      <c r="D4107" s="3" t="s">
        <v>303</v>
      </c>
      <c r="E4107" s="4" t="str">
        <f t="shared" si="344"/>
        <v>Huyện Thái Thụy</v>
      </c>
      <c r="F4107" s="3" t="s">
        <v>4870</v>
      </c>
      <c r="G4107" s="4" t="str">
        <f>HYPERLINK("https://diaocthongthai.com/xa-thuy-duyen-thai-thuy/","Xã Thụy Duyên")</f>
        <v>Xã Thụy Duyên</v>
      </c>
    </row>
    <row r="4108" spans="1:7" x14ac:dyDescent="0.25">
      <c r="A4108" s="2">
        <v>4107</v>
      </c>
      <c r="B4108" s="3" t="s">
        <v>24</v>
      </c>
      <c r="C4108" s="4" t="str">
        <f t="shared" si="343"/>
        <v>Thái Bình</v>
      </c>
      <c r="D4108" s="3" t="s">
        <v>303</v>
      </c>
      <c r="E4108" s="4" t="str">
        <f t="shared" si="344"/>
        <v>Huyện Thái Thụy</v>
      </c>
      <c r="F4108" s="3" t="s">
        <v>4871</v>
      </c>
      <c r="G4108" s="4" t="str">
        <f>HYPERLINK("https://diaocthongthai.com/xa-thuy-thanh-thai-thuy/","Xã Thụy Thanh")</f>
        <v>Xã Thụy Thanh</v>
      </c>
    </row>
    <row r="4109" spans="1:7" x14ac:dyDescent="0.25">
      <c r="A4109" s="2">
        <v>4108</v>
      </c>
      <c r="B4109" s="3" t="s">
        <v>24</v>
      </c>
      <c r="C4109" s="4" t="str">
        <f t="shared" si="343"/>
        <v>Thái Bình</v>
      </c>
      <c r="D4109" s="3" t="s">
        <v>303</v>
      </c>
      <c r="E4109" s="4" t="str">
        <f t="shared" si="344"/>
        <v>Huyện Thái Thụy</v>
      </c>
      <c r="F4109" s="3" t="s">
        <v>4872</v>
      </c>
      <c r="G4109" s="4" t="str">
        <f>HYPERLINK("https://diaocthongthai.com/xa-thuy-son-thai-thuy/","Xã Thụy Sơn")</f>
        <v>Xã Thụy Sơn</v>
      </c>
    </row>
    <row r="4110" spans="1:7" x14ac:dyDescent="0.25">
      <c r="A4110" s="2">
        <v>4109</v>
      </c>
      <c r="B4110" s="3" t="s">
        <v>24</v>
      </c>
      <c r="C4110" s="4" t="str">
        <f t="shared" si="343"/>
        <v>Thái Bình</v>
      </c>
      <c r="D4110" s="3" t="s">
        <v>303</v>
      </c>
      <c r="E4110" s="4" t="str">
        <f t="shared" si="344"/>
        <v>Huyện Thái Thụy</v>
      </c>
      <c r="F4110" s="3" t="s">
        <v>4873</v>
      </c>
      <c r="G4110" s="4" t="str">
        <f>HYPERLINK("https://diaocthongthai.com/xa-thuy-phong-thai-thuy/","Xã Thụy Phong")</f>
        <v>Xã Thụy Phong</v>
      </c>
    </row>
    <row r="4111" spans="1:7" x14ac:dyDescent="0.25">
      <c r="A4111" s="2">
        <v>4110</v>
      </c>
      <c r="B4111" s="3" t="s">
        <v>24</v>
      </c>
      <c r="C4111" s="4" t="str">
        <f t="shared" si="343"/>
        <v>Thái Bình</v>
      </c>
      <c r="D4111" s="3" t="s">
        <v>303</v>
      </c>
      <c r="E4111" s="4" t="str">
        <f t="shared" si="344"/>
        <v>Huyện Thái Thụy</v>
      </c>
      <c r="F4111" s="3" t="s">
        <v>4874</v>
      </c>
      <c r="G4111" s="4" t="str">
        <f>HYPERLINK("https://diaocthongthai.com/xa-thai-thuong-thai-thuy/","Xã Thái Thượng")</f>
        <v>Xã Thái Thượng</v>
      </c>
    </row>
    <row r="4112" spans="1:7" x14ac:dyDescent="0.25">
      <c r="A4112" s="2">
        <v>4111</v>
      </c>
      <c r="B4112" s="3" t="s">
        <v>24</v>
      </c>
      <c r="C4112" s="4" t="str">
        <f t="shared" si="343"/>
        <v>Thái Bình</v>
      </c>
      <c r="D4112" s="3" t="s">
        <v>303</v>
      </c>
      <c r="E4112" s="4" t="str">
        <f t="shared" si="344"/>
        <v>Huyện Thái Thụy</v>
      </c>
      <c r="F4112" s="3" t="s">
        <v>4875</v>
      </c>
      <c r="G4112" s="4" t="str">
        <f>HYPERLINK("https://diaocthongthai.com/xa-thai-nguyen-thai-thuy/","Xã Thái Nguyên")</f>
        <v>Xã Thái Nguyên</v>
      </c>
    </row>
    <row r="4113" spans="1:7" x14ac:dyDescent="0.25">
      <c r="A4113" s="2">
        <v>4112</v>
      </c>
      <c r="B4113" s="3" t="s">
        <v>24</v>
      </c>
      <c r="C4113" s="4" t="str">
        <f t="shared" si="343"/>
        <v>Thái Bình</v>
      </c>
      <c r="D4113" s="3" t="s">
        <v>303</v>
      </c>
      <c r="E4113" s="4" t="str">
        <f t="shared" si="344"/>
        <v>Huyện Thái Thụy</v>
      </c>
      <c r="F4113" s="3" t="s">
        <v>4876</v>
      </c>
      <c r="G4113" s="4" t="str">
        <f>HYPERLINK("https://diaocthongthai.com/xa-duong-hong-thuy-thai-thuy/","Xã Dương Hồng  Thủy")</f>
        <v>Xã Dương Hồng  Thủy</v>
      </c>
    </row>
    <row r="4114" spans="1:7" x14ac:dyDescent="0.25">
      <c r="A4114" s="2">
        <v>4113</v>
      </c>
      <c r="B4114" s="3" t="s">
        <v>24</v>
      </c>
      <c r="C4114" s="4" t="str">
        <f t="shared" si="343"/>
        <v>Thái Bình</v>
      </c>
      <c r="D4114" s="3" t="s">
        <v>303</v>
      </c>
      <c r="E4114" s="4" t="str">
        <f t="shared" si="344"/>
        <v>Huyện Thái Thụy</v>
      </c>
      <c r="F4114" s="3" t="s">
        <v>4877</v>
      </c>
      <c r="G4114" s="4" t="str">
        <f>HYPERLINK("https://diaocthongthai.com/xa-thai-giang-thai-thuy/","Xã Thái Giang")</f>
        <v>Xã Thái Giang</v>
      </c>
    </row>
    <row r="4115" spans="1:7" x14ac:dyDescent="0.25">
      <c r="A4115" s="2">
        <v>4114</v>
      </c>
      <c r="B4115" s="3" t="s">
        <v>24</v>
      </c>
      <c r="C4115" s="4" t="str">
        <f t="shared" si="343"/>
        <v>Thái Bình</v>
      </c>
      <c r="D4115" s="3" t="s">
        <v>303</v>
      </c>
      <c r="E4115" s="4" t="str">
        <f t="shared" si="344"/>
        <v>Huyện Thái Thụy</v>
      </c>
      <c r="F4115" s="3" t="s">
        <v>4878</v>
      </c>
      <c r="G4115" s="4" t="str">
        <f>HYPERLINK("https://diaocthongthai.com/xa-hoa-an-thai-thuy/","Xã Hòa An")</f>
        <v>Xã Hòa An</v>
      </c>
    </row>
    <row r="4116" spans="1:7" x14ac:dyDescent="0.25">
      <c r="A4116" s="2">
        <v>4115</v>
      </c>
      <c r="B4116" s="3" t="s">
        <v>24</v>
      </c>
      <c r="C4116" s="4" t="str">
        <f t="shared" si="343"/>
        <v>Thái Bình</v>
      </c>
      <c r="D4116" s="3" t="s">
        <v>303</v>
      </c>
      <c r="E4116" s="4" t="str">
        <f t="shared" si="344"/>
        <v>Huyện Thái Thụy</v>
      </c>
      <c r="F4116" s="3" t="s">
        <v>4879</v>
      </c>
      <c r="G4116" s="4" t="str">
        <f>HYPERLINK("https://diaocthongthai.com/xa-son-ha-thai-thuy/","Xã Sơn Hà")</f>
        <v>Xã Sơn Hà</v>
      </c>
    </row>
    <row r="4117" spans="1:7" x14ac:dyDescent="0.25">
      <c r="A4117" s="2">
        <v>4116</v>
      </c>
      <c r="B4117" s="3" t="s">
        <v>24</v>
      </c>
      <c r="C4117" s="4" t="str">
        <f t="shared" si="343"/>
        <v>Thái Bình</v>
      </c>
      <c r="D4117" s="3" t="s">
        <v>303</v>
      </c>
      <c r="E4117" s="4" t="str">
        <f t="shared" si="344"/>
        <v>Huyện Thái Thụy</v>
      </c>
      <c r="F4117" s="3" t="s">
        <v>4880</v>
      </c>
      <c r="G4117" s="4" t="str">
        <f>HYPERLINK("https://diaocthongthai.com/xa-thai-phuc-thai-thuy/","Xã Thái Phúc")</f>
        <v>Xã Thái Phúc</v>
      </c>
    </row>
    <row r="4118" spans="1:7" x14ac:dyDescent="0.25">
      <c r="A4118" s="2">
        <v>4117</v>
      </c>
      <c r="B4118" s="3" t="s">
        <v>24</v>
      </c>
      <c r="C4118" s="4" t="str">
        <f t="shared" si="343"/>
        <v>Thái Bình</v>
      </c>
      <c r="D4118" s="3" t="s">
        <v>303</v>
      </c>
      <c r="E4118" s="4" t="str">
        <f t="shared" si="344"/>
        <v>Huyện Thái Thụy</v>
      </c>
      <c r="F4118" s="3" t="s">
        <v>4881</v>
      </c>
      <c r="G4118" s="4" t="str">
        <f>HYPERLINK("https://diaocthongthai.com/xa-thai-hung-thai-thuy/","Xã Thái Hưng")</f>
        <v>Xã Thái Hưng</v>
      </c>
    </row>
    <row r="4119" spans="1:7" x14ac:dyDescent="0.25">
      <c r="A4119" s="2">
        <v>4118</v>
      </c>
      <c r="B4119" s="3" t="s">
        <v>24</v>
      </c>
      <c r="C4119" s="4" t="str">
        <f t="shared" si="343"/>
        <v>Thái Bình</v>
      </c>
      <c r="D4119" s="3" t="s">
        <v>303</v>
      </c>
      <c r="E4119" s="4" t="str">
        <f t="shared" si="344"/>
        <v>Huyện Thái Thụy</v>
      </c>
      <c r="F4119" s="3" t="s">
        <v>4882</v>
      </c>
      <c r="G4119" s="4" t="str">
        <f>HYPERLINK("https://diaocthongthai.com/xa-thai-do-thai-thuy/","Xã Thái Đô")</f>
        <v>Xã Thái Đô</v>
      </c>
    </row>
    <row r="4120" spans="1:7" x14ac:dyDescent="0.25">
      <c r="A4120" s="2">
        <v>4119</v>
      </c>
      <c r="B4120" s="3" t="s">
        <v>24</v>
      </c>
      <c r="C4120" s="4" t="str">
        <f t="shared" si="343"/>
        <v>Thái Bình</v>
      </c>
      <c r="D4120" s="3" t="s">
        <v>303</v>
      </c>
      <c r="E4120" s="4" t="str">
        <f t="shared" si="344"/>
        <v>Huyện Thái Thụy</v>
      </c>
      <c r="F4120" s="3" t="s">
        <v>4883</v>
      </c>
      <c r="G4120" s="4" t="str">
        <f>HYPERLINK("https://diaocthongthai.com/xa-thai-xuyen-thai-thuy/","Xã Thái Xuyên")</f>
        <v>Xã Thái Xuyên</v>
      </c>
    </row>
    <row r="4121" spans="1:7" x14ac:dyDescent="0.25">
      <c r="A4121" s="2">
        <v>4120</v>
      </c>
      <c r="B4121" s="3" t="s">
        <v>24</v>
      </c>
      <c r="C4121" s="4" t="str">
        <f t="shared" si="343"/>
        <v>Thái Bình</v>
      </c>
      <c r="D4121" s="3" t="s">
        <v>303</v>
      </c>
      <c r="E4121" s="4" t="str">
        <f t="shared" si="344"/>
        <v>Huyện Thái Thụy</v>
      </c>
      <c r="F4121" s="3" t="s">
        <v>4884</v>
      </c>
      <c r="G4121" s="4" t="str">
        <f>HYPERLINK("https://diaocthongthai.com/xa-my-loc-thai-thuy/","Xã  Mỹ Lộc")</f>
        <v>Xã  Mỹ Lộc</v>
      </c>
    </row>
    <row r="4122" spans="1:7" x14ac:dyDescent="0.25">
      <c r="A4122" s="2">
        <v>4121</v>
      </c>
      <c r="B4122" s="3" t="s">
        <v>24</v>
      </c>
      <c r="C4122" s="4" t="str">
        <f t="shared" si="343"/>
        <v>Thái Bình</v>
      </c>
      <c r="D4122" s="3" t="s">
        <v>303</v>
      </c>
      <c r="E4122" s="4" t="str">
        <f t="shared" si="344"/>
        <v>Huyện Thái Thụy</v>
      </c>
      <c r="F4122" s="3" t="s">
        <v>4885</v>
      </c>
      <c r="G4122" s="4" t="str">
        <f>HYPERLINK("https://diaocthongthai.com/xa-tan-hoc-thai-thuy/","Xã Tân Học")</f>
        <v>Xã Tân Học</v>
      </c>
    </row>
    <row r="4123" spans="1:7" x14ac:dyDescent="0.25">
      <c r="A4123" s="2">
        <v>4122</v>
      </c>
      <c r="B4123" s="3" t="s">
        <v>24</v>
      </c>
      <c r="C4123" s="4" t="str">
        <f t="shared" si="343"/>
        <v>Thái Bình</v>
      </c>
      <c r="D4123" s="3" t="s">
        <v>303</v>
      </c>
      <c r="E4123" s="4" t="str">
        <f t="shared" si="344"/>
        <v>Huyện Thái Thụy</v>
      </c>
      <c r="F4123" s="3" t="s">
        <v>4886</v>
      </c>
      <c r="G4123" s="4" t="str">
        <f>HYPERLINK("https://diaocthongthai.com/xa-thai-thinh-thai-thuy/","Xã Thái Thịnh")</f>
        <v>Xã Thái Thịnh</v>
      </c>
    </row>
    <row r="4124" spans="1:7" x14ac:dyDescent="0.25">
      <c r="A4124" s="2">
        <v>4123</v>
      </c>
      <c r="B4124" s="3" t="s">
        <v>24</v>
      </c>
      <c r="C4124" s="4" t="str">
        <f t="shared" si="343"/>
        <v>Thái Bình</v>
      </c>
      <c r="D4124" s="3" t="s">
        <v>303</v>
      </c>
      <c r="E4124" s="4" t="str">
        <f t="shared" si="344"/>
        <v>Huyện Thái Thụy</v>
      </c>
      <c r="F4124" s="3" t="s">
        <v>4887</v>
      </c>
      <c r="G4124" s="4" t="str">
        <f>HYPERLINK("https://diaocthongthai.com/xa-thuan-thanh-thai-thuy/","Xã Thuần Thành")</f>
        <v>Xã Thuần Thành</v>
      </c>
    </row>
    <row r="4125" spans="1:7" x14ac:dyDescent="0.25">
      <c r="A4125" s="2">
        <v>4124</v>
      </c>
      <c r="B4125" s="3" t="s">
        <v>24</v>
      </c>
      <c r="C4125" s="4" t="str">
        <f t="shared" si="343"/>
        <v>Thái Bình</v>
      </c>
      <c r="D4125" s="3" t="s">
        <v>303</v>
      </c>
      <c r="E4125" s="4" t="str">
        <f t="shared" si="344"/>
        <v>Huyện Thái Thụy</v>
      </c>
      <c r="F4125" s="3" t="s">
        <v>4888</v>
      </c>
      <c r="G4125" s="4" t="str">
        <f>HYPERLINK("https://diaocthongthai.com/xa-thai-tho-thai-thuy/","Xã Thái Thọ")</f>
        <v>Xã Thái Thọ</v>
      </c>
    </row>
    <row r="4126" spans="1:7" x14ac:dyDescent="0.25">
      <c r="A4126" s="2">
        <v>4125</v>
      </c>
      <c r="B4126" s="3" t="s">
        <v>24</v>
      </c>
      <c r="C4126" s="4" t="str">
        <f t="shared" si="343"/>
        <v>Thái Bình</v>
      </c>
      <c r="D4126" s="3" t="s">
        <v>304</v>
      </c>
      <c r="E4126" s="4" t="str">
        <f t="shared" ref="E4126:E4157" si="345">HYPERLINK("https://diaocthongthai.com/ban-do-huyen-tien-hai-thai-binh/","Huyện Tiền Hải")</f>
        <v>Huyện Tiền Hải</v>
      </c>
      <c r="F4126" s="3" t="s">
        <v>4889</v>
      </c>
      <c r="G4126" s="4" t="str">
        <f>HYPERLINK("https://diaocthongthai.com/thi-tran-tien-hai-tien-hai/","Thị trấn Tiền Hải")</f>
        <v>Thị trấn Tiền Hải</v>
      </c>
    </row>
    <row r="4127" spans="1:7" x14ac:dyDescent="0.25">
      <c r="A4127" s="2">
        <v>4126</v>
      </c>
      <c r="B4127" s="3" t="s">
        <v>24</v>
      </c>
      <c r="C4127" s="4" t="str">
        <f t="shared" si="343"/>
        <v>Thái Bình</v>
      </c>
      <c r="D4127" s="3" t="s">
        <v>304</v>
      </c>
      <c r="E4127" s="4" t="str">
        <f t="shared" si="345"/>
        <v>Huyện Tiền Hải</v>
      </c>
      <c r="F4127" s="3" t="s">
        <v>4890</v>
      </c>
      <c r="G4127" s="4" t="str">
        <f>HYPERLINK("https://diaocthongthai.com/xa-dong-tra-tien-hai/","Xã Đông Trà")</f>
        <v>Xã Đông Trà</v>
      </c>
    </row>
    <row r="4128" spans="1:7" x14ac:dyDescent="0.25">
      <c r="A4128" s="2">
        <v>4127</v>
      </c>
      <c r="B4128" s="3" t="s">
        <v>24</v>
      </c>
      <c r="C4128" s="4" t="str">
        <f t="shared" si="343"/>
        <v>Thái Bình</v>
      </c>
      <c r="D4128" s="3" t="s">
        <v>304</v>
      </c>
      <c r="E4128" s="4" t="str">
        <f t="shared" si="345"/>
        <v>Huyện Tiền Hải</v>
      </c>
      <c r="F4128" s="3" t="s">
        <v>4891</v>
      </c>
      <c r="G4128" s="4" t="str">
        <f>HYPERLINK("https://diaocthongthai.com/xa-dong-long-tien-hai/","Xã Đông Long")</f>
        <v>Xã Đông Long</v>
      </c>
    </row>
    <row r="4129" spans="1:7" x14ac:dyDescent="0.25">
      <c r="A4129" s="2">
        <v>4128</v>
      </c>
      <c r="B4129" s="3" t="s">
        <v>24</v>
      </c>
      <c r="C4129" s="4" t="str">
        <f t="shared" si="343"/>
        <v>Thái Bình</v>
      </c>
      <c r="D4129" s="3" t="s">
        <v>304</v>
      </c>
      <c r="E4129" s="4" t="str">
        <f t="shared" si="345"/>
        <v>Huyện Tiền Hải</v>
      </c>
      <c r="F4129" s="3" t="s">
        <v>4892</v>
      </c>
      <c r="G4129" s="4" t="str">
        <f>HYPERLINK("https://diaocthongthai.com/xa-dong-quy-tien-hai/","Xã Đông Quí")</f>
        <v>Xã Đông Quí</v>
      </c>
    </row>
    <row r="4130" spans="1:7" x14ac:dyDescent="0.25">
      <c r="A4130" s="2">
        <v>4129</v>
      </c>
      <c r="B4130" s="3" t="s">
        <v>24</v>
      </c>
      <c r="C4130" s="4" t="str">
        <f t="shared" si="343"/>
        <v>Thái Bình</v>
      </c>
      <c r="D4130" s="3" t="s">
        <v>304</v>
      </c>
      <c r="E4130" s="4" t="str">
        <f t="shared" si="345"/>
        <v>Huyện Tiền Hải</v>
      </c>
      <c r="F4130" s="3" t="s">
        <v>4893</v>
      </c>
      <c r="G4130" s="4" t="str">
        <f>HYPERLINK("https://diaocthongthai.com/xa-vu-lang-tien-hai/","Xã Vũ Lăng")</f>
        <v>Xã Vũ Lăng</v>
      </c>
    </row>
    <row r="4131" spans="1:7" x14ac:dyDescent="0.25">
      <c r="A4131" s="2">
        <v>4130</v>
      </c>
      <c r="B4131" s="3" t="s">
        <v>24</v>
      </c>
      <c r="C4131" s="4" t="str">
        <f t="shared" si="343"/>
        <v>Thái Bình</v>
      </c>
      <c r="D4131" s="3" t="s">
        <v>304</v>
      </c>
      <c r="E4131" s="4" t="str">
        <f t="shared" si="345"/>
        <v>Huyện Tiền Hải</v>
      </c>
      <c r="F4131" s="3" t="s">
        <v>4894</v>
      </c>
      <c r="G4131" s="4" t="str">
        <f>HYPERLINK("https://diaocthongthai.com/xa-dong-xuyen-tien-hai/","Xã Đông Xuyên")</f>
        <v>Xã Đông Xuyên</v>
      </c>
    </row>
    <row r="4132" spans="1:7" x14ac:dyDescent="0.25">
      <c r="A4132" s="2">
        <v>4131</v>
      </c>
      <c r="B4132" s="3" t="s">
        <v>24</v>
      </c>
      <c r="C4132" s="4" t="str">
        <f t="shared" si="343"/>
        <v>Thái Bình</v>
      </c>
      <c r="D4132" s="3" t="s">
        <v>304</v>
      </c>
      <c r="E4132" s="4" t="str">
        <f t="shared" si="345"/>
        <v>Huyện Tiền Hải</v>
      </c>
      <c r="F4132" s="3" t="s">
        <v>4895</v>
      </c>
      <c r="G4132" s="4" t="str">
        <f>HYPERLINK("https://diaocthongthai.com/xa-tay-luong-tien-hai/","Xã Tây Lương")</f>
        <v>Xã Tây Lương</v>
      </c>
    </row>
    <row r="4133" spans="1:7" x14ac:dyDescent="0.25">
      <c r="A4133" s="2">
        <v>4132</v>
      </c>
      <c r="B4133" s="3" t="s">
        <v>24</v>
      </c>
      <c r="C4133" s="4" t="str">
        <f t="shared" si="343"/>
        <v>Thái Bình</v>
      </c>
      <c r="D4133" s="3" t="s">
        <v>304</v>
      </c>
      <c r="E4133" s="4" t="str">
        <f t="shared" si="345"/>
        <v>Huyện Tiền Hải</v>
      </c>
      <c r="F4133" s="3" t="s">
        <v>4896</v>
      </c>
      <c r="G4133" s="4" t="str">
        <f>HYPERLINK("https://diaocthongthai.com/xa-tay-ninh-tien-hai/","Xã Tây Ninh")</f>
        <v>Xã Tây Ninh</v>
      </c>
    </row>
    <row r="4134" spans="1:7" x14ac:dyDescent="0.25">
      <c r="A4134" s="2">
        <v>4133</v>
      </c>
      <c r="B4134" s="3" t="s">
        <v>24</v>
      </c>
      <c r="C4134" s="4" t="str">
        <f t="shared" si="343"/>
        <v>Thái Bình</v>
      </c>
      <c r="D4134" s="3" t="s">
        <v>304</v>
      </c>
      <c r="E4134" s="4" t="str">
        <f t="shared" si="345"/>
        <v>Huyện Tiền Hải</v>
      </c>
      <c r="F4134" s="3" t="s">
        <v>4897</v>
      </c>
      <c r="G4134" s="4" t="str">
        <f>HYPERLINK("https://diaocthongthai.com/xa-dong-trung-tien-hai/","Xã Đông Trung")</f>
        <v>Xã Đông Trung</v>
      </c>
    </row>
    <row r="4135" spans="1:7" x14ac:dyDescent="0.25">
      <c r="A4135" s="2">
        <v>4134</v>
      </c>
      <c r="B4135" s="3" t="s">
        <v>24</v>
      </c>
      <c r="C4135" s="4" t="str">
        <f t="shared" si="343"/>
        <v>Thái Bình</v>
      </c>
      <c r="D4135" s="3" t="s">
        <v>304</v>
      </c>
      <c r="E4135" s="4" t="str">
        <f t="shared" si="345"/>
        <v>Huyện Tiền Hải</v>
      </c>
      <c r="F4135" s="3" t="s">
        <v>4898</v>
      </c>
      <c r="G4135" s="4" t="str">
        <f>HYPERLINK("https://diaocthongthai.com/xa-dong-hoang-tien-hai/","Xã Đông Hoàng")</f>
        <v>Xã Đông Hoàng</v>
      </c>
    </row>
    <row r="4136" spans="1:7" x14ac:dyDescent="0.25">
      <c r="A4136" s="2">
        <v>4135</v>
      </c>
      <c r="B4136" s="3" t="s">
        <v>24</v>
      </c>
      <c r="C4136" s="4" t="str">
        <f t="shared" si="343"/>
        <v>Thái Bình</v>
      </c>
      <c r="D4136" s="3" t="s">
        <v>304</v>
      </c>
      <c r="E4136" s="4" t="str">
        <f t="shared" si="345"/>
        <v>Huyện Tiền Hải</v>
      </c>
      <c r="F4136" s="3" t="s">
        <v>4899</v>
      </c>
      <c r="G4136" s="4" t="str">
        <f>HYPERLINK("https://diaocthongthai.com/xa-dong-minh-tien-hai/","Xã Đông Minh")</f>
        <v>Xã Đông Minh</v>
      </c>
    </row>
    <row r="4137" spans="1:7" x14ac:dyDescent="0.25">
      <c r="A4137" s="2">
        <v>4136</v>
      </c>
      <c r="B4137" s="3" t="s">
        <v>24</v>
      </c>
      <c r="C4137" s="4" t="str">
        <f t="shared" si="343"/>
        <v>Thái Bình</v>
      </c>
      <c r="D4137" s="3" t="s">
        <v>304</v>
      </c>
      <c r="E4137" s="4" t="str">
        <f t="shared" si="345"/>
        <v>Huyện Tiền Hải</v>
      </c>
      <c r="F4137" s="3" t="s">
        <v>4900</v>
      </c>
      <c r="G4137" s="4" t="str">
        <f>HYPERLINK("https://diaocthongthai.com/xa-dong-phong-tien-hai/","Xã Đông Phong")</f>
        <v>Xã Đông Phong</v>
      </c>
    </row>
    <row r="4138" spans="1:7" x14ac:dyDescent="0.25">
      <c r="A4138" s="2">
        <v>4137</v>
      </c>
      <c r="B4138" s="3" t="s">
        <v>24</v>
      </c>
      <c r="C4138" s="4" t="str">
        <f t="shared" si="343"/>
        <v>Thái Bình</v>
      </c>
      <c r="D4138" s="3" t="s">
        <v>304</v>
      </c>
      <c r="E4138" s="4" t="str">
        <f t="shared" si="345"/>
        <v>Huyện Tiền Hải</v>
      </c>
      <c r="F4138" s="3" t="s">
        <v>4901</v>
      </c>
      <c r="G4138" s="4" t="str">
        <f>HYPERLINK("https://diaocthongthai.com/xa-an-ninh-tien-hai/","Xã An Ninh")</f>
        <v>Xã An Ninh</v>
      </c>
    </row>
    <row r="4139" spans="1:7" x14ac:dyDescent="0.25">
      <c r="A4139" s="2">
        <v>4138</v>
      </c>
      <c r="B4139" s="3" t="s">
        <v>24</v>
      </c>
      <c r="C4139" s="4" t="str">
        <f t="shared" si="343"/>
        <v>Thái Bình</v>
      </c>
      <c r="D4139" s="3" t="s">
        <v>304</v>
      </c>
      <c r="E4139" s="4" t="str">
        <f t="shared" si="345"/>
        <v>Huyện Tiền Hải</v>
      </c>
      <c r="F4139" s="3" t="s">
        <v>4902</v>
      </c>
      <c r="G4139" s="4" t="str">
        <f>HYPERLINK("https://diaocthongthai.com/xa-dong-co-tien-hai/","Xã Đông Cơ")</f>
        <v>Xã Đông Cơ</v>
      </c>
    </row>
    <row r="4140" spans="1:7" x14ac:dyDescent="0.25">
      <c r="A4140" s="2">
        <v>4139</v>
      </c>
      <c r="B4140" s="3" t="s">
        <v>24</v>
      </c>
      <c r="C4140" s="4" t="str">
        <f t="shared" si="343"/>
        <v>Thái Bình</v>
      </c>
      <c r="D4140" s="3" t="s">
        <v>304</v>
      </c>
      <c r="E4140" s="4" t="str">
        <f t="shared" si="345"/>
        <v>Huyện Tiền Hải</v>
      </c>
      <c r="F4140" s="3" t="s">
        <v>4903</v>
      </c>
      <c r="G4140" s="4" t="str">
        <f>HYPERLINK("https://diaocthongthai.com/xa-tay-giang-tien-hai/","Xã Tây Giang")</f>
        <v>Xã Tây Giang</v>
      </c>
    </row>
    <row r="4141" spans="1:7" x14ac:dyDescent="0.25">
      <c r="A4141" s="2">
        <v>4140</v>
      </c>
      <c r="B4141" s="3" t="s">
        <v>24</v>
      </c>
      <c r="C4141" s="4" t="str">
        <f t="shared" si="343"/>
        <v>Thái Bình</v>
      </c>
      <c r="D4141" s="3" t="s">
        <v>304</v>
      </c>
      <c r="E4141" s="4" t="str">
        <f t="shared" si="345"/>
        <v>Huyện Tiền Hải</v>
      </c>
      <c r="F4141" s="3" t="s">
        <v>4904</v>
      </c>
      <c r="G4141" s="4" t="str">
        <f>HYPERLINK("https://diaocthongthai.com/xa-dong-lam-tien-hai/","Xã Đông Lâm")</f>
        <v>Xã Đông Lâm</v>
      </c>
    </row>
    <row r="4142" spans="1:7" x14ac:dyDescent="0.25">
      <c r="A4142" s="2">
        <v>4141</v>
      </c>
      <c r="B4142" s="3" t="s">
        <v>24</v>
      </c>
      <c r="C4142" s="4" t="str">
        <f t="shared" si="343"/>
        <v>Thái Bình</v>
      </c>
      <c r="D4142" s="3" t="s">
        <v>304</v>
      </c>
      <c r="E4142" s="4" t="str">
        <f t="shared" si="345"/>
        <v>Huyện Tiền Hải</v>
      </c>
      <c r="F4142" s="3" t="s">
        <v>4905</v>
      </c>
      <c r="G4142" s="4" t="str">
        <f>HYPERLINK("https://diaocthongthai.com/xa-phuong-cong-tien-hai/","Xã Phương Công")</f>
        <v>Xã Phương Công</v>
      </c>
    </row>
    <row r="4143" spans="1:7" x14ac:dyDescent="0.25">
      <c r="A4143" s="2">
        <v>4142</v>
      </c>
      <c r="B4143" s="3" t="s">
        <v>24</v>
      </c>
      <c r="C4143" s="4" t="str">
        <f t="shared" si="343"/>
        <v>Thái Bình</v>
      </c>
      <c r="D4143" s="3" t="s">
        <v>304</v>
      </c>
      <c r="E4143" s="4" t="str">
        <f t="shared" si="345"/>
        <v>Huyện Tiền Hải</v>
      </c>
      <c r="F4143" s="3" t="s">
        <v>4906</v>
      </c>
      <c r="G4143" s="4" t="str">
        <f>HYPERLINK("https://diaocthongthai.com/xa-tay-phong-tien-hai/","Xã Tây Phong")</f>
        <v>Xã Tây Phong</v>
      </c>
    </row>
    <row r="4144" spans="1:7" x14ac:dyDescent="0.25">
      <c r="A4144" s="2">
        <v>4143</v>
      </c>
      <c r="B4144" s="3" t="s">
        <v>24</v>
      </c>
      <c r="C4144" s="4" t="str">
        <f t="shared" si="343"/>
        <v>Thái Bình</v>
      </c>
      <c r="D4144" s="3" t="s">
        <v>304</v>
      </c>
      <c r="E4144" s="4" t="str">
        <f t="shared" si="345"/>
        <v>Huyện Tiền Hải</v>
      </c>
      <c r="F4144" s="3" t="s">
        <v>4907</v>
      </c>
      <c r="G4144" s="4" t="str">
        <f>HYPERLINK("https://diaocthongthai.com/xa-tay-tien-tien-hai/","Xã Tây Tiến")</f>
        <v>Xã Tây Tiến</v>
      </c>
    </row>
    <row r="4145" spans="1:7" x14ac:dyDescent="0.25">
      <c r="A4145" s="2">
        <v>4144</v>
      </c>
      <c r="B4145" s="3" t="s">
        <v>24</v>
      </c>
      <c r="C4145" s="4" t="str">
        <f t="shared" si="343"/>
        <v>Thái Bình</v>
      </c>
      <c r="D4145" s="3" t="s">
        <v>304</v>
      </c>
      <c r="E4145" s="4" t="str">
        <f t="shared" si="345"/>
        <v>Huyện Tiền Hải</v>
      </c>
      <c r="F4145" s="3" t="s">
        <v>4908</v>
      </c>
      <c r="G4145" s="4" t="str">
        <f>HYPERLINK("https://diaocthongthai.com/xa-nam-cuong-tien-hai/","Xã Nam Cường")</f>
        <v>Xã Nam Cường</v>
      </c>
    </row>
    <row r="4146" spans="1:7" x14ac:dyDescent="0.25">
      <c r="A4146" s="2">
        <v>4145</v>
      </c>
      <c r="B4146" s="3" t="s">
        <v>24</v>
      </c>
      <c r="C4146" s="4" t="str">
        <f t="shared" si="343"/>
        <v>Thái Bình</v>
      </c>
      <c r="D4146" s="3" t="s">
        <v>304</v>
      </c>
      <c r="E4146" s="4" t="str">
        <f t="shared" si="345"/>
        <v>Huyện Tiền Hải</v>
      </c>
      <c r="F4146" s="3" t="s">
        <v>4909</v>
      </c>
      <c r="G4146" s="4" t="str">
        <f>HYPERLINK("https://diaocthongthai.com/xa-van-truong-tien-hai/","Xã Vân Trường")</f>
        <v>Xã Vân Trường</v>
      </c>
    </row>
    <row r="4147" spans="1:7" x14ac:dyDescent="0.25">
      <c r="A4147" s="2">
        <v>4146</v>
      </c>
      <c r="B4147" s="3" t="s">
        <v>24</v>
      </c>
      <c r="C4147" s="4" t="str">
        <f t="shared" si="343"/>
        <v>Thái Bình</v>
      </c>
      <c r="D4147" s="3" t="s">
        <v>304</v>
      </c>
      <c r="E4147" s="4" t="str">
        <f t="shared" si="345"/>
        <v>Huyện Tiền Hải</v>
      </c>
      <c r="F4147" s="3" t="s">
        <v>4910</v>
      </c>
      <c r="G4147" s="4" t="str">
        <f>HYPERLINK("https://diaocthongthai.com/xa-nam-thang-tien-hai/","Xã Nam Thắng")</f>
        <v>Xã Nam Thắng</v>
      </c>
    </row>
    <row r="4148" spans="1:7" x14ac:dyDescent="0.25">
      <c r="A4148" s="2">
        <v>4147</v>
      </c>
      <c r="B4148" s="3" t="s">
        <v>24</v>
      </c>
      <c r="C4148" s="4" t="str">
        <f t="shared" si="343"/>
        <v>Thái Bình</v>
      </c>
      <c r="D4148" s="3" t="s">
        <v>304</v>
      </c>
      <c r="E4148" s="4" t="str">
        <f t="shared" si="345"/>
        <v>Huyện Tiền Hải</v>
      </c>
      <c r="F4148" s="3" t="s">
        <v>4911</v>
      </c>
      <c r="G4148" s="4" t="str">
        <f>HYPERLINK("https://diaocthongthai.com/xa-nam-chinh-tien-hai/","Xã Nam Chính")</f>
        <v>Xã Nam Chính</v>
      </c>
    </row>
    <row r="4149" spans="1:7" x14ac:dyDescent="0.25">
      <c r="A4149" s="2">
        <v>4148</v>
      </c>
      <c r="B4149" s="3" t="s">
        <v>24</v>
      </c>
      <c r="C4149" s="4" t="str">
        <f t="shared" si="343"/>
        <v>Thái Bình</v>
      </c>
      <c r="D4149" s="3" t="s">
        <v>304</v>
      </c>
      <c r="E4149" s="4" t="str">
        <f t="shared" si="345"/>
        <v>Huyện Tiền Hải</v>
      </c>
      <c r="F4149" s="3" t="s">
        <v>4912</v>
      </c>
      <c r="G4149" s="4" t="str">
        <f>HYPERLINK("https://diaocthongthai.com/xa-bac-hai-tien-hai/","Xã Bắc Hải")</f>
        <v>Xã Bắc Hải</v>
      </c>
    </row>
    <row r="4150" spans="1:7" x14ac:dyDescent="0.25">
      <c r="A4150" s="2">
        <v>4149</v>
      </c>
      <c r="B4150" s="3" t="s">
        <v>24</v>
      </c>
      <c r="C4150" s="4" t="str">
        <f t="shared" si="343"/>
        <v>Thái Bình</v>
      </c>
      <c r="D4150" s="3" t="s">
        <v>304</v>
      </c>
      <c r="E4150" s="4" t="str">
        <f t="shared" si="345"/>
        <v>Huyện Tiền Hải</v>
      </c>
      <c r="F4150" s="3" t="s">
        <v>4913</v>
      </c>
      <c r="G4150" s="4" t="str">
        <f>HYPERLINK("https://diaocthongthai.com/xa-nam-thinh-tien-hai/","Xã Nam Thịnh")</f>
        <v>Xã Nam Thịnh</v>
      </c>
    </row>
    <row r="4151" spans="1:7" x14ac:dyDescent="0.25">
      <c r="A4151" s="2">
        <v>4150</v>
      </c>
      <c r="B4151" s="3" t="s">
        <v>24</v>
      </c>
      <c r="C4151" s="4" t="str">
        <f t="shared" si="343"/>
        <v>Thái Bình</v>
      </c>
      <c r="D4151" s="3" t="s">
        <v>304</v>
      </c>
      <c r="E4151" s="4" t="str">
        <f t="shared" si="345"/>
        <v>Huyện Tiền Hải</v>
      </c>
      <c r="F4151" s="3" t="s">
        <v>4914</v>
      </c>
      <c r="G4151" s="4" t="str">
        <f>HYPERLINK("https://diaocthongthai.com/xa-nam-ha-tien-hai/","Xã Nam Hà")</f>
        <v>Xã Nam Hà</v>
      </c>
    </row>
    <row r="4152" spans="1:7" x14ac:dyDescent="0.25">
      <c r="A4152" s="2">
        <v>4151</v>
      </c>
      <c r="B4152" s="3" t="s">
        <v>24</v>
      </c>
      <c r="C4152" s="4" t="str">
        <f t="shared" si="343"/>
        <v>Thái Bình</v>
      </c>
      <c r="D4152" s="3" t="s">
        <v>304</v>
      </c>
      <c r="E4152" s="4" t="str">
        <f t="shared" si="345"/>
        <v>Huyện Tiền Hải</v>
      </c>
      <c r="F4152" s="3" t="s">
        <v>4915</v>
      </c>
      <c r="G4152" s="4" t="str">
        <f>HYPERLINK("https://diaocthongthai.com/xa-nam-thanh-tien-hai/","Xã Nam Thanh")</f>
        <v>Xã Nam Thanh</v>
      </c>
    </row>
    <row r="4153" spans="1:7" x14ac:dyDescent="0.25">
      <c r="A4153" s="2">
        <v>4152</v>
      </c>
      <c r="B4153" s="3" t="s">
        <v>24</v>
      </c>
      <c r="C4153" s="4" t="str">
        <f t="shared" ref="C4153:C4220" si="346">HYPERLINK("https://diaocthongthai.com/ban-do-thai-binh/","Thái Bình")</f>
        <v>Thái Bình</v>
      </c>
      <c r="D4153" s="3" t="s">
        <v>304</v>
      </c>
      <c r="E4153" s="4" t="str">
        <f t="shared" si="345"/>
        <v>Huyện Tiền Hải</v>
      </c>
      <c r="F4153" s="3" t="s">
        <v>4916</v>
      </c>
      <c r="G4153" s="4" t="str">
        <f>HYPERLINK("https://diaocthongthai.com/xa-nam-trung-tien-hai/","Xã Nam Trung")</f>
        <v>Xã Nam Trung</v>
      </c>
    </row>
    <row r="4154" spans="1:7" x14ac:dyDescent="0.25">
      <c r="A4154" s="2">
        <v>4153</v>
      </c>
      <c r="B4154" s="3" t="s">
        <v>24</v>
      </c>
      <c r="C4154" s="4" t="str">
        <f t="shared" si="346"/>
        <v>Thái Bình</v>
      </c>
      <c r="D4154" s="3" t="s">
        <v>304</v>
      </c>
      <c r="E4154" s="4" t="str">
        <f t="shared" si="345"/>
        <v>Huyện Tiền Hải</v>
      </c>
      <c r="F4154" s="3" t="s">
        <v>4917</v>
      </c>
      <c r="G4154" s="4" t="str">
        <f>HYPERLINK("https://diaocthongthai.com/xa-nam-hong-tien-hai/","Xã Nam Hồng")</f>
        <v>Xã Nam Hồng</v>
      </c>
    </row>
    <row r="4155" spans="1:7" x14ac:dyDescent="0.25">
      <c r="A4155" s="2">
        <v>4154</v>
      </c>
      <c r="B4155" s="3" t="s">
        <v>24</v>
      </c>
      <c r="C4155" s="4" t="str">
        <f t="shared" si="346"/>
        <v>Thái Bình</v>
      </c>
      <c r="D4155" s="3" t="s">
        <v>304</v>
      </c>
      <c r="E4155" s="4" t="str">
        <f t="shared" si="345"/>
        <v>Huyện Tiền Hải</v>
      </c>
      <c r="F4155" s="3" t="s">
        <v>4918</v>
      </c>
      <c r="G4155" s="4" t="str">
        <f>HYPERLINK("https://diaocthongthai.com/xa-nam-hung-tien-hai/","Xã Nam Hưng")</f>
        <v>Xã Nam Hưng</v>
      </c>
    </row>
    <row r="4156" spans="1:7" x14ac:dyDescent="0.25">
      <c r="A4156" s="2">
        <v>4155</v>
      </c>
      <c r="B4156" s="3" t="s">
        <v>24</v>
      </c>
      <c r="C4156" s="4" t="str">
        <f t="shared" si="346"/>
        <v>Thái Bình</v>
      </c>
      <c r="D4156" s="3" t="s">
        <v>304</v>
      </c>
      <c r="E4156" s="4" t="str">
        <f t="shared" si="345"/>
        <v>Huyện Tiền Hải</v>
      </c>
      <c r="F4156" s="3" t="s">
        <v>4919</v>
      </c>
      <c r="G4156" s="4" t="str">
        <f>HYPERLINK("https://diaocthongthai.com/xa-nam-hai-tien-hai/","Xã Nam Hải")</f>
        <v>Xã Nam Hải</v>
      </c>
    </row>
    <row r="4157" spans="1:7" x14ac:dyDescent="0.25">
      <c r="A4157" s="2">
        <v>4156</v>
      </c>
      <c r="B4157" s="3" t="s">
        <v>24</v>
      </c>
      <c r="C4157" s="4" t="str">
        <f t="shared" si="346"/>
        <v>Thái Bình</v>
      </c>
      <c r="D4157" s="3" t="s">
        <v>304</v>
      </c>
      <c r="E4157" s="4" t="str">
        <f t="shared" si="345"/>
        <v>Huyện Tiền Hải</v>
      </c>
      <c r="F4157" s="3" t="s">
        <v>4920</v>
      </c>
      <c r="G4157" s="4" t="str">
        <f>HYPERLINK("https://diaocthongthai.com/xa-nam-phu-tien-hai/","Xã Nam Phú")</f>
        <v>Xã Nam Phú</v>
      </c>
    </row>
    <row r="4158" spans="1:7" x14ac:dyDescent="0.25">
      <c r="A4158" s="2">
        <v>4157</v>
      </c>
      <c r="B4158" s="3" t="s">
        <v>24</v>
      </c>
      <c r="C4158" s="4" t="str">
        <f t="shared" si="346"/>
        <v>Thái Bình</v>
      </c>
      <c r="D4158" s="3" t="s">
        <v>305</v>
      </c>
      <c r="E4158" s="4" t="str">
        <f t="shared" ref="E4158:E4190" si="347">HYPERLINK("https://diaocthongthai.com/ban-do-huyen-kien-xuong-thai-binh/","Huyện Kiến Xương")</f>
        <v>Huyện Kiến Xương</v>
      </c>
      <c r="F4158" s="3" t="s">
        <v>4921</v>
      </c>
      <c r="G4158" s="4" t="str">
        <f>HYPERLINK("https://diaocthongthai.com/thi-tran-kien-xuong-kien-xuong/","Thị trấn Kiến Xương")</f>
        <v>Thị trấn Kiến Xương</v>
      </c>
    </row>
    <row r="4159" spans="1:7" x14ac:dyDescent="0.25">
      <c r="A4159" s="2">
        <v>4158</v>
      </c>
      <c r="B4159" s="3" t="s">
        <v>24</v>
      </c>
      <c r="C4159" s="4" t="str">
        <f t="shared" si="346"/>
        <v>Thái Bình</v>
      </c>
      <c r="D4159" s="3" t="s">
        <v>305</v>
      </c>
      <c r="E4159" s="4" t="str">
        <f t="shared" si="347"/>
        <v>Huyện Kiến Xương</v>
      </c>
      <c r="F4159" s="3" t="s">
        <v>4922</v>
      </c>
      <c r="G4159" s="4" t="str">
        <f>HYPERLINK("https://diaocthongthai.com/xa-tra-giang-kien-xuong/","Xã Trà Giang")</f>
        <v>Xã Trà Giang</v>
      </c>
    </row>
    <row r="4160" spans="1:7" x14ac:dyDescent="0.25">
      <c r="A4160" s="2">
        <v>4159</v>
      </c>
      <c r="B4160" s="3" t="s">
        <v>24</v>
      </c>
      <c r="C4160" s="4" t="str">
        <f t="shared" si="346"/>
        <v>Thái Bình</v>
      </c>
      <c r="D4160" s="3" t="s">
        <v>305</v>
      </c>
      <c r="E4160" s="4" t="str">
        <f t="shared" si="347"/>
        <v>Huyện Kiến Xương</v>
      </c>
      <c r="F4160" s="3" t="s">
        <v>4923</v>
      </c>
      <c r="G4160" s="4" t="str">
        <f>HYPERLINK("https://diaocthongthai.com/xa-quoc-tuan-kien-xuong/","Xã Quốc Tuấn")</f>
        <v>Xã Quốc Tuấn</v>
      </c>
    </row>
    <row r="4161" spans="1:7" x14ac:dyDescent="0.25">
      <c r="A4161" s="2">
        <v>4160</v>
      </c>
      <c r="B4161" s="3" t="s">
        <v>24</v>
      </c>
      <c r="C4161" s="4" t="str">
        <f t="shared" si="346"/>
        <v>Thái Bình</v>
      </c>
      <c r="D4161" s="3" t="s">
        <v>305</v>
      </c>
      <c r="E4161" s="4" t="str">
        <f t="shared" si="347"/>
        <v>Huyện Kiến Xương</v>
      </c>
      <c r="F4161" s="3" t="s">
        <v>4924</v>
      </c>
      <c r="G4161" s="4" t="str">
        <f>HYPERLINK("https://diaocthongthai.com/xa-an-binh-kien-xuong/","Xã An Bình")</f>
        <v>Xã An Bình</v>
      </c>
    </row>
    <row r="4162" spans="1:7" x14ac:dyDescent="0.25">
      <c r="A4162" s="2">
        <v>4161</v>
      </c>
      <c r="B4162" s="3" t="s">
        <v>24</v>
      </c>
      <c r="C4162" s="4" t="str">
        <f t="shared" si="346"/>
        <v>Thái Bình</v>
      </c>
      <c r="D4162" s="3" t="s">
        <v>305</v>
      </c>
      <c r="E4162" s="4" t="str">
        <f t="shared" si="347"/>
        <v>Huyện Kiến Xương</v>
      </c>
      <c r="F4162" s="3" t="s">
        <v>4925</v>
      </c>
      <c r="G4162" s="4" t="str">
        <f>HYPERLINK("https://diaocthongthai.com/xa-tay-son-kien-xuong/","Xã Tây Sơn")</f>
        <v>Xã Tây Sơn</v>
      </c>
    </row>
    <row r="4163" spans="1:7" x14ac:dyDescent="0.25">
      <c r="A4163" s="2">
        <v>4162</v>
      </c>
      <c r="B4163" s="3" t="s">
        <v>24</v>
      </c>
      <c r="C4163" s="4" t="str">
        <f t="shared" si="346"/>
        <v>Thái Bình</v>
      </c>
      <c r="D4163" s="3" t="s">
        <v>305</v>
      </c>
      <c r="E4163" s="4" t="str">
        <f t="shared" si="347"/>
        <v>Huyện Kiến Xương</v>
      </c>
      <c r="F4163" s="3" t="s">
        <v>4926</v>
      </c>
      <c r="G4163" s="4" t="str">
        <f>HYPERLINK("https://diaocthongthai.com/xa-hong-thai-kien-xuong/","Xã Hồng Thái")</f>
        <v>Xã Hồng Thái</v>
      </c>
    </row>
    <row r="4164" spans="1:7" x14ac:dyDescent="0.25">
      <c r="A4164" s="2">
        <v>4163</v>
      </c>
      <c r="B4164" s="3" t="s">
        <v>24</v>
      </c>
      <c r="C4164" s="4" t="str">
        <f t="shared" si="346"/>
        <v>Thái Bình</v>
      </c>
      <c r="D4164" s="3" t="s">
        <v>305</v>
      </c>
      <c r="E4164" s="4" t="str">
        <f t="shared" si="347"/>
        <v>Huyện Kiến Xương</v>
      </c>
      <c r="F4164" s="3" t="s">
        <v>4927</v>
      </c>
      <c r="G4164" s="4" t="str">
        <f>HYPERLINK("https://diaocthongthai.com/xa-binh-nguyen-kien-xuong/","Xã Bình Nguyên")</f>
        <v>Xã Bình Nguyên</v>
      </c>
    </row>
    <row r="4165" spans="1:7" x14ac:dyDescent="0.25">
      <c r="A4165" s="2">
        <v>4164</v>
      </c>
      <c r="B4165" s="3" t="s">
        <v>24</v>
      </c>
      <c r="C4165" s="4" t="str">
        <f t="shared" si="346"/>
        <v>Thái Bình</v>
      </c>
      <c r="D4165" s="3" t="s">
        <v>305</v>
      </c>
      <c r="E4165" s="4" t="str">
        <f t="shared" si="347"/>
        <v>Huyện Kiến Xương</v>
      </c>
      <c r="F4165" s="3" t="s">
        <v>4928</v>
      </c>
      <c r="G4165" s="4" t="str">
        <f>HYPERLINK("https://diaocthongthai.com/xa-le-loi-kien-xuong/","Xã Lê Lợi")</f>
        <v>Xã Lê Lợi</v>
      </c>
    </row>
    <row r="4166" spans="1:7" x14ac:dyDescent="0.25">
      <c r="A4166" s="2">
        <v>4165</v>
      </c>
      <c r="B4166" s="3" t="s">
        <v>24</v>
      </c>
      <c r="C4166" s="4" t="str">
        <f t="shared" si="346"/>
        <v>Thái Bình</v>
      </c>
      <c r="D4166" s="3" t="s">
        <v>305</v>
      </c>
      <c r="E4166" s="4" t="str">
        <f t="shared" si="347"/>
        <v>Huyện Kiến Xương</v>
      </c>
      <c r="F4166" s="3" t="s">
        <v>4929</v>
      </c>
      <c r="G4166" s="4" t="str">
        <f>HYPERLINK("https://diaocthongthai.com/xa-vu-le-kien-xuong/","Xã Vũ Lễ")</f>
        <v>Xã Vũ Lễ</v>
      </c>
    </row>
    <row r="4167" spans="1:7" x14ac:dyDescent="0.25">
      <c r="A4167" s="2">
        <v>4166</v>
      </c>
      <c r="B4167" s="3" t="s">
        <v>24</v>
      </c>
      <c r="C4167" s="4" t="str">
        <f t="shared" si="346"/>
        <v>Thái Bình</v>
      </c>
      <c r="D4167" s="3" t="s">
        <v>305</v>
      </c>
      <c r="E4167" s="4" t="str">
        <f t="shared" si="347"/>
        <v>Huyện Kiến Xương</v>
      </c>
      <c r="F4167" s="3" t="s">
        <v>4930</v>
      </c>
      <c r="G4167" s="4" t="str">
        <f>HYPERLINK("https://diaocthongthai.com/xa-thanh-tan-kien-xuong/","Xã Thanh Tân")</f>
        <v>Xã Thanh Tân</v>
      </c>
    </row>
    <row r="4168" spans="1:7" x14ac:dyDescent="0.25">
      <c r="A4168" s="2">
        <v>4167</v>
      </c>
      <c r="B4168" s="3" t="s">
        <v>24</v>
      </c>
      <c r="C4168" s="4" t="str">
        <f t="shared" si="346"/>
        <v>Thái Bình</v>
      </c>
      <c r="D4168" s="3" t="s">
        <v>305</v>
      </c>
      <c r="E4168" s="4" t="str">
        <f t="shared" si="347"/>
        <v>Huyện Kiến Xương</v>
      </c>
      <c r="F4168" s="3" t="s">
        <v>4931</v>
      </c>
      <c r="G4168" s="4" t="str">
        <f>HYPERLINK("https://diaocthongthai.com/xa-thuong-hien-kien-xuong/","Xã Thượng Hiền")</f>
        <v>Xã Thượng Hiền</v>
      </c>
    </row>
    <row r="4169" spans="1:7" x14ac:dyDescent="0.25">
      <c r="A4169" s="2">
        <v>4168</v>
      </c>
      <c r="B4169" s="3" t="s">
        <v>24</v>
      </c>
      <c r="C4169" s="4" t="str">
        <f t="shared" si="346"/>
        <v>Thái Bình</v>
      </c>
      <c r="D4169" s="3" t="s">
        <v>305</v>
      </c>
      <c r="E4169" s="4" t="str">
        <f t="shared" si="347"/>
        <v>Huyện Kiến Xương</v>
      </c>
      <c r="F4169" s="3" t="s">
        <v>4932</v>
      </c>
      <c r="G4169" s="4" t="str">
        <f>HYPERLINK("https://diaocthongthai.com/xa-nam-cao-kien-xuong/","Xã Nam Cao")</f>
        <v>Xã Nam Cao</v>
      </c>
    </row>
    <row r="4170" spans="1:7" x14ac:dyDescent="0.25">
      <c r="A4170" s="2">
        <v>4169</v>
      </c>
      <c r="B4170" s="3" t="s">
        <v>24</v>
      </c>
      <c r="C4170" s="4" t="str">
        <f t="shared" si="346"/>
        <v>Thái Bình</v>
      </c>
      <c r="D4170" s="3" t="s">
        <v>305</v>
      </c>
      <c r="E4170" s="4" t="str">
        <f t="shared" si="347"/>
        <v>Huyện Kiến Xương</v>
      </c>
      <c r="F4170" s="3" t="s">
        <v>4933</v>
      </c>
      <c r="G4170" s="4" t="str">
        <f>HYPERLINK("https://diaocthongthai.com/xa-dinh-phung-kien-xuong/","Xã Đình Phùng")</f>
        <v>Xã Đình Phùng</v>
      </c>
    </row>
    <row r="4171" spans="1:7" x14ac:dyDescent="0.25">
      <c r="A4171" s="2">
        <v>4170</v>
      </c>
      <c r="B4171" s="3" t="s">
        <v>24</v>
      </c>
      <c r="C4171" s="4" t="str">
        <f t="shared" si="346"/>
        <v>Thái Bình</v>
      </c>
      <c r="D4171" s="3" t="s">
        <v>305</v>
      </c>
      <c r="E4171" s="4" t="str">
        <f t="shared" si="347"/>
        <v>Huyện Kiến Xương</v>
      </c>
      <c r="F4171" s="3" t="s">
        <v>4934</v>
      </c>
      <c r="G4171" s="4" t="str">
        <f>HYPERLINK("https://diaocthongthai.com/xa-vu-ninh-kien-xuong/","Xã Vũ Ninh")</f>
        <v>Xã Vũ Ninh</v>
      </c>
    </row>
    <row r="4172" spans="1:7" x14ac:dyDescent="0.25">
      <c r="A4172" s="2">
        <v>4171</v>
      </c>
      <c r="B4172" s="3" t="s">
        <v>24</v>
      </c>
      <c r="C4172" s="4" t="str">
        <f t="shared" si="346"/>
        <v>Thái Bình</v>
      </c>
      <c r="D4172" s="3" t="s">
        <v>305</v>
      </c>
      <c r="E4172" s="4" t="str">
        <f t="shared" si="347"/>
        <v>Huyện Kiến Xương</v>
      </c>
      <c r="F4172" s="3" t="s">
        <v>4935</v>
      </c>
      <c r="G4172" s="4" t="str">
        <f>HYPERLINK("https://diaocthongthai.com/xa-vu-an-kien-xuong/","Xã Vũ An")</f>
        <v>Xã Vũ An</v>
      </c>
    </row>
    <row r="4173" spans="1:7" x14ac:dyDescent="0.25">
      <c r="A4173" s="2">
        <v>4172</v>
      </c>
      <c r="B4173" s="3" t="s">
        <v>24</v>
      </c>
      <c r="C4173" s="4" t="str">
        <f t="shared" si="346"/>
        <v>Thái Bình</v>
      </c>
      <c r="D4173" s="3" t="s">
        <v>305</v>
      </c>
      <c r="E4173" s="4" t="str">
        <f t="shared" si="347"/>
        <v>Huyện Kiến Xương</v>
      </c>
      <c r="F4173" s="3" t="s">
        <v>4936</v>
      </c>
      <c r="G4173" s="4" t="str">
        <f>HYPERLINK("https://diaocthongthai.com/xa-quang-lich-kien-xuong/","Xã Quang Lịch")</f>
        <v>Xã Quang Lịch</v>
      </c>
    </row>
    <row r="4174" spans="1:7" x14ac:dyDescent="0.25">
      <c r="A4174" s="2">
        <v>4173</v>
      </c>
      <c r="B4174" s="3" t="s">
        <v>24</v>
      </c>
      <c r="C4174" s="4" t="str">
        <f t="shared" si="346"/>
        <v>Thái Bình</v>
      </c>
      <c r="D4174" s="3" t="s">
        <v>305</v>
      </c>
      <c r="E4174" s="4" t="str">
        <f t="shared" si="347"/>
        <v>Huyện Kiến Xương</v>
      </c>
      <c r="F4174" s="3" t="s">
        <v>4937</v>
      </c>
      <c r="G4174" s="4" t="str">
        <f>HYPERLINK("https://diaocthongthai.com/xa-hoa-binh-kien-xuong/","Xã Hòa Bình")</f>
        <v>Xã Hòa Bình</v>
      </c>
    </row>
    <row r="4175" spans="1:7" x14ac:dyDescent="0.25">
      <c r="A4175" s="2">
        <v>4174</v>
      </c>
      <c r="B4175" s="3" t="s">
        <v>24</v>
      </c>
      <c r="C4175" s="4" t="str">
        <f t="shared" si="346"/>
        <v>Thái Bình</v>
      </c>
      <c r="D4175" s="3" t="s">
        <v>305</v>
      </c>
      <c r="E4175" s="4" t="str">
        <f t="shared" si="347"/>
        <v>Huyện Kiến Xương</v>
      </c>
      <c r="F4175" s="3" t="s">
        <v>4938</v>
      </c>
      <c r="G4175" s="4" t="str">
        <f>HYPERLINK("https://diaocthongthai.com/xa-binh-minh-kien-xuong/","Xã Bình Minh")</f>
        <v>Xã Bình Minh</v>
      </c>
    </row>
    <row r="4176" spans="1:7" x14ac:dyDescent="0.25">
      <c r="A4176" s="2">
        <v>4175</v>
      </c>
      <c r="B4176" s="3" t="s">
        <v>24</v>
      </c>
      <c r="C4176" s="4" t="str">
        <f t="shared" si="346"/>
        <v>Thái Bình</v>
      </c>
      <c r="D4176" s="3" t="s">
        <v>305</v>
      </c>
      <c r="E4176" s="4" t="str">
        <f t="shared" si="347"/>
        <v>Huyện Kiến Xương</v>
      </c>
      <c r="F4176" s="3" t="s">
        <v>4939</v>
      </c>
      <c r="G4176" s="4" t="str">
        <f>HYPERLINK("https://diaocthongthai.com/xa-vu-quy-kien-xuong/","Xã Vũ Quí")</f>
        <v>Xã Vũ Quí</v>
      </c>
    </row>
    <row r="4177" spans="1:7" x14ac:dyDescent="0.25">
      <c r="A4177" s="2">
        <v>4176</v>
      </c>
      <c r="B4177" s="3" t="s">
        <v>24</v>
      </c>
      <c r="C4177" s="4" t="str">
        <f t="shared" si="346"/>
        <v>Thái Bình</v>
      </c>
      <c r="D4177" s="3" t="s">
        <v>305</v>
      </c>
      <c r="E4177" s="4" t="str">
        <f t="shared" si="347"/>
        <v>Huyện Kiến Xương</v>
      </c>
      <c r="F4177" s="3" t="s">
        <v>4940</v>
      </c>
      <c r="G4177" s="4" t="str">
        <f>HYPERLINK("https://diaocthongthai.com/xa-quang-binh-kien-xuong/","Xã Quang Bình")</f>
        <v>Xã Quang Bình</v>
      </c>
    </row>
    <row r="4178" spans="1:7" x14ac:dyDescent="0.25">
      <c r="A4178" s="2">
        <v>4177</v>
      </c>
      <c r="B4178" s="3" t="s">
        <v>24</v>
      </c>
      <c r="C4178" s="4" t="str">
        <f t="shared" si="346"/>
        <v>Thái Bình</v>
      </c>
      <c r="D4178" s="3" t="s">
        <v>305</v>
      </c>
      <c r="E4178" s="4" t="str">
        <f t="shared" si="347"/>
        <v>Huyện Kiến Xương</v>
      </c>
      <c r="F4178" s="3" t="s">
        <v>4941</v>
      </c>
      <c r="G4178" s="4" t="str">
        <f>HYPERLINK("https://diaocthongthai.com/xa-vu-trung-kien-xuong/","Xã Vũ Trung")</f>
        <v>Xã Vũ Trung</v>
      </c>
    </row>
    <row r="4179" spans="1:7" x14ac:dyDescent="0.25">
      <c r="A4179" s="2">
        <v>4178</v>
      </c>
      <c r="B4179" s="3" t="s">
        <v>24</v>
      </c>
      <c r="C4179" s="4" t="str">
        <f t="shared" si="346"/>
        <v>Thái Bình</v>
      </c>
      <c r="D4179" s="3" t="s">
        <v>305</v>
      </c>
      <c r="E4179" s="4" t="str">
        <f t="shared" si="347"/>
        <v>Huyện Kiến Xương</v>
      </c>
      <c r="F4179" s="3" t="s">
        <v>4942</v>
      </c>
      <c r="G4179" s="4" t="str">
        <f>HYPERLINK("https://diaocthongthai.com/xa-vu-thang-kien-xuong/","Xã Vũ Thắng")</f>
        <v>Xã Vũ Thắng</v>
      </c>
    </row>
    <row r="4180" spans="1:7" x14ac:dyDescent="0.25">
      <c r="A4180" s="2">
        <v>4179</v>
      </c>
      <c r="B4180" s="3" t="s">
        <v>24</v>
      </c>
      <c r="C4180" s="4" t="str">
        <f t="shared" si="346"/>
        <v>Thái Bình</v>
      </c>
      <c r="D4180" s="3" t="s">
        <v>305</v>
      </c>
      <c r="E4180" s="4" t="str">
        <f t="shared" si="347"/>
        <v>Huyện Kiến Xương</v>
      </c>
      <c r="F4180" s="3" t="s">
        <v>4943</v>
      </c>
      <c r="G4180" s="4" t="str">
        <f>HYPERLINK("https://diaocthongthai.com/xa-vu-cong-kien-xuong/","Xã Vũ Công")</f>
        <v>Xã Vũ Công</v>
      </c>
    </row>
    <row r="4181" spans="1:7" x14ac:dyDescent="0.25">
      <c r="A4181" s="2">
        <v>4180</v>
      </c>
      <c r="B4181" s="3" t="s">
        <v>24</v>
      </c>
      <c r="C4181" s="4" t="str">
        <f t="shared" si="346"/>
        <v>Thái Bình</v>
      </c>
      <c r="D4181" s="3" t="s">
        <v>305</v>
      </c>
      <c r="E4181" s="4" t="str">
        <f t="shared" si="347"/>
        <v>Huyện Kiến Xương</v>
      </c>
      <c r="F4181" s="3" t="s">
        <v>4944</v>
      </c>
      <c r="G4181" s="4" t="str">
        <f>HYPERLINK("https://diaocthongthai.com/xa-vu-hoa-kien-xuong/","Xã Vũ Hòa")</f>
        <v>Xã Vũ Hòa</v>
      </c>
    </row>
    <row r="4182" spans="1:7" x14ac:dyDescent="0.25">
      <c r="A4182" s="2">
        <v>4181</v>
      </c>
      <c r="B4182" s="3" t="s">
        <v>24</v>
      </c>
      <c r="C4182" s="4" t="str">
        <f t="shared" si="346"/>
        <v>Thái Bình</v>
      </c>
      <c r="D4182" s="3" t="s">
        <v>305</v>
      </c>
      <c r="E4182" s="4" t="str">
        <f t="shared" si="347"/>
        <v>Huyện Kiến Xương</v>
      </c>
      <c r="F4182" s="3" t="s">
        <v>4945</v>
      </c>
      <c r="G4182" s="4" t="str">
        <f>HYPERLINK("https://diaocthongthai.com/xa-quang-minh-kien-xuong/","Xã Quang Minh")</f>
        <v>Xã Quang Minh</v>
      </c>
    </row>
    <row r="4183" spans="1:7" x14ac:dyDescent="0.25">
      <c r="A4183" s="2">
        <v>4182</v>
      </c>
      <c r="B4183" s="3" t="s">
        <v>24</v>
      </c>
      <c r="C4183" s="4" t="str">
        <f t="shared" si="346"/>
        <v>Thái Bình</v>
      </c>
      <c r="D4183" s="3" t="s">
        <v>305</v>
      </c>
      <c r="E4183" s="4" t="str">
        <f t="shared" si="347"/>
        <v>Huyện Kiến Xương</v>
      </c>
      <c r="F4183" s="3" t="s">
        <v>4946</v>
      </c>
      <c r="G4183" s="4" t="str">
        <f>HYPERLINK("https://diaocthongthai.com/xa-quang-trung-kien-xuong/","Xã Quang Trung")</f>
        <v>Xã Quang Trung</v>
      </c>
    </row>
    <row r="4184" spans="1:7" x14ac:dyDescent="0.25">
      <c r="A4184" s="2">
        <v>4183</v>
      </c>
      <c r="B4184" s="3" t="s">
        <v>24</v>
      </c>
      <c r="C4184" s="4" t="str">
        <f t="shared" si="346"/>
        <v>Thái Bình</v>
      </c>
      <c r="D4184" s="3" t="s">
        <v>305</v>
      </c>
      <c r="E4184" s="4" t="str">
        <f t="shared" si="347"/>
        <v>Huyện Kiến Xương</v>
      </c>
      <c r="F4184" s="3" t="s">
        <v>4947</v>
      </c>
      <c r="G4184" s="4" t="str">
        <f>HYPERLINK("https://diaocthongthai.com/xa-minh-quang-kien-xuong/","Xã Minh Quang")</f>
        <v>Xã Minh Quang</v>
      </c>
    </row>
    <row r="4185" spans="1:7" x14ac:dyDescent="0.25">
      <c r="A4185" s="2">
        <v>4184</v>
      </c>
      <c r="B4185" s="3" t="s">
        <v>24</v>
      </c>
      <c r="C4185" s="4" t="str">
        <f t="shared" si="346"/>
        <v>Thái Bình</v>
      </c>
      <c r="D4185" s="3" t="s">
        <v>305</v>
      </c>
      <c r="E4185" s="4" t="str">
        <f t="shared" si="347"/>
        <v>Huyện Kiến Xương</v>
      </c>
      <c r="F4185" s="3" t="s">
        <v>4948</v>
      </c>
      <c r="G4185" s="4" t="str">
        <f>HYPERLINK("https://diaocthongthai.com/xa-vu-binh-kien-xuong/","Xã Vũ Bình")</f>
        <v>Xã Vũ Bình</v>
      </c>
    </row>
    <row r="4186" spans="1:7" x14ac:dyDescent="0.25">
      <c r="A4186" s="2">
        <v>4185</v>
      </c>
      <c r="B4186" s="3" t="s">
        <v>24</v>
      </c>
      <c r="C4186" s="4" t="str">
        <f t="shared" si="346"/>
        <v>Thái Bình</v>
      </c>
      <c r="D4186" s="3" t="s">
        <v>305</v>
      </c>
      <c r="E4186" s="4" t="str">
        <f t="shared" si="347"/>
        <v>Huyện Kiến Xương</v>
      </c>
      <c r="F4186" s="3" t="s">
        <v>4949</v>
      </c>
      <c r="G4186" s="4" t="str">
        <f>HYPERLINK("https://diaocthongthai.com/xa-minh-tan-kien-xuong/","Xã Minh Tân")</f>
        <v>Xã Minh Tân</v>
      </c>
    </row>
    <row r="4187" spans="1:7" x14ac:dyDescent="0.25">
      <c r="A4187" s="2">
        <v>4186</v>
      </c>
      <c r="B4187" s="3" t="s">
        <v>24</v>
      </c>
      <c r="C4187" s="4" t="str">
        <f t="shared" si="346"/>
        <v>Thái Bình</v>
      </c>
      <c r="D4187" s="3" t="s">
        <v>305</v>
      </c>
      <c r="E4187" s="4" t="str">
        <f t="shared" si="347"/>
        <v>Huyện Kiến Xương</v>
      </c>
      <c r="F4187" s="3" t="s">
        <v>4950</v>
      </c>
      <c r="G4187" s="4" t="str">
        <f>HYPERLINK("https://diaocthongthai.com/xa-nam-binh-kien-xuong/","Xã Nam Bình")</f>
        <v>Xã Nam Bình</v>
      </c>
    </row>
    <row r="4188" spans="1:7" x14ac:dyDescent="0.25">
      <c r="A4188" s="2">
        <v>4187</v>
      </c>
      <c r="B4188" s="3" t="s">
        <v>24</v>
      </c>
      <c r="C4188" s="4" t="str">
        <f t="shared" si="346"/>
        <v>Thái Bình</v>
      </c>
      <c r="D4188" s="3" t="s">
        <v>305</v>
      </c>
      <c r="E4188" s="4" t="str">
        <f t="shared" si="347"/>
        <v>Huyện Kiến Xương</v>
      </c>
      <c r="F4188" s="3" t="s">
        <v>4951</v>
      </c>
      <c r="G4188" s="4" t="str">
        <f>HYPERLINK("https://diaocthongthai.com/xa-binh-thanh-kien-xuong/","Xã Bình Thanh")</f>
        <v>Xã Bình Thanh</v>
      </c>
    </row>
    <row r="4189" spans="1:7" x14ac:dyDescent="0.25">
      <c r="A4189" s="2">
        <v>4188</v>
      </c>
      <c r="B4189" s="3" t="s">
        <v>24</v>
      </c>
      <c r="C4189" s="4" t="str">
        <f t="shared" si="346"/>
        <v>Thái Bình</v>
      </c>
      <c r="D4189" s="3" t="s">
        <v>305</v>
      </c>
      <c r="E4189" s="4" t="str">
        <f t="shared" si="347"/>
        <v>Huyện Kiến Xương</v>
      </c>
      <c r="F4189" s="3" t="s">
        <v>4952</v>
      </c>
      <c r="G4189" s="4" t="str">
        <f>HYPERLINK("https://diaocthongthai.com/xa-binh-dinh-kien-xuong/","Xã Bình Định")</f>
        <v>Xã Bình Định</v>
      </c>
    </row>
    <row r="4190" spans="1:7" x14ac:dyDescent="0.25">
      <c r="A4190" s="2">
        <v>4189</v>
      </c>
      <c r="B4190" s="3" t="s">
        <v>24</v>
      </c>
      <c r="C4190" s="4" t="str">
        <f t="shared" si="346"/>
        <v>Thái Bình</v>
      </c>
      <c r="D4190" s="3" t="s">
        <v>305</v>
      </c>
      <c r="E4190" s="4" t="str">
        <f t="shared" si="347"/>
        <v>Huyện Kiến Xương</v>
      </c>
      <c r="F4190" s="3" t="s">
        <v>4953</v>
      </c>
      <c r="G4190" s="4" t="str">
        <f>HYPERLINK("https://diaocthongthai.com/xa-hong-tien-kien-xuong/","Xã Hồng Tiến")</f>
        <v>Xã Hồng Tiến</v>
      </c>
    </row>
    <row r="4191" spans="1:7" x14ac:dyDescent="0.25">
      <c r="A4191" s="2">
        <v>4190</v>
      </c>
      <c r="B4191" s="3" t="s">
        <v>24</v>
      </c>
      <c r="C4191" s="4" t="str">
        <f t="shared" si="346"/>
        <v>Thái Bình</v>
      </c>
      <c r="D4191" s="3" t="s">
        <v>306</v>
      </c>
      <c r="E4191" s="4" t="str">
        <f t="shared" ref="E4191:E4220" si="348">HYPERLINK("https://diaocthongthai.com/ban-do-huyen-vu-thu-thai-binh/","Huyện Vũ Thư")</f>
        <v>Huyện Vũ Thư</v>
      </c>
      <c r="F4191" s="3" t="s">
        <v>4954</v>
      </c>
      <c r="G4191" s="4" t="str">
        <f>HYPERLINK("https://diaocthongthai.com/thi-tran-vu-thu-vu-thu/","Thị trấn Vũ Thư")</f>
        <v>Thị trấn Vũ Thư</v>
      </c>
    </row>
    <row r="4192" spans="1:7" x14ac:dyDescent="0.25">
      <c r="A4192" s="2">
        <v>4191</v>
      </c>
      <c r="B4192" s="3" t="s">
        <v>24</v>
      </c>
      <c r="C4192" s="4" t="str">
        <f t="shared" si="346"/>
        <v>Thái Bình</v>
      </c>
      <c r="D4192" s="3" t="s">
        <v>306</v>
      </c>
      <c r="E4192" s="4" t="str">
        <f t="shared" si="348"/>
        <v>Huyện Vũ Thư</v>
      </c>
      <c r="F4192" s="3" t="s">
        <v>4955</v>
      </c>
      <c r="G4192" s="4" t="str">
        <f>HYPERLINK("https://diaocthongthai.com/xa-hong-ly-vu-thu/","Xã Hồng Lý")</f>
        <v>Xã Hồng Lý</v>
      </c>
    </row>
    <row r="4193" spans="1:7" x14ac:dyDescent="0.25">
      <c r="A4193" s="2">
        <v>4192</v>
      </c>
      <c r="B4193" s="3" t="s">
        <v>24</v>
      </c>
      <c r="C4193" s="4" t="str">
        <f t="shared" si="346"/>
        <v>Thái Bình</v>
      </c>
      <c r="D4193" s="3" t="s">
        <v>306</v>
      </c>
      <c r="E4193" s="4" t="str">
        <f t="shared" si="348"/>
        <v>Huyện Vũ Thư</v>
      </c>
      <c r="F4193" s="3" t="s">
        <v>4956</v>
      </c>
      <c r="G4193" s="4" t="str">
        <f>HYPERLINK("https://diaocthongthai.com/xa-dong-thanh-vu-thu/","Xã Đồng Thanh")</f>
        <v>Xã Đồng Thanh</v>
      </c>
    </row>
    <row r="4194" spans="1:7" x14ac:dyDescent="0.25">
      <c r="A4194" s="2">
        <v>4193</v>
      </c>
      <c r="B4194" s="3" t="s">
        <v>24</v>
      </c>
      <c r="C4194" s="4" t="str">
        <f t="shared" si="346"/>
        <v>Thái Bình</v>
      </c>
      <c r="D4194" s="3" t="s">
        <v>306</v>
      </c>
      <c r="E4194" s="4" t="str">
        <f t="shared" si="348"/>
        <v>Huyện Vũ Thư</v>
      </c>
      <c r="F4194" s="3" t="s">
        <v>4957</v>
      </c>
      <c r="G4194" s="4" t="str">
        <f>HYPERLINK("https://diaocthongthai.com/xa-xuan-hoa-vu-thu/","Xã Xuân Hòa")</f>
        <v>Xã Xuân Hòa</v>
      </c>
    </row>
    <row r="4195" spans="1:7" x14ac:dyDescent="0.25">
      <c r="A4195" s="2">
        <v>4194</v>
      </c>
      <c r="B4195" s="3" t="s">
        <v>24</v>
      </c>
      <c r="C4195" s="4" t="str">
        <f t="shared" si="346"/>
        <v>Thái Bình</v>
      </c>
      <c r="D4195" s="3" t="s">
        <v>306</v>
      </c>
      <c r="E4195" s="4" t="str">
        <f t="shared" si="348"/>
        <v>Huyện Vũ Thư</v>
      </c>
      <c r="F4195" s="3" t="s">
        <v>4958</v>
      </c>
      <c r="G4195" s="4" t="str">
        <f>HYPERLINK("https://diaocthongthai.com/xa-hiep-hoa-vu-thu/","Xã Hiệp Hòa")</f>
        <v>Xã Hiệp Hòa</v>
      </c>
    </row>
    <row r="4196" spans="1:7" x14ac:dyDescent="0.25">
      <c r="A4196" s="2">
        <v>4195</v>
      </c>
      <c r="B4196" s="3" t="s">
        <v>24</v>
      </c>
      <c r="C4196" s="4" t="str">
        <f t="shared" si="346"/>
        <v>Thái Bình</v>
      </c>
      <c r="D4196" s="3" t="s">
        <v>306</v>
      </c>
      <c r="E4196" s="4" t="str">
        <f t="shared" si="348"/>
        <v>Huyện Vũ Thư</v>
      </c>
      <c r="F4196" s="3" t="s">
        <v>4959</v>
      </c>
      <c r="G4196" s="4" t="str">
        <f>HYPERLINK("https://diaocthongthai.com/xa-phuc-thanh-vu-thu/","Xã Phúc Thành")</f>
        <v>Xã Phúc Thành</v>
      </c>
    </row>
    <row r="4197" spans="1:7" x14ac:dyDescent="0.25">
      <c r="A4197" s="2">
        <v>4196</v>
      </c>
      <c r="B4197" s="3" t="s">
        <v>24</v>
      </c>
      <c r="C4197" s="4" t="str">
        <f t="shared" si="346"/>
        <v>Thái Bình</v>
      </c>
      <c r="D4197" s="3" t="s">
        <v>306</v>
      </c>
      <c r="E4197" s="4" t="str">
        <f t="shared" si="348"/>
        <v>Huyện Vũ Thư</v>
      </c>
      <c r="F4197" s="3" t="s">
        <v>4960</v>
      </c>
      <c r="G4197" s="4" t="str">
        <f>HYPERLINK("https://diaocthongthai.com/xa-tan-phong-vu-thu/","Xã Tân Phong")</f>
        <v>Xã Tân Phong</v>
      </c>
    </row>
    <row r="4198" spans="1:7" x14ac:dyDescent="0.25">
      <c r="A4198" s="2">
        <v>4197</v>
      </c>
      <c r="B4198" s="3" t="s">
        <v>24</v>
      </c>
      <c r="C4198" s="4" t="str">
        <f t="shared" si="346"/>
        <v>Thái Bình</v>
      </c>
      <c r="D4198" s="3" t="s">
        <v>306</v>
      </c>
      <c r="E4198" s="4" t="str">
        <f t="shared" si="348"/>
        <v>Huyện Vũ Thư</v>
      </c>
      <c r="F4198" s="3" t="s">
        <v>4961</v>
      </c>
      <c r="G4198" s="4" t="str">
        <f>HYPERLINK("https://diaocthongthai.com/xa-song-lang-vu-thu/","Xã Song Lãng")</f>
        <v>Xã Song Lãng</v>
      </c>
    </row>
    <row r="4199" spans="1:7" x14ac:dyDescent="0.25">
      <c r="A4199" s="2">
        <v>4198</v>
      </c>
      <c r="B4199" s="3" t="s">
        <v>24</v>
      </c>
      <c r="C4199" s="4" t="str">
        <f t="shared" si="346"/>
        <v>Thái Bình</v>
      </c>
      <c r="D4199" s="3" t="s">
        <v>306</v>
      </c>
      <c r="E4199" s="4" t="str">
        <f t="shared" si="348"/>
        <v>Huyện Vũ Thư</v>
      </c>
      <c r="F4199" s="3" t="s">
        <v>4962</v>
      </c>
      <c r="G4199" s="4" t="str">
        <f>HYPERLINK("https://diaocthongthai.com/xa-tan-hoa-vu-thu/","Xã Tân Hòa")</f>
        <v>Xã Tân Hòa</v>
      </c>
    </row>
    <row r="4200" spans="1:7" x14ac:dyDescent="0.25">
      <c r="A4200" s="2">
        <v>4199</v>
      </c>
      <c r="B4200" s="3" t="s">
        <v>24</v>
      </c>
      <c r="C4200" s="4" t="str">
        <f t="shared" si="346"/>
        <v>Thái Bình</v>
      </c>
      <c r="D4200" s="3" t="s">
        <v>306</v>
      </c>
      <c r="E4200" s="4" t="str">
        <f t="shared" si="348"/>
        <v>Huyện Vũ Thư</v>
      </c>
      <c r="F4200" s="3" t="s">
        <v>4963</v>
      </c>
      <c r="G4200" s="4" t="str">
        <f>HYPERLINK("https://diaocthongthai.com/xa-viet-hung-vu-thu/","Xã Việt Hùng")</f>
        <v>Xã Việt Hùng</v>
      </c>
    </row>
    <row r="4201" spans="1:7" x14ac:dyDescent="0.25">
      <c r="A4201" s="2">
        <v>4200</v>
      </c>
      <c r="B4201" s="3" t="s">
        <v>24</v>
      </c>
      <c r="C4201" s="4" t="str">
        <f t="shared" si="346"/>
        <v>Thái Bình</v>
      </c>
      <c r="D4201" s="3" t="s">
        <v>306</v>
      </c>
      <c r="E4201" s="4" t="str">
        <f t="shared" si="348"/>
        <v>Huyện Vũ Thư</v>
      </c>
      <c r="F4201" s="3" t="s">
        <v>4964</v>
      </c>
      <c r="G4201" s="4" t="str">
        <f>HYPERLINK("https://diaocthongthai.com/xa-minh-lang-vu-thu/","Xã Minh Lãng")</f>
        <v>Xã Minh Lãng</v>
      </c>
    </row>
    <row r="4202" spans="1:7" x14ac:dyDescent="0.25">
      <c r="A4202" s="2">
        <v>4201</v>
      </c>
      <c r="B4202" s="3" t="s">
        <v>24</v>
      </c>
      <c r="C4202" s="4" t="str">
        <f t="shared" si="346"/>
        <v>Thái Bình</v>
      </c>
      <c r="D4202" s="3" t="s">
        <v>306</v>
      </c>
      <c r="E4202" s="4" t="str">
        <f t="shared" si="348"/>
        <v>Huyện Vũ Thư</v>
      </c>
      <c r="F4202" s="3" t="s">
        <v>4965</v>
      </c>
      <c r="G4202" s="4" t="str">
        <f>HYPERLINK("https://diaocthongthai.com/xa-minh-khai-vu-thu/","Xã Minh Khai")</f>
        <v>Xã Minh Khai</v>
      </c>
    </row>
    <row r="4203" spans="1:7" x14ac:dyDescent="0.25">
      <c r="A4203" s="2">
        <v>4202</v>
      </c>
      <c r="B4203" s="3" t="s">
        <v>24</v>
      </c>
      <c r="C4203" s="4" t="str">
        <f t="shared" si="346"/>
        <v>Thái Bình</v>
      </c>
      <c r="D4203" s="3" t="s">
        <v>306</v>
      </c>
      <c r="E4203" s="4" t="str">
        <f t="shared" si="348"/>
        <v>Huyện Vũ Thư</v>
      </c>
      <c r="F4203" s="3" t="s">
        <v>4966</v>
      </c>
      <c r="G4203" s="4" t="str">
        <f>HYPERLINK("https://diaocthongthai.com/xa-dung-nghia-vu-thu/","Xã Dũng Nghĩa")</f>
        <v>Xã Dũng Nghĩa</v>
      </c>
    </row>
    <row r="4204" spans="1:7" x14ac:dyDescent="0.25">
      <c r="A4204" s="2">
        <v>4203</v>
      </c>
      <c r="B4204" s="3" t="s">
        <v>24</v>
      </c>
      <c r="C4204" s="4" t="str">
        <f t="shared" si="346"/>
        <v>Thái Bình</v>
      </c>
      <c r="D4204" s="3" t="s">
        <v>306</v>
      </c>
      <c r="E4204" s="4" t="str">
        <f t="shared" si="348"/>
        <v>Huyện Vũ Thư</v>
      </c>
      <c r="F4204" s="3" t="s">
        <v>4967</v>
      </c>
      <c r="G4204" s="4" t="str">
        <f>HYPERLINK("https://diaocthongthai.com/xa-minh-quang-vu-thu/","Xã Minh Quang")</f>
        <v>Xã Minh Quang</v>
      </c>
    </row>
    <row r="4205" spans="1:7" x14ac:dyDescent="0.25">
      <c r="A4205" s="2">
        <v>4204</v>
      </c>
      <c r="B4205" s="3" t="s">
        <v>24</v>
      </c>
      <c r="C4205" s="4" t="str">
        <f t="shared" si="346"/>
        <v>Thái Bình</v>
      </c>
      <c r="D4205" s="3" t="s">
        <v>306</v>
      </c>
      <c r="E4205" s="4" t="str">
        <f t="shared" si="348"/>
        <v>Huyện Vũ Thư</v>
      </c>
      <c r="F4205" s="3" t="s">
        <v>4968</v>
      </c>
      <c r="G4205" s="4" t="str">
        <f>HYPERLINK("https://diaocthongthai.com/xa-tam-quang-vu-thu/","Xã Tam Quang")</f>
        <v>Xã Tam Quang</v>
      </c>
    </row>
    <row r="4206" spans="1:7" x14ac:dyDescent="0.25">
      <c r="A4206" s="2">
        <v>4205</v>
      </c>
      <c r="B4206" s="3" t="s">
        <v>24</v>
      </c>
      <c r="C4206" s="4" t="str">
        <f t="shared" si="346"/>
        <v>Thái Bình</v>
      </c>
      <c r="D4206" s="3" t="s">
        <v>306</v>
      </c>
      <c r="E4206" s="4" t="str">
        <f t="shared" si="348"/>
        <v>Huyện Vũ Thư</v>
      </c>
      <c r="F4206" s="3" t="s">
        <v>4969</v>
      </c>
      <c r="G4206" s="4" t="str">
        <f>HYPERLINK("https://diaocthongthai.com/xa-tan-lap-vu-thu/","Xã Tân Lập")</f>
        <v>Xã Tân Lập</v>
      </c>
    </row>
    <row r="4207" spans="1:7" x14ac:dyDescent="0.25">
      <c r="A4207" s="2">
        <v>4206</v>
      </c>
      <c r="B4207" s="3" t="s">
        <v>24</v>
      </c>
      <c r="C4207" s="4" t="str">
        <f t="shared" si="346"/>
        <v>Thái Bình</v>
      </c>
      <c r="D4207" s="3" t="s">
        <v>306</v>
      </c>
      <c r="E4207" s="4" t="str">
        <f t="shared" si="348"/>
        <v>Huyện Vũ Thư</v>
      </c>
      <c r="F4207" s="3" t="s">
        <v>4970</v>
      </c>
      <c r="G4207" s="4" t="str">
        <f>HYPERLINK("https://diaocthongthai.com/xa-bach-thuan-vu-thu/","Xã Bách Thuận")</f>
        <v>Xã Bách Thuận</v>
      </c>
    </row>
    <row r="4208" spans="1:7" x14ac:dyDescent="0.25">
      <c r="A4208" s="2">
        <v>4207</v>
      </c>
      <c r="B4208" s="3" t="s">
        <v>24</v>
      </c>
      <c r="C4208" s="4" t="str">
        <f t="shared" si="346"/>
        <v>Thái Bình</v>
      </c>
      <c r="D4208" s="3" t="s">
        <v>306</v>
      </c>
      <c r="E4208" s="4" t="str">
        <f t="shared" si="348"/>
        <v>Huyện Vũ Thư</v>
      </c>
      <c r="F4208" s="3" t="s">
        <v>4971</v>
      </c>
      <c r="G4208" s="4" t="str">
        <f>HYPERLINK("https://diaocthongthai.com/xa-tu-tan-vu-thu/","Xã Tự Tân")</f>
        <v>Xã Tự Tân</v>
      </c>
    </row>
    <row r="4209" spans="1:7" x14ac:dyDescent="0.25">
      <c r="A4209" s="2">
        <v>4208</v>
      </c>
      <c r="B4209" s="3" t="s">
        <v>24</v>
      </c>
      <c r="C4209" s="4" t="str">
        <f t="shared" si="346"/>
        <v>Thái Bình</v>
      </c>
      <c r="D4209" s="3" t="s">
        <v>306</v>
      </c>
      <c r="E4209" s="4" t="str">
        <f t="shared" si="348"/>
        <v>Huyện Vũ Thư</v>
      </c>
      <c r="F4209" s="3" t="s">
        <v>4972</v>
      </c>
      <c r="G4209" s="4" t="str">
        <f>HYPERLINK("https://diaocthongthai.com/xa-song-an-vu-thu/","Xã Song An")</f>
        <v>Xã Song An</v>
      </c>
    </row>
    <row r="4210" spans="1:7" x14ac:dyDescent="0.25">
      <c r="A4210" s="2">
        <v>4209</v>
      </c>
      <c r="B4210" s="3" t="s">
        <v>24</v>
      </c>
      <c r="C4210" s="4" t="str">
        <f t="shared" si="346"/>
        <v>Thái Bình</v>
      </c>
      <c r="D4210" s="3" t="s">
        <v>306</v>
      </c>
      <c r="E4210" s="4" t="str">
        <f t="shared" si="348"/>
        <v>Huyện Vũ Thư</v>
      </c>
      <c r="F4210" s="3" t="s">
        <v>4973</v>
      </c>
      <c r="G4210" s="4" t="str">
        <f>HYPERLINK("https://diaocthongthai.com/xa-trung-an-vu-thu/","Xã Trung An")</f>
        <v>Xã Trung An</v>
      </c>
    </row>
    <row r="4211" spans="1:7" x14ac:dyDescent="0.25">
      <c r="A4211" s="2">
        <v>4210</v>
      </c>
      <c r="B4211" s="3" t="s">
        <v>24</v>
      </c>
      <c r="C4211" s="4" t="str">
        <f t="shared" si="346"/>
        <v>Thái Bình</v>
      </c>
      <c r="D4211" s="3" t="s">
        <v>306</v>
      </c>
      <c r="E4211" s="4" t="str">
        <f t="shared" si="348"/>
        <v>Huyện Vũ Thư</v>
      </c>
      <c r="F4211" s="3" t="s">
        <v>4974</v>
      </c>
      <c r="G4211" s="4" t="str">
        <f>HYPERLINK("https://diaocthongthai.com/xa-vu-hoi-vu-thu/","Xã Vũ Hội")</f>
        <v>Xã Vũ Hội</v>
      </c>
    </row>
    <row r="4212" spans="1:7" x14ac:dyDescent="0.25">
      <c r="A4212" s="2">
        <v>4211</v>
      </c>
      <c r="B4212" s="3" t="s">
        <v>24</v>
      </c>
      <c r="C4212" s="4" t="str">
        <f t="shared" si="346"/>
        <v>Thái Bình</v>
      </c>
      <c r="D4212" s="3" t="s">
        <v>306</v>
      </c>
      <c r="E4212" s="4" t="str">
        <f t="shared" si="348"/>
        <v>Huyện Vũ Thư</v>
      </c>
      <c r="F4212" s="3" t="s">
        <v>4975</v>
      </c>
      <c r="G4212" s="4" t="str">
        <f>HYPERLINK("https://diaocthongthai.com/xa-hoa-binh-vu-thu/","Xã Hòa Bình")</f>
        <v>Xã Hòa Bình</v>
      </c>
    </row>
    <row r="4213" spans="1:7" x14ac:dyDescent="0.25">
      <c r="A4213" s="2">
        <v>4212</v>
      </c>
      <c r="B4213" s="3" t="s">
        <v>24</v>
      </c>
      <c r="C4213" s="4" t="str">
        <f t="shared" si="346"/>
        <v>Thái Bình</v>
      </c>
      <c r="D4213" s="3" t="s">
        <v>306</v>
      </c>
      <c r="E4213" s="4" t="str">
        <f t="shared" si="348"/>
        <v>Huyện Vũ Thư</v>
      </c>
      <c r="F4213" s="3" t="s">
        <v>4976</v>
      </c>
      <c r="G4213" s="4" t="str">
        <f>HYPERLINK("https://diaocthongthai.com/xa-nguyen-xa-vu-thu/","Xã Nguyên Xá")</f>
        <v>Xã Nguyên Xá</v>
      </c>
    </row>
    <row r="4214" spans="1:7" x14ac:dyDescent="0.25">
      <c r="A4214" s="2">
        <v>4213</v>
      </c>
      <c r="B4214" s="3" t="s">
        <v>24</v>
      </c>
      <c r="C4214" s="4" t="str">
        <f t="shared" si="346"/>
        <v>Thái Bình</v>
      </c>
      <c r="D4214" s="3" t="s">
        <v>306</v>
      </c>
      <c r="E4214" s="4" t="str">
        <f t="shared" si="348"/>
        <v>Huyện Vũ Thư</v>
      </c>
      <c r="F4214" s="3" t="s">
        <v>4977</v>
      </c>
      <c r="G4214" s="4" t="str">
        <f>HYPERLINK("https://diaocthongthai.com/xa-viet-thuan-vu-thu/","Xã Việt Thuận")</f>
        <v>Xã Việt Thuận</v>
      </c>
    </row>
    <row r="4215" spans="1:7" x14ac:dyDescent="0.25">
      <c r="A4215" s="2">
        <v>4214</v>
      </c>
      <c r="B4215" s="3" t="s">
        <v>24</v>
      </c>
      <c r="C4215" s="4" t="str">
        <f t="shared" si="346"/>
        <v>Thái Bình</v>
      </c>
      <c r="D4215" s="3" t="s">
        <v>306</v>
      </c>
      <c r="E4215" s="4" t="str">
        <f t="shared" si="348"/>
        <v>Huyện Vũ Thư</v>
      </c>
      <c r="F4215" s="3" t="s">
        <v>4978</v>
      </c>
      <c r="G4215" s="4" t="str">
        <f>HYPERLINK("https://diaocthongthai.com/xa-vu-vinh-vu-thu/","Xã Vũ Vinh")</f>
        <v>Xã Vũ Vinh</v>
      </c>
    </row>
    <row r="4216" spans="1:7" x14ac:dyDescent="0.25">
      <c r="A4216" s="2">
        <v>4215</v>
      </c>
      <c r="B4216" s="3" t="s">
        <v>24</v>
      </c>
      <c r="C4216" s="4" t="str">
        <f t="shared" si="346"/>
        <v>Thái Bình</v>
      </c>
      <c r="D4216" s="3" t="s">
        <v>306</v>
      </c>
      <c r="E4216" s="4" t="str">
        <f t="shared" si="348"/>
        <v>Huyện Vũ Thư</v>
      </c>
      <c r="F4216" s="3" t="s">
        <v>4979</v>
      </c>
      <c r="G4216" s="4" t="str">
        <f>HYPERLINK("https://diaocthongthai.com/xa-vu-doai-vu-thu/","Xã Vũ Đoài")</f>
        <v>Xã Vũ Đoài</v>
      </c>
    </row>
    <row r="4217" spans="1:7" x14ac:dyDescent="0.25">
      <c r="A4217" s="2">
        <v>4216</v>
      </c>
      <c r="B4217" s="3" t="s">
        <v>24</v>
      </c>
      <c r="C4217" s="4" t="str">
        <f t="shared" si="346"/>
        <v>Thái Bình</v>
      </c>
      <c r="D4217" s="3" t="s">
        <v>306</v>
      </c>
      <c r="E4217" s="4" t="str">
        <f t="shared" si="348"/>
        <v>Huyện Vũ Thư</v>
      </c>
      <c r="F4217" s="3" t="s">
        <v>4980</v>
      </c>
      <c r="G4217" s="4" t="str">
        <f>HYPERLINK("https://diaocthongthai.com/xa-vu-tien-vu-thu/","Xã Vũ Tiến")</f>
        <v>Xã Vũ Tiến</v>
      </c>
    </row>
    <row r="4218" spans="1:7" x14ac:dyDescent="0.25">
      <c r="A4218" s="2">
        <v>4217</v>
      </c>
      <c r="B4218" s="3" t="s">
        <v>24</v>
      </c>
      <c r="C4218" s="4" t="str">
        <f t="shared" si="346"/>
        <v>Thái Bình</v>
      </c>
      <c r="D4218" s="3" t="s">
        <v>306</v>
      </c>
      <c r="E4218" s="4" t="str">
        <f t="shared" si="348"/>
        <v>Huyện Vũ Thư</v>
      </c>
      <c r="F4218" s="3" t="s">
        <v>4981</v>
      </c>
      <c r="G4218" s="4" t="str">
        <f>HYPERLINK("https://diaocthongthai.com/xa-vu-van-vu-thu/","Xã Vũ Vân")</f>
        <v>Xã Vũ Vân</v>
      </c>
    </row>
    <row r="4219" spans="1:7" x14ac:dyDescent="0.25">
      <c r="A4219" s="2">
        <v>4218</v>
      </c>
      <c r="B4219" s="3" t="s">
        <v>24</v>
      </c>
      <c r="C4219" s="4" t="str">
        <f t="shared" si="346"/>
        <v>Thái Bình</v>
      </c>
      <c r="D4219" s="3" t="s">
        <v>306</v>
      </c>
      <c r="E4219" s="4" t="str">
        <f t="shared" si="348"/>
        <v>Huyện Vũ Thư</v>
      </c>
      <c r="F4219" s="3" t="s">
        <v>4982</v>
      </c>
      <c r="G4219" s="4" t="str">
        <f>HYPERLINK("https://diaocthongthai.com/xa-duy-nhat-vu-thu/","Xã Duy Nhất")</f>
        <v>Xã Duy Nhất</v>
      </c>
    </row>
    <row r="4220" spans="1:7" x14ac:dyDescent="0.25">
      <c r="A4220" s="2">
        <v>4219</v>
      </c>
      <c r="B4220" s="3" t="s">
        <v>24</v>
      </c>
      <c r="C4220" s="4" t="str">
        <f t="shared" si="346"/>
        <v>Thái Bình</v>
      </c>
      <c r="D4220" s="3" t="s">
        <v>306</v>
      </c>
      <c r="E4220" s="4" t="str">
        <f t="shared" si="348"/>
        <v>Huyện Vũ Thư</v>
      </c>
      <c r="F4220" s="3" t="s">
        <v>4983</v>
      </c>
      <c r="G4220" s="4" t="str">
        <f>HYPERLINK("https://diaocthongthai.com/xa-hong-phong-vu-thu/","Xã Hồng Phong")</f>
        <v>Xã Hồng Phong</v>
      </c>
    </row>
    <row r="4221" spans="1:7" x14ac:dyDescent="0.25">
      <c r="A4221" s="2">
        <v>4220</v>
      </c>
      <c r="B4221" s="3" t="s">
        <v>25</v>
      </c>
      <c r="C4221" s="4" t="str">
        <f t="shared" ref="C4221:C4252" si="349">HYPERLINK("https://diaocthongthai.com/ban-do-ha-nam/","Hà Nam")</f>
        <v>Hà Nam</v>
      </c>
      <c r="D4221" s="3" t="s">
        <v>307</v>
      </c>
      <c r="E4221" s="4" t="str">
        <f t="shared" ref="E4221:E4241" si="350">HYPERLINK("https://diaocthongthai.com/ban-do-tp-phu-ly-ha-nam/","Thành phố Phủ Lý")</f>
        <v>Thành phố Phủ Lý</v>
      </c>
      <c r="F4221" s="3" t="s">
        <v>4984</v>
      </c>
      <c r="G4221" s="4" t="str">
        <f>HYPERLINK("https://diaocthongthai.com/phuong-quang-trung-tp-phu-ly/","Phường Quang Trung")</f>
        <v>Phường Quang Trung</v>
      </c>
    </row>
    <row r="4222" spans="1:7" x14ac:dyDescent="0.25">
      <c r="A4222" s="2">
        <v>4221</v>
      </c>
      <c r="B4222" s="3" t="s">
        <v>25</v>
      </c>
      <c r="C4222" s="4" t="str">
        <f t="shared" si="349"/>
        <v>Hà Nam</v>
      </c>
      <c r="D4222" s="3" t="s">
        <v>307</v>
      </c>
      <c r="E4222" s="4" t="str">
        <f t="shared" si="350"/>
        <v>Thành phố Phủ Lý</v>
      </c>
      <c r="F4222" s="3" t="s">
        <v>4985</v>
      </c>
      <c r="G4222" s="4" t="str">
        <f>HYPERLINK("https://diaocthongthai.com/phuong-luong-khanh-thien-tp-phu-ly/","Phường Lương Khánh Thiện")</f>
        <v>Phường Lương Khánh Thiện</v>
      </c>
    </row>
    <row r="4223" spans="1:7" x14ac:dyDescent="0.25">
      <c r="A4223" s="2">
        <v>4222</v>
      </c>
      <c r="B4223" s="3" t="s">
        <v>25</v>
      </c>
      <c r="C4223" s="4" t="str">
        <f t="shared" si="349"/>
        <v>Hà Nam</v>
      </c>
      <c r="D4223" s="3" t="s">
        <v>307</v>
      </c>
      <c r="E4223" s="4" t="str">
        <f t="shared" si="350"/>
        <v>Thành phố Phủ Lý</v>
      </c>
      <c r="F4223" s="3" t="s">
        <v>4986</v>
      </c>
      <c r="G4223" s="4" t="str">
        <f>HYPERLINK("https://diaocthongthai.com/phuong-le-hong-phong-tp-phu-ly/","Phường Lê Hồng Phong")</f>
        <v>Phường Lê Hồng Phong</v>
      </c>
    </row>
    <row r="4224" spans="1:7" x14ac:dyDescent="0.25">
      <c r="A4224" s="2">
        <v>4223</v>
      </c>
      <c r="B4224" s="3" t="s">
        <v>25</v>
      </c>
      <c r="C4224" s="4" t="str">
        <f t="shared" si="349"/>
        <v>Hà Nam</v>
      </c>
      <c r="D4224" s="3" t="s">
        <v>307</v>
      </c>
      <c r="E4224" s="4" t="str">
        <f t="shared" si="350"/>
        <v>Thành phố Phủ Lý</v>
      </c>
      <c r="F4224" s="3" t="s">
        <v>4987</v>
      </c>
      <c r="G4224" s="4" t="str">
        <f>HYPERLINK("https://diaocthongthai.com/phuong-minh-khai-tp-phu-ly/","Phường Minh Khai")</f>
        <v>Phường Minh Khai</v>
      </c>
    </row>
    <row r="4225" spans="1:7" x14ac:dyDescent="0.25">
      <c r="A4225" s="2">
        <v>4224</v>
      </c>
      <c r="B4225" s="3" t="s">
        <v>25</v>
      </c>
      <c r="C4225" s="4" t="str">
        <f t="shared" si="349"/>
        <v>Hà Nam</v>
      </c>
      <c r="D4225" s="3" t="s">
        <v>307</v>
      </c>
      <c r="E4225" s="4" t="str">
        <f t="shared" si="350"/>
        <v>Thành phố Phủ Lý</v>
      </c>
      <c r="F4225" s="3" t="s">
        <v>4988</v>
      </c>
      <c r="G4225" s="4" t="str">
        <f>HYPERLINK("https://diaocthongthai.com/phuong-hai-ba-trung-tp-phu-ly/","Phường Hai Bà Trưng")</f>
        <v>Phường Hai Bà Trưng</v>
      </c>
    </row>
    <row r="4226" spans="1:7" x14ac:dyDescent="0.25">
      <c r="A4226" s="2">
        <v>4225</v>
      </c>
      <c r="B4226" s="3" t="s">
        <v>25</v>
      </c>
      <c r="C4226" s="4" t="str">
        <f t="shared" si="349"/>
        <v>Hà Nam</v>
      </c>
      <c r="D4226" s="3" t="s">
        <v>307</v>
      </c>
      <c r="E4226" s="4" t="str">
        <f t="shared" si="350"/>
        <v>Thành phố Phủ Lý</v>
      </c>
      <c r="F4226" s="3" t="s">
        <v>4989</v>
      </c>
      <c r="G4226" s="4" t="str">
        <f>HYPERLINK("https://diaocthongthai.com/phuong-tran-hung-dao-tp-phu-ly/","Phường Trần Hưng Đạo")</f>
        <v>Phường Trần Hưng Đạo</v>
      </c>
    </row>
    <row r="4227" spans="1:7" x14ac:dyDescent="0.25">
      <c r="A4227" s="2">
        <v>4226</v>
      </c>
      <c r="B4227" s="3" t="s">
        <v>25</v>
      </c>
      <c r="C4227" s="4" t="str">
        <f t="shared" si="349"/>
        <v>Hà Nam</v>
      </c>
      <c r="D4227" s="3" t="s">
        <v>307</v>
      </c>
      <c r="E4227" s="4" t="str">
        <f t="shared" si="350"/>
        <v>Thành phố Phủ Lý</v>
      </c>
      <c r="F4227" s="3" t="s">
        <v>4990</v>
      </c>
      <c r="G4227" s="4" t="str">
        <f>HYPERLINK("https://diaocthongthai.com/phuong-lam-ha-tp-phu-ly/","Phường Lam Hạ")</f>
        <v>Phường Lam Hạ</v>
      </c>
    </row>
    <row r="4228" spans="1:7" x14ac:dyDescent="0.25">
      <c r="A4228" s="2">
        <v>4227</v>
      </c>
      <c r="B4228" s="3" t="s">
        <v>25</v>
      </c>
      <c r="C4228" s="4" t="str">
        <f t="shared" si="349"/>
        <v>Hà Nam</v>
      </c>
      <c r="D4228" s="3" t="s">
        <v>307</v>
      </c>
      <c r="E4228" s="4" t="str">
        <f t="shared" si="350"/>
        <v>Thành phố Phủ Lý</v>
      </c>
      <c r="F4228" s="3" t="s">
        <v>4991</v>
      </c>
      <c r="G4228" s="4" t="str">
        <f>HYPERLINK("https://diaocthongthai.com/xa-phu-van-tp-phu-ly/","Xã Phù Vân")</f>
        <v>Xã Phù Vân</v>
      </c>
    </row>
    <row r="4229" spans="1:7" x14ac:dyDescent="0.25">
      <c r="A4229" s="2">
        <v>4228</v>
      </c>
      <c r="B4229" s="3" t="s">
        <v>25</v>
      </c>
      <c r="C4229" s="4" t="str">
        <f t="shared" si="349"/>
        <v>Hà Nam</v>
      </c>
      <c r="D4229" s="3" t="s">
        <v>307</v>
      </c>
      <c r="E4229" s="4" t="str">
        <f t="shared" si="350"/>
        <v>Thành phố Phủ Lý</v>
      </c>
      <c r="F4229" s="3" t="s">
        <v>4992</v>
      </c>
      <c r="G4229" s="4" t="str">
        <f>HYPERLINK("https://diaocthongthai.com/phuong-liem-chinh-tp-phu-ly/","Phường Liêm Chính")</f>
        <v>Phường Liêm Chính</v>
      </c>
    </row>
    <row r="4230" spans="1:7" x14ac:dyDescent="0.25">
      <c r="A4230" s="2">
        <v>4229</v>
      </c>
      <c r="B4230" s="3" t="s">
        <v>25</v>
      </c>
      <c r="C4230" s="4" t="str">
        <f t="shared" si="349"/>
        <v>Hà Nam</v>
      </c>
      <c r="D4230" s="3" t="s">
        <v>307</v>
      </c>
      <c r="E4230" s="4" t="str">
        <f t="shared" si="350"/>
        <v>Thành phố Phủ Lý</v>
      </c>
      <c r="F4230" s="3" t="s">
        <v>4993</v>
      </c>
      <c r="G4230" s="4" t="str">
        <f>HYPERLINK("https://diaocthongthai.com/xa-liem-chung-tp-phu-ly/","Xã Liêm Chung")</f>
        <v>Xã Liêm Chung</v>
      </c>
    </row>
    <row r="4231" spans="1:7" x14ac:dyDescent="0.25">
      <c r="A4231" s="2">
        <v>4230</v>
      </c>
      <c r="B4231" s="3" t="s">
        <v>25</v>
      </c>
      <c r="C4231" s="4" t="str">
        <f t="shared" si="349"/>
        <v>Hà Nam</v>
      </c>
      <c r="D4231" s="3" t="s">
        <v>307</v>
      </c>
      <c r="E4231" s="4" t="str">
        <f t="shared" si="350"/>
        <v>Thành phố Phủ Lý</v>
      </c>
      <c r="F4231" s="3" t="s">
        <v>4994</v>
      </c>
      <c r="G4231" s="4" t="str">
        <f>HYPERLINK("https://diaocthongthai.com/phuong-thanh-chau-tp-phu-ly/","Phường Thanh Châu")</f>
        <v>Phường Thanh Châu</v>
      </c>
    </row>
    <row r="4232" spans="1:7" x14ac:dyDescent="0.25">
      <c r="A4232" s="2">
        <v>4231</v>
      </c>
      <c r="B4232" s="3" t="s">
        <v>25</v>
      </c>
      <c r="C4232" s="4" t="str">
        <f t="shared" si="349"/>
        <v>Hà Nam</v>
      </c>
      <c r="D4232" s="3" t="s">
        <v>307</v>
      </c>
      <c r="E4232" s="4" t="str">
        <f t="shared" si="350"/>
        <v>Thành phố Phủ Lý</v>
      </c>
      <c r="F4232" s="3" t="s">
        <v>4995</v>
      </c>
      <c r="G4232" s="4" t="str">
        <f>HYPERLINK("https://diaocthongthai.com/phuong-chau-son-tp-phu-ly/","Phường Châu Sơn")</f>
        <v>Phường Châu Sơn</v>
      </c>
    </row>
    <row r="4233" spans="1:7" x14ac:dyDescent="0.25">
      <c r="A4233" s="2">
        <v>4232</v>
      </c>
      <c r="B4233" s="3" t="s">
        <v>25</v>
      </c>
      <c r="C4233" s="4" t="str">
        <f t="shared" si="349"/>
        <v>Hà Nam</v>
      </c>
      <c r="D4233" s="3" t="s">
        <v>307</v>
      </c>
      <c r="E4233" s="4" t="str">
        <f t="shared" si="350"/>
        <v>Thành phố Phủ Lý</v>
      </c>
      <c r="F4233" s="3" t="s">
        <v>4996</v>
      </c>
      <c r="G4233" s="4" t="str">
        <f>HYPERLINK("https://diaocthongthai.com/xa-tien-tan-tp-phu-ly/","Xã Tiên Tân")</f>
        <v>Xã Tiên Tân</v>
      </c>
    </row>
    <row r="4234" spans="1:7" x14ac:dyDescent="0.25">
      <c r="A4234" s="2">
        <v>4233</v>
      </c>
      <c r="B4234" s="3" t="s">
        <v>25</v>
      </c>
      <c r="C4234" s="4" t="str">
        <f t="shared" si="349"/>
        <v>Hà Nam</v>
      </c>
      <c r="D4234" s="3" t="s">
        <v>307</v>
      </c>
      <c r="E4234" s="4" t="str">
        <f t="shared" si="350"/>
        <v>Thành phố Phủ Lý</v>
      </c>
      <c r="F4234" s="3" t="s">
        <v>4997</v>
      </c>
      <c r="G4234" s="4" t="str">
        <f>HYPERLINK("https://diaocthongthai.com/xa-tien-hiep-tp-phu-ly/","Xã Tiên Hiệp")</f>
        <v>Xã Tiên Hiệp</v>
      </c>
    </row>
    <row r="4235" spans="1:7" x14ac:dyDescent="0.25">
      <c r="A4235" s="2">
        <v>4234</v>
      </c>
      <c r="B4235" s="3" t="s">
        <v>25</v>
      </c>
      <c r="C4235" s="4" t="str">
        <f t="shared" si="349"/>
        <v>Hà Nam</v>
      </c>
      <c r="D4235" s="3" t="s">
        <v>307</v>
      </c>
      <c r="E4235" s="4" t="str">
        <f t="shared" si="350"/>
        <v>Thành phố Phủ Lý</v>
      </c>
      <c r="F4235" s="3" t="s">
        <v>4998</v>
      </c>
      <c r="G4235" s="4" t="str">
        <f>HYPERLINK("https://diaocthongthai.com/xa-tien-hai-tp-phu-ly/","Xã Tiên Hải")</f>
        <v>Xã Tiên Hải</v>
      </c>
    </row>
    <row r="4236" spans="1:7" x14ac:dyDescent="0.25">
      <c r="A4236" s="2">
        <v>4235</v>
      </c>
      <c r="B4236" s="3" t="s">
        <v>25</v>
      </c>
      <c r="C4236" s="4" t="str">
        <f t="shared" si="349"/>
        <v>Hà Nam</v>
      </c>
      <c r="D4236" s="3" t="s">
        <v>307</v>
      </c>
      <c r="E4236" s="4" t="str">
        <f t="shared" si="350"/>
        <v>Thành phố Phủ Lý</v>
      </c>
      <c r="F4236" s="3" t="s">
        <v>4999</v>
      </c>
      <c r="G4236" s="4" t="str">
        <f>HYPERLINK("https://diaocthongthai.com/xa-kim-binh-tp-phu-ly/","Xã Kim Bình")</f>
        <v>Xã Kim Bình</v>
      </c>
    </row>
    <row r="4237" spans="1:7" x14ac:dyDescent="0.25">
      <c r="A4237" s="2">
        <v>4236</v>
      </c>
      <c r="B4237" s="3" t="s">
        <v>25</v>
      </c>
      <c r="C4237" s="4" t="str">
        <f t="shared" si="349"/>
        <v>Hà Nam</v>
      </c>
      <c r="D4237" s="3" t="s">
        <v>307</v>
      </c>
      <c r="E4237" s="4" t="str">
        <f t="shared" si="350"/>
        <v>Thành phố Phủ Lý</v>
      </c>
      <c r="F4237" s="3" t="s">
        <v>5000</v>
      </c>
      <c r="G4237" s="4" t="str">
        <f>HYPERLINK("https://diaocthongthai.com/xa-liem-tuyen-tp-phu-ly/","Xã Liêm Tuyền")</f>
        <v>Xã Liêm Tuyền</v>
      </c>
    </row>
    <row r="4238" spans="1:7" x14ac:dyDescent="0.25">
      <c r="A4238" s="2">
        <v>4237</v>
      </c>
      <c r="B4238" s="3" t="s">
        <v>25</v>
      </c>
      <c r="C4238" s="4" t="str">
        <f t="shared" si="349"/>
        <v>Hà Nam</v>
      </c>
      <c r="D4238" s="3" t="s">
        <v>307</v>
      </c>
      <c r="E4238" s="4" t="str">
        <f t="shared" si="350"/>
        <v>Thành phố Phủ Lý</v>
      </c>
      <c r="F4238" s="3" t="s">
        <v>5001</v>
      </c>
      <c r="G4238" s="4" t="str">
        <f>HYPERLINK("https://diaocthongthai.com/xa-liem-tiet-tp-phu-ly/","Xã Liêm Tiết")</f>
        <v>Xã Liêm Tiết</v>
      </c>
    </row>
    <row r="4239" spans="1:7" x14ac:dyDescent="0.25">
      <c r="A4239" s="2">
        <v>4238</v>
      </c>
      <c r="B4239" s="3" t="s">
        <v>25</v>
      </c>
      <c r="C4239" s="4" t="str">
        <f t="shared" si="349"/>
        <v>Hà Nam</v>
      </c>
      <c r="D4239" s="3" t="s">
        <v>307</v>
      </c>
      <c r="E4239" s="4" t="str">
        <f t="shared" si="350"/>
        <v>Thành phố Phủ Lý</v>
      </c>
      <c r="F4239" s="3" t="s">
        <v>5002</v>
      </c>
      <c r="G4239" s="4" t="str">
        <f>HYPERLINK("https://diaocthongthai.com/phuong-thanh-tuyen-tp-phu-ly/","Phường Thanh Tuyền")</f>
        <v>Phường Thanh Tuyền</v>
      </c>
    </row>
    <row r="4240" spans="1:7" x14ac:dyDescent="0.25">
      <c r="A4240" s="2">
        <v>4239</v>
      </c>
      <c r="B4240" s="3" t="s">
        <v>25</v>
      </c>
      <c r="C4240" s="4" t="str">
        <f t="shared" si="349"/>
        <v>Hà Nam</v>
      </c>
      <c r="D4240" s="3" t="s">
        <v>307</v>
      </c>
      <c r="E4240" s="4" t="str">
        <f t="shared" si="350"/>
        <v>Thành phố Phủ Lý</v>
      </c>
      <c r="F4240" s="3" t="s">
        <v>5003</v>
      </c>
      <c r="G4240" s="4" t="str">
        <f>HYPERLINK("https://diaocthongthai.com/xa-dinh-xa-tp-phu-ly/","Xã Đinh Xá")</f>
        <v>Xã Đinh Xá</v>
      </c>
    </row>
    <row r="4241" spans="1:7" x14ac:dyDescent="0.25">
      <c r="A4241" s="2">
        <v>4240</v>
      </c>
      <c r="B4241" s="3" t="s">
        <v>25</v>
      </c>
      <c r="C4241" s="4" t="str">
        <f t="shared" si="349"/>
        <v>Hà Nam</v>
      </c>
      <c r="D4241" s="3" t="s">
        <v>307</v>
      </c>
      <c r="E4241" s="4" t="str">
        <f t="shared" si="350"/>
        <v>Thành phố Phủ Lý</v>
      </c>
      <c r="F4241" s="3" t="s">
        <v>5004</v>
      </c>
      <c r="G4241" s="4" t="str">
        <f>HYPERLINK("https://diaocthongthai.com/xa-trinh-xa-tp-phu-ly/","Xã Trịnh Xá")</f>
        <v>Xã Trịnh Xá</v>
      </c>
    </row>
    <row r="4242" spans="1:7" x14ac:dyDescent="0.25">
      <c r="A4242" s="2">
        <v>4241</v>
      </c>
      <c r="B4242" s="3" t="s">
        <v>25</v>
      </c>
      <c r="C4242" s="4" t="str">
        <f t="shared" si="349"/>
        <v>Hà Nam</v>
      </c>
      <c r="D4242" s="3" t="s">
        <v>308</v>
      </c>
      <c r="E4242" s="4" t="str">
        <f t="shared" ref="E4242:E4257" si="351">HYPERLINK("https://diaocthongthai.com/ban-do-huyen-duy-tien-ha-nam/","Thị xã Duy Tiên")</f>
        <v>Thị xã Duy Tiên</v>
      </c>
      <c r="F4242" s="3" t="s">
        <v>5005</v>
      </c>
      <c r="G4242" s="4" t="str">
        <f>HYPERLINK("https://diaocthongthai.com/phuong-dong-van-duy-tien/","Phường Đồng Văn")</f>
        <v>Phường Đồng Văn</v>
      </c>
    </row>
    <row r="4243" spans="1:7" x14ac:dyDescent="0.25">
      <c r="A4243" s="2">
        <v>4242</v>
      </c>
      <c r="B4243" s="3" t="s">
        <v>25</v>
      </c>
      <c r="C4243" s="4" t="str">
        <f t="shared" si="349"/>
        <v>Hà Nam</v>
      </c>
      <c r="D4243" s="3" t="s">
        <v>308</v>
      </c>
      <c r="E4243" s="4" t="str">
        <f t="shared" si="351"/>
        <v>Thị xã Duy Tiên</v>
      </c>
      <c r="F4243" s="3" t="s">
        <v>5006</v>
      </c>
      <c r="G4243" s="4" t="str">
        <f>HYPERLINK("https://diaocthongthai.com/phuong-hoa-mac-duy-tien/","Phường Hòa Mạc")</f>
        <v>Phường Hòa Mạc</v>
      </c>
    </row>
    <row r="4244" spans="1:7" x14ac:dyDescent="0.25">
      <c r="A4244" s="2">
        <v>4243</v>
      </c>
      <c r="B4244" s="3" t="s">
        <v>25</v>
      </c>
      <c r="C4244" s="4" t="str">
        <f t="shared" si="349"/>
        <v>Hà Nam</v>
      </c>
      <c r="D4244" s="3" t="s">
        <v>308</v>
      </c>
      <c r="E4244" s="4" t="str">
        <f t="shared" si="351"/>
        <v>Thị xã Duy Tiên</v>
      </c>
      <c r="F4244" s="3" t="s">
        <v>5007</v>
      </c>
      <c r="G4244" s="4" t="str">
        <f>HYPERLINK("https://diaocthongthai.com/xa-moc-bac-duy-tien/","Xã Mộc Bắc")</f>
        <v>Xã Mộc Bắc</v>
      </c>
    </row>
    <row r="4245" spans="1:7" x14ac:dyDescent="0.25">
      <c r="A4245" s="2">
        <v>4244</v>
      </c>
      <c r="B4245" s="3" t="s">
        <v>25</v>
      </c>
      <c r="C4245" s="4" t="str">
        <f t="shared" si="349"/>
        <v>Hà Nam</v>
      </c>
      <c r="D4245" s="3" t="s">
        <v>308</v>
      </c>
      <c r="E4245" s="4" t="str">
        <f t="shared" si="351"/>
        <v>Thị xã Duy Tiên</v>
      </c>
      <c r="F4245" s="3" t="s">
        <v>5008</v>
      </c>
      <c r="G4245" s="4" t="str">
        <f>HYPERLINK("https://diaocthongthai.com/phuong-chau-giang-duy-tien/","Phường Châu Giang")</f>
        <v>Phường Châu Giang</v>
      </c>
    </row>
    <row r="4246" spans="1:7" x14ac:dyDescent="0.25">
      <c r="A4246" s="2">
        <v>4245</v>
      </c>
      <c r="B4246" s="3" t="s">
        <v>25</v>
      </c>
      <c r="C4246" s="4" t="str">
        <f t="shared" si="349"/>
        <v>Hà Nam</v>
      </c>
      <c r="D4246" s="3" t="s">
        <v>308</v>
      </c>
      <c r="E4246" s="4" t="str">
        <f t="shared" si="351"/>
        <v>Thị xã Duy Tiên</v>
      </c>
      <c r="F4246" s="3" t="s">
        <v>5009</v>
      </c>
      <c r="G4246" s="4" t="str">
        <f>HYPERLINK("https://diaocthongthai.com/phuong-bach-thuong-duy-tien/","Phường Bạch Thượng")</f>
        <v>Phường Bạch Thượng</v>
      </c>
    </row>
    <row r="4247" spans="1:7" x14ac:dyDescent="0.25">
      <c r="A4247" s="2">
        <v>4246</v>
      </c>
      <c r="B4247" s="3" t="s">
        <v>25</v>
      </c>
      <c r="C4247" s="4" t="str">
        <f t="shared" si="349"/>
        <v>Hà Nam</v>
      </c>
      <c r="D4247" s="3" t="s">
        <v>308</v>
      </c>
      <c r="E4247" s="4" t="str">
        <f t="shared" si="351"/>
        <v>Thị xã Duy Tiên</v>
      </c>
      <c r="F4247" s="3" t="s">
        <v>5010</v>
      </c>
      <c r="G4247" s="4" t="str">
        <f>HYPERLINK("https://diaocthongthai.com/phuong-duy-minh-duy-tien/","Phường Duy Minh")</f>
        <v>Phường Duy Minh</v>
      </c>
    </row>
    <row r="4248" spans="1:7" x14ac:dyDescent="0.25">
      <c r="A4248" s="2">
        <v>4247</v>
      </c>
      <c r="B4248" s="3" t="s">
        <v>25</v>
      </c>
      <c r="C4248" s="4" t="str">
        <f t="shared" si="349"/>
        <v>Hà Nam</v>
      </c>
      <c r="D4248" s="3" t="s">
        <v>308</v>
      </c>
      <c r="E4248" s="4" t="str">
        <f t="shared" si="351"/>
        <v>Thị xã Duy Tiên</v>
      </c>
      <c r="F4248" s="3" t="s">
        <v>5011</v>
      </c>
      <c r="G4248" s="4" t="str">
        <f>HYPERLINK("https://diaocthongthai.com/xa-moc-nam-duy-tien/","Xã Mộc Nam")</f>
        <v>Xã Mộc Nam</v>
      </c>
    </row>
    <row r="4249" spans="1:7" x14ac:dyDescent="0.25">
      <c r="A4249" s="2">
        <v>4248</v>
      </c>
      <c r="B4249" s="3" t="s">
        <v>25</v>
      </c>
      <c r="C4249" s="4" t="str">
        <f t="shared" si="349"/>
        <v>Hà Nam</v>
      </c>
      <c r="D4249" s="3" t="s">
        <v>308</v>
      </c>
      <c r="E4249" s="4" t="str">
        <f t="shared" si="351"/>
        <v>Thị xã Duy Tiên</v>
      </c>
      <c r="F4249" s="3" t="s">
        <v>5012</v>
      </c>
      <c r="G4249" s="4" t="str">
        <f>HYPERLINK("https://diaocthongthai.com/phuong-duy-hai-duy-tien/","Phường Duy Hải")</f>
        <v>Phường Duy Hải</v>
      </c>
    </row>
    <row r="4250" spans="1:7" x14ac:dyDescent="0.25">
      <c r="A4250" s="2">
        <v>4249</v>
      </c>
      <c r="B4250" s="3" t="s">
        <v>25</v>
      </c>
      <c r="C4250" s="4" t="str">
        <f t="shared" si="349"/>
        <v>Hà Nam</v>
      </c>
      <c r="D4250" s="3" t="s">
        <v>308</v>
      </c>
      <c r="E4250" s="4" t="str">
        <f t="shared" si="351"/>
        <v>Thị xã Duy Tiên</v>
      </c>
      <c r="F4250" s="3" t="s">
        <v>5013</v>
      </c>
      <c r="G4250" s="4" t="str">
        <f>HYPERLINK("https://diaocthongthai.com/xa-chuyen-ngoai-duy-tien/","Xã Chuyên Ngoại")</f>
        <v>Xã Chuyên Ngoại</v>
      </c>
    </row>
    <row r="4251" spans="1:7" x14ac:dyDescent="0.25">
      <c r="A4251" s="2">
        <v>4250</v>
      </c>
      <c r="B4251" s="3" t="s">
        <v>25</v>
      </c>
      <c r="C4251" s="4" t="str">
        <f t="shared" si="349"/>
        <v>Hà Nam</v>
      </c>
      <c r="D4251" s="3" t="s">
        <v>308</v>
      </c>
      <c r="E4251" s="4" t="str">
        <f t="shared" si="351"/>
        <v>Thị xã Duy Tiên</v>
      </c>
      <c r="F4251" s="3" t="s">
        <v>5014</v>
      </c>
      <c r="G4251" s="4" t="str">
        <f>HYPERLINK("https://diaocthongthai.com/phuong-yen-bac-duy-tien/","Phường Yên Bắc")</f>
        <v>Phường Yên Bắc</v>
      </c>
    </row>
    <row r="4252" spans="1:7" x14ac:dyDescent="0.25">
      <c r="A4252" s="2">
        <v>4251</v>
      </c>
      <c r="B4252" s="3" t="s">
        <v>25</v>
      </c>
      <c r="C4252" s="4" t="str">
        <f t="shared" si="349"/>
        <v>Hà Nam</v>
      </c>
      <c r="D4252" s="3" t="s">
        <v>308</v>
      </c>
      <c r="E4252" s="4" t="str">
        <f t="shared" si="351"/>
        <v>Thị xã Duy Tiên</v>
      </c>
      <c r="F4252" s="3" t="s">
        <v>5015</v>
      </c>
      <c r="G4252" s="4" t="str">
        <f>HYPERLINK("https://diaocthongthai.com/xa-trac-van-duy-tien/","Xã Trác Văn")</f>
        <v>Xã Trác Văn</v>
      </c>
    </row>
    <row r="4253" spans="1:7" x14ac:dyDescent="0.25">
      <c r="A4253" s="2">
        <v>4252</v>
      </c>
      <c r="B4253" s="3" t="s">
        <v>25</v>
      </c>
      <c r="C4253" s="4" t="str">
        <f t="shared" ref="C4253:C4284" si="352">HYPERLINK("https://diaocthongthai.com/ban-do-ha-nam/","Hà Nam")</f>
        <v>Hà Nam</v>
      </c>
      <c r="D4253" s="3" t="s">
        <v>308</v>
      </c>
      <c r="E4253" s="4" t="str">
        <f t="shared" si="351"/>
        <v>Thị xã Duy Tiên</v>
      </c>
      <c r="F4253" s="3" t="s">
        <v>5016</v>
      </c>
      <c r="G4253" s="4" t="str">
        <f>HYPERLINK("https://diaocthongthai.com/phuong-tien-noi-duy-tien/","Phường Tiên Nội")</f>
        <v>Phường Tiên Nội</v>
      </c>
    </row>
    <row r="4254" spans="1:7" x14ac:dyDescent="0.25">
      <c r="A4254" s="2">
        <v>4253</v>
      </c>
      <c r="B4254" s="3" t="s">
        <v>25</v>
      </c>
      <c r="C4254" s="4" t="str">
        <f t="shared" si="352"/>
        <v>Hà Nam</v>
      </c>
      <c r="D4254" s="3" t="s">
        <v>308</v>
      </c>
      <c r="E4254" s="4" t="str">
        <f t="shared" si="351"/>
        <v>Thị xã Duy Tiên</v>
      </c>
      <c r="F4254" s="3" t="s">
        <v>5017</v>
      </c>
      <c r="G4254" s="4" t="str">
        <f>HYPERLINK("https://diaocthongthai.com/phuong-hoang-dong-duy-tien/","Phường Hoàng Đông")</f>
        <v>Phường Hoàng Đông</v>
      </c>
    </row>
    <row r="4255" spans="1:7" x14ac:dyDescent="0.25">
      <c r="A4255" s="2">
        <v>4254</v>
      </c>
      <c r="B4255" s="3" t="s">
        <v>25</v>
      </c>
      <c r="C4255" s="4" t="str">
        <f t="shared" si="352"/>
        <v>Hà Nam</v>
      </c>
      <c r="D4255" s="3" t="s">
        <v>308</v>
      </c>
      <c r="E4255" s="4" t="str">
        <f t="shared" si="351"/>
        <v>Thị xã Duy Tiên</v>
      </c>
      <c r="F4255" s="3" t="s">
        <v>5018</v>
      </c>
      <c r="G4255" s="4" t="str">
        <f>HYPERLINK("https://diaocthongthai.com/xa-yen-nam-duy-tien/","Xã Yên Nam")</f>
        <v>Xã Yên Nam</v>
      </c>
    </row>
    <row r="4256" spans="1:7" x14ac:dyDescent="0.25">
      <c r="A4256" s="2">
        <v>4255</v>
      </c>
      <c r="B4256" s="3" t="s">
        <v>25</v>
      </c>
      <c r="C4256" s="4" t="str">
        <f t="shared" si="352"/>
        <v>Hà Nam</v>
      </c>
      <c r="D4256" s="3" t="s">
        <v>308</v>
      </c>
      <c r="E4256" s="4" t="str">
        <f t="shared" si="351"/>
        <v>Thị xã Duy Tiên</v>
      </c>
      <c r="F4256" s="3" t="s">
        <v>5019</v>
      </c>
      <c r="G4256" s="4" t="str">
        <f>HYPERLINK("https://diaocthongthai.com/xa-tien-ngoai-duy-tien/","Xã Tiên Ngoại")</f>
        <v>Xã Tiên Ngoại</v>
      </c>
    </row>
    <row r="4257" spans="1:7" x14ac:dyDescent="0.25">
      <c r="A4257" s="2">
        <v>4256</v>
      </c>
      <c r="B4257" s="3" t="s">
        <v>25</v>
      </c>
      <c r="C4257" s="4" t="str">
        <f t="shared" si="352"/>
        <v>Hà Nam</v>
      </c>
      <c r="D4257" s="3" t="s">
        <v>308</v>
      </c>
      <c r="E4257" s="4" t="str">
        <f t="shared" si="351"/>
        <v>Thị xã Duy Tiên</v>
      </c>
      <c r="F4257" s="3" t="s">
        <v>5020</v>
      </c>
      <c r="G4257" s="4" t="str">
        <f>HYPERLINK("https://diaocthongthai.com/xa-tien-son-duy-tien/","Xã Tiên Sơn")</f>
        <v>Xã Tiên Sơn</v>
      </c>
    </row>
    <row r="4258" spans="1:7" x14ac:dyDescent="0.25">
      <c r="A4258" s="2">
        <v>4257</v>
      </c>
      <c r="B4258" s="3" t="s">
        <v>25</v>
      </c>
      <c r="C4258" s="4" t="str">
        <f t="shared" si="352"/>
        <v>Hà Nam</v>
      </c>
      <c r="D4258" s="3" t="s">
        <v>309</v>
      </c>
      <c r="E4258" s="4" t="str">
        <f t="shared" ref="E4258:E4275" si="353">HYPERLINK("https://diaocthongthai.com/ban-do-huyen-kim-bang-ha-nam/","Huyện Kim Bảng")</f>
        <v>Huyện Kim Bảng</v>
      </c>
      <c r="F4258" s="3" t="s">
        <v>5021</v>
      </c>
      <c r="G4258" s="4" t="str">
        <f>HYPERLINK("https://diaocthongthai.com/thi-tran-que-kim-bang/","Thị trấn Quế")</f>
        <v>Thị trấn Quế</v>
      </c>
    </row>
    <row r="4259" spans="1:7" x14ac:dyDescent="0.25">
      <c r="A4259" s="2">
        <v>4258</v>
      </c>
      <c r="B4259" s="3" t="s">
        <v>25</v>
      </c>
      <c r="C4259" s="4" t="str">
        <f t="shared" si="352"/>
        <v>Hà Nam</v>
      </c>
      <c r="D4259" s="3" t="s">
        <v>309</v>
      </c>
      <c r="E4259" s="4" t="str">
        <f t="shared" si="353"/>
        <v>Huyện Kim Bảng</v>
      </c>
      <c r="F4259" s="3" t="s">
        <v>5022</v>
      </c>
      <c r="G4259" s="4" t="str">
        <f>HYPERLINK("https://diaocthongthai.com/xa-nguyen-uy-kim-bang/","Xã Nguyễn Úy")</f>
        <v>Xã Nguyễn Úy</v>
      </c>
    </row>
    <row r="4260" spans="1:7" x14ac:dyDescent="0.25">
      <c r="A4260" s="2">
        <v>4259</v>
      </c>
      <c r="B4260" s="3" t="s">
        <v>25</v>
      </c>
      <c r="C4260" s="4" t="str">
        <f t="shared" si="352"/>
        <v>Hà Nam</v>
      </c>
      <c r="D4260" s="3" t="s">
        <v>309</v>
      </c>
      <c r="E4260" s="4" t="str">
        <f t="shared" si="353"/>
        <v>Huyện Kim Bảng</v>
      </c>
      <c r="F4260" s="3" t="s">
        <v>5023</v>
      </c>
      <c r="G4260" s="4" t="str">
        <f>HYPERLINK("https://diaocthongthai.com/xa-dai-cuong-kim-bang/","Xã Đại Cương")</f>
        <v>Xã Đại Cương</v>
      </c>
    </row>
    <row r="4261" spans="1:7" x14ac:dyDescent="0.25">
      <c r="A4261" s="2">
        <v>4260</v>
      </c>
      <c r="B4261" s="3" t="s">
        <v>25</v>
      </c>
      <c r="C4261" s="4" t="str">
        <f t="shared" si="352"/>
        <v>Hà Nam</v>
      </c>
      <c r="D4261" s="3" t="s">
        <v>309</v>
      </c>
      <c r="E4261" s="4" t="str">
        <f t="shared" si="353"/>
        <v>Huyện Kim Bảng</v>
      </c>
      <c r="F4261" s="3" t="s">
        <v>5024</v>
      </c>
      <c r="G4261" s="4" t="str">
        <f>HYPERLINK("https://diaocthongthai.com/xa-le-ho-kim-bang/","Xã Lê Hồ")</f>
        <v>Xã Lê Hồ</v>
      </c>
    </row>
    <row r="4262" spans="1:7" x14ac:dyDescent="0.25">
      <c r="A4262" s="2">
        <v>4261</v>
      </c>
      <c r="B4262" s="3" t="s">
        <v>25</v>
      </c>
      <c r="C4262" s="4" t="str">
        <f t="shared" si="352"/>
        <v>Hà Nam</v>
      </c>
      <c r="D4262" s="3" t="s">
        <v>309</v>
      </c>
      <c r="E4262" s="4" t="str">
        <f t="shared" si="353"/>
        <v>Huyện Kim Bảng</v>
      </c>
      <c r="F4262" s="3" t="s">
        <v>5025</v>
      </c>
      <c r="G4262" s="4" t="str">
        <f>HYPERLINK("https://diaocthongthai.com/xa-tuong-linh-kim-bang/","Xã Tượng Lĩnh")</f>
        <v>Xã Tượng Lĩnh</v>
      </c>
    </row>
    <row r="4263" spans="1:7" x14ac:dyDescent="0.25">
      <c r="A4263" s="2">
        <v>4262</v>
      </c>
      <c r="B4263" s="3" t="s">
        <v>25</v>
      </c>
      <c r="C4263" s="4" t="str">
        <f t="shared" si="352"/>
        <v>Hà Nam</v>
      </c>
      <c r="D4263" s="3" t="s">
        <v>309</v>
      </c>
      <c r="E4263" s="4" t="str">
        <f t="shared" si="353"/>
        <v>Huyện Kim Bảng</v>
      </c>
      <c r="F4263" s="3" t="s">
        <v>5026</v>
      </c>
      <c r="G4263" s="4" t="str">
        <f>HYPERLINK("https://diaocthongthai.com/xa-nhat-tuu-kim-bang/","Xã Nhật Tựu")</f>
        <v>Xã Nhật Tựu</v>
      </c>
    </row>
    <row r="4264" spans="1:7" x14ac:dyDescent="0.25">
      <c r="A4264" s="2">
        <v>4263</v>
      </c>
      <c r="B4264" s="3" t="s">
        <v>25</v>
      </c>
      <c r="C4264" s="4" t="str">
        <f t="shared" si="352"/>
        <v>Hà Nam</v>
      </c>
      <c r="D4264" s="3" t="s">
        <v>309</v>
      </c>
      <c r="E4264" s="4" t="str">
        <f t="shared" si="353"/>
        <v>Huyện Kim Bảng</v>
      </c>
      <c r="F4264" s="3" t="s">
        <v>5027</v>
      </c>
      <c r="G4264" s="4" t="str">
        <f>HYPERLINK("https://diaocthongthai.com/xa-nhat-tan-kim-bang/","Xã Nhật Tân")</f>
        <v>Xã Nhật Tân</v>
      </c>
    </row>
    <row r="4265" spans="1:7" x14ac:dyDescent="0.25">
      <c r="A4265" s="2">
        <v>4264</v>
      </c>
      <c r="B4265" s="3" t="s">
        <v>25</v>
      </c>
      <c r="C4265" s="4" t="str">
        <f t="shared" si="352"/>
        <v>Hà Nam</v>
      </c>
      <c r="D4265" s="3" t="s">
        <v>309</v>
      </c>
      <c r="E4265" s="4" t="str">
        <f t="shared" si="353"/>
        <v>Huyện Kim Bảng</v>
      </c>
      <c r="F4265" s="3" t="s">
        <v>5028</v>
      </c>
      <c r="G4265" s="4" t="str">
        <f>HYPERLINK("https://diaocthongthai.com/xa-dong-hoa-kim-bang/","Xã Đồng Hóa")</f>
        <v>Xã Đồng Hóa</v>
      </c>
    </row>
    <row r="4266" spans="1:7" x14ac:dyDescent="0.25">
      <c r="A4266" s="2">
        <v>4265</v>
      </c>
      <c r="B4266" s="3" t="s">
        <v>25</v>
      </c>
      <c r="C4266" s="4" t="str">
        <f t="shared" si="352"/>
        <v>Hà Nam</v>
      </c>
      <c r="D4266" s="3" t="s">
        <v>309</v>
      </c>
      <c r="E4266" s="4" t="str">
        <f t="shared" si="353"/>
        <v>Huyện Kim Bảng</v>
      </c>
      <c r="F4266" s="3" t="s">
        <v>5029</v>
      </c>
      <c r="G4266" s="4" t="str">
        <f>HYPERLINK("https://diaocthongthai.com/xa-hoang-tay-kim-bang/","Xã Hoàng Tây")</f>
        <v>Xã Hoàng Tây</v>
      </c>
    </row>
    <row r="4267" spans="1:7" x14ac:dyDescent="0.25">
      <c r="A4267" s="2">
        <v>4266</v>
      </c>
      <c r="B4267" s="3" t="s">
        <v>25</v>
      </c>
      <c r="C4267" s="4" t="str">
        <f t="shared" si="352"/>
        <v>Hà Nam</v>
      </c>
      <c r="D4267" s="3" t="s">
        <v>309</v>
      </c>
      <c r="E4267" s="4" t="str">
        <f t="shared" si="353"/>
        <v>Huyện Kim Bảng</v>
      </c>
      <c r="F4267" s="3" t="s">
        <v>5030</v>
      </c>
      <c r="G4267" s="4" t="str">
        <f>HYPERLINK("https://diaocthongthai.com/xa-tan-son-kim-bang/","Xã Tân Sơn")</f>
        <v>Xã Tân Sơn</v>
      </c>
    </row>
    <row r="4268" spans="1:7" x14ac:dyDescent="0.25">
      <c r="A4268" s="2">
        <v>4267</v>
      </c>
      <c r="B4268" s="3" t="s">
        <v>25</v>
      </c>
      <c r="C4268" s="4" t="str">
        <f t="shared" si="352"/>
        <v>Hà Nam</v>
      </c>
      <c r="D4268" s="3" t="s">
        <v>309</v>
      </c>
      <c r="E4268" s="4" t="str">
        <f t="shared" si="353"/>
        <v>Huyện Kim Bảng</v>
      </c>
      <c r="F4268" s="3" t="s">
        <v>5031</v>
      </c>
      <c r="G4268" s="4" t="str">
        <f>HYPERLINK("https://diaocthongthai.com/xa-thuy-loi-kim-bang/","Xã Thụy Lôi")</f>
        <v>Xã Thụy Lôi</v>
      </c>
    </row>
    <row r="4269" spans="1:7" x14ac:dyDescent="0.25">
      <c r="A4269" s="2">
        <v>4268</v>
      </c>
      <c r="B4269" s="3" t="s">
        <v>25</v>
      </c>
      <c r="C4269" s="4" t="str">
        <f t="shared" si="352"/>
        <v>Hà Nam</v>
      </c>
      <c r="D4269" s="3" t="s">
        <v>309</v>
      </c>
      <c r="E4269" s="4" t="str">
        <f t="shared" si="353"/>
        <v>Huyện Kim Bảng</v>
      </c>
      <c r="F4269" s="3" t="s">
        <v>5032</v>
      </c>
      <c r="G4269" s="4" t="str">
        <f>HYPERLINK("https://diaocthongthai.com/xa-van-xa-kim-bang/","Xã Văn Xá")</f>
        <v>Xã Văn Xá</v>
      </c>
    </row>
    <row r="4270" spans="1:7" x14ac:dyDescent="0.25">
      <c r="A4270" s="2">
        <v>4269</v>
      </c>
      <c r="B4270" s="3" t="s">
        <v>25</v>
      </c>
      <c r="C4270" s="4" t="str">
        <f t="shared" si="352"/>
        <v>Hà Nam</v>
      </c>
      <c r="D4270" s="3" t="s">
        <v>309</v>
      </c>
      <c r="E4270" s="4" t="str">
        <f t="shared" si="353"/>
        <v>Huyện Kim Bảng</v>
      </c>
      <c r="F4270" s="3" t="s">
        <v>5033</v>
      </c>
      <c r="G4270" s="4" t="str">
        <f>HYPERLINK("https://diaocthongthai.com/xa-kha-phong-kim-bang/","Xã Khả Phong")</f>
        <v>Xã Khả Phong</v>
      </c>
    </row>
    <row r="4271" spans="1:7" x14ac:dyDescent="0.25">
      <c r="A4271" s="2">
        <v>4270</v>
      </c>
      <c r="B4271" s="3" t="s">
        <v>25</v>
      </c>
      <c r="C4271" s="4" t="str">
        <f t="shared" si="352"/>
        <v>Hà Nam</v>
      </c>
      <c r="D4271" s="3" t="s">
        <v>309</v>
      </c>
      <c r="E4271" s="4" t="str">
        <f t="shared" si="353"/>
        <v>Huyện Kim Bảng</v>
      </c>
      <c r="F4271" s="3" t="s">
        <v>5034</v>
      </c>
      <c r="G4271" s="4" t="str">
        <f>HYPERLINK("https://diaocthongthai.com/xa-ngoc-son-kim-bang/","Xã Ngọc Sơn")</f>
        <v>Xã Ngọc Sơn</v>
      </c>
    </row>
    <row r="4272" spans="1:7" x14ac:dyDescent="0.25">
      <c r="A4272" s="2">
        <v>4271</v>
      </c>
      <c r="B4272" s="3" t="s">
        <v>25</v>
      </c>
      <c r="C4272" s="4" t="str">
        <f t="shared" si="352"/>
        <v>Hà Nam</v>
      </c>
      <c r="D4272" s="3" t="s">
        <v>309</v>
      </c>
      <c r="E4272" s="4" t="str">
        <f t="shared" si="353"/>
        <v>Huyện Kim Bảng</v>
      </c>
      <c r="F4272" s="3" t="s">
        <v>5035</v>
      </c>
      <c r="G4272" s="4" t="str">
        <f>HYPERLINK("https://diaocthongthai.com/thi-tran-ba-sao-kim-bang/","Thị trấn Ba Sao")</f>
        <v>Thị trấn Ba Sao</v>
      </c>
    </row>
    <row r="4273" spans="1:7" x14ac:dyDescent="0.25">
      <c r="A4273" s="2">
        <v>4272</v>
      </c>
      <c r="B4273" s="3" t="s">
        <v>25</v>
      </c>
      <c r="C4273" s="4" t="str">
        <f t="shared" si="352"/>
        <v>Hà Nam</v>
      </c>
      <c r="D4273" s="3" t="s">
        <v>309</v>
      </c>
      <c r="E4273" s="4" t="str">
        <f t="shared" si="353"/>
        <v>Huyện Kim Bảng</v>
      </c>
      <c r="F4273" s="3" t="s">
        <v>5036</v>
      </c>
      <c r="G4273" s="4" t="str">
        <f>HYPERLINK("https://diaocthongthai.com/xa-lien-son-kim-bang/","Xã Liên Sơn")</f>
        <v>Xã Liên Sơn</v>
      </c>
    </row>
    <row r="4274" spans="1:7" x14ac:dyDescent="0.25">
      <c r="A4274" s="2">
        <v>4273</v>
      </c>
      <c r="B4274" s="3" t="s">
        <v>25</v>
      </c>
      <c r="C4274" s="4" t="str">
        <f t="shared" si="352"/>
        <v>Hà Nam</v>
      </c>
      <c r="D4274" s="3" t="s">
        <v>309</v>
      </c>
      <c r="E4274" s="4" t="str">
        <f t="shared" si="353"/>
        <v>Huyện Kim Bảng</v>
      </c>
      <c r="F4274" s="3" t="s">
        <v>5037</v>
      </c>
      <c r="G4274" s="4" t="str">
        <f>HYPERLINK("https://diaocthongthai.com/xa-thi-son-kim-bang/","Xã Thi Sơn")</f>
        <v>Xã Thi Sơn</v>
      </c>
    </row>
    <row r="4275" spans="1:7" x14ac:dyDescent="0.25">
      <c r="A4275" s="2">
        <v>4274</v>
      </c>
      <c r="B4275" s="3" t="s">
        <v>25</v>
      </c>
      <c r="C4275" s="4" t="str">
        <f t="shared" si="352"/>
        <v>Hà Nam</v>
      </c>
      <c r="D4275" s="3" t="s">
        <v>309</v>
      </c>
      <c r="E4275" s="4" t="str">
        <f t="shared" si="353"/>
        <v>Huyện Kim Bảng</v>
      </c>
      <c r="F4275" s="3" t="s">
        <v>5038</v>
      </c>
      <c r="G4275" s="4" t="str">
        <f>HYPERLINK("https://diaocthongthai.com/xa-thanh-son-kim-bang/","Xã Thanh Sơn")</f>
        <v>Xã Thanh Sơn</v>
      </c>
    </row>
    <row r="4276" spans="1:7" x14ac:dyDescent="0.25">
      <c r="A4276" s="2">
        <v>4275</v>
      </c>
      <c r="B4276" s="3" t="s">
        <v>25</v>
      </c>
      <c r="C4276" s="4" t="str">
        <f t="shared" si="352"/>
        <v>Hà Nam</v>
      </c>
      <c r="D4276" s="3" t="s">
        <v>310</v>
      </c>
      <c r="E4276" s="4" t="str">
        <f t="shared" ref="E4276:E4291" si="354">HYPERLINK("https://diaocthongthai.com/ban-do-huyen-thanh-liem-ha-nam/","Huyện Thanh Liêm")</f>
        <v>Huyện Thanh Liêm</v>
      </c>
      <c r="F4276" s="3" t="s">
        <v>5039</v>
      </c>
      <c r="G4276" s="4" t="str">
        <f>HYPERLINK("https://diaocthongthai.com/thi-tran-kien-khe-thanh-liem/","Thị trấn Kiện Khê")</f>
        <v>Thị trấn Kiện Khê</v>
      </c>
    </row>
    <row r="4277" spans="1:7" x14ac:dyDescent="0.25">
      <c r="A4277" s="2">
        <v>4276</v>
      </c>
      <c r="B4277" s="3" t="s">
        <v>25</v>
      </c>
      <c r="C4277" s="4" t="str">
        <f t="shared" si="352"/>
        <v>Hà Nam</v>
      </c>
      <c r="D4277" s="3" t="s">
        <v>310</v>
      </c>
      <c r="E4277" s="4" t="str">
        <f t="shared" si="354"/>
        <v>Huyện Thanh Liêm</v>
      </c>
      <c r="F4277" s="3" t="s">
        <v>5040</v>
      </c>
      <c r="G4277" s="4" t="str">
        <f>HYPERLINK("https://diaocthongthai.com/xa-liem-phong-thanh-liem/","Xã Liêm Phong")</f>
        <v>Xã Liêm Phong</v>
      </c>
    </row>
    <row r="4278" spans="1:7" x14ac:dyDescent="0.25">
      <c r="A4278" s="2">
        <v>4277</v>
      </c>
      <c r="B4278" s="3" t="s">
        <v>25</v>
      </c>
      <c r="C4278" s="4" t="str">
        <f t="shared" si="352"/>
        <v>Hà Nam</v>
      </c>
      <c r="D4278" s="3" t="s">
        <v>310</v>
      </c>
      <c r="E4278" s="4" t="str">
        <f t="shared" si="354"/>
        <v>Huyện Thanh Liêm</v>
      </c>
      <c r="F4278" s="3" t="s">
        <v>5041</v>
      </c>
      <c r="G4278" s="4" t="str">
        <f>HYPERLINK("https://diaocthongthai.com/xa-thanh-ha-thanh-liem/","Xã Thanh Hà")</f>
        <v>Xã Thanh Hà</v>
      </c>
    </row>
    <row r="4279" spans="1:7" x14ac:dyDescent="0.25">
      <c r="A4279" s="2">
        <v>4278</v>
      </c>
      <c r="B4279" s="3" t="s">
        <v>25</v>
      </c>
      <c r="C4279" s="4" t="str">
        <f t="shared" si="352"/>
        <v>Hà Nam</v>
      </c>
      <c r="D4279" s="3" t="s">
        <v>310</v>
      </c>
      <c r="E4279" s="4" t="str">
        <f t="shared" si="354"/>
        <v>Huyện Thanh Liêm</v>
      </c>
      <c r="F4279" s="3" t="s">
        <v>5042</v>
      </c>
      <c r="G4279" s="4" t="str">
        <f>HYPERLINK("https://diaocthongthai.com/xa-liem-can-thanh-liem/","Xã Liêm Cần")</f>
        <v>Xã Liêm Cần</v>
      </c>
    </row>
    <row r="4280" spans="1:7" x14ac:dyDescent="0.25">
      <c r="A4280" s="2">
        <v>4279</v>
      </c>
      <c r="B4280" s="3" t="s">
        <v>25</v>
      </c>
      <c r="C4280" s="4" t="str">
        <f t="shared" si="352"/>
        <v>Hà Nam</v>
      </c>
      <c r="D4280" s="3" t="s">
        <v>310</v>
      </c>
      <c r="E4280" s="4" t="str">
        <f t="shared" si="354"/>
        <v>Huyện Thanh Liêm</v>
      </c>
      <c r="F4280" s="3" t="s">
        <v>5043</v>
      </c>
      <c r="G4280" s="4" t="str">
        <f>HYPERLINK("https://diaocthongthai.com/xa-liem-thuan-thanh-liem/","Xã Liêm Thuận")</f>
        <v>Xã Liêm Thuận</v>
      </c>
    </row>
    <row r="4281" spans="1:7" x14ac:dyDescent="0.25">
      <c r="A4281" s="2">
        <v>4280</v>
      </c>
      <c r="B4281" s="3" t="s">
        <v>25</v>
      </c>
      <c r="C4281" s="4" t="str">
        <f t="shared" si="352"/>
        <v>Hà Nam</v>
      </c>
      <c r="D4281" s="3" t="s">
        <v>310</v>
      </c>
      <c r="E4281" s="4" t="str">
        <f t="shared" si="354"/>
        <v>Huyện Thanh Liêm</v>
      </c>
      <c r="F4281" s="3" t="s">
        <v>5044</v>
      </c>
      <c r="G4281" s="4" t="str">
        <f>HYPERLINK("https://diaocthongthai.com/xa-thanh-thuy-thanh-liem/","Xã Thanh Thủy")</f>
        <v>Xã Thanh Thủy</v>
      </c>
    </row>
    <row r="4282" spans="1:7" x14ac:dyDescent="0.25">
      <c r="A4282" s="2">
        <v>4281</v>
      </c>
      <c r="B4282" s="3" t="s">
        <v>25</v>
      </c>
      <c r="C4282" s="4" t="str">
        <f t="shared" si="352"/>
        <v>Hà Nam</v>
      </c>
      <c r="D4282" s="3" t="s">
        <v>310</v>
      </c>
      <c r="E4282" s="4" t="str">
        <f t="shared" si="354"/>
        <v>Huyện Thanh Liêm</v>
      </c>
      <c r="F4282" s="3" t="s">
        <v>5045</v>
      </c>
      <c r="G4282" s="4" t="str">
        <f>HYPERLINK("https://diaocthongthai.com/xa-thanh-phong-thanh-liem/","Xã Thanh Phong")</f>
        <v>Xã Thanh Phong</v>
      </c>
    </row>
    <row r="4283" spans="1:7" x14ac:dyDescent="0.25">
      <c r="A4283" s="2">
        <v>4282</v>
      </c>
      <c r="B4283" s="3" t="s">
        <v>25</v>
      </c>
      <c r="C4283" s="4" t="str">
        <f t="shared" si="352"/>
        <v>Hà Nam</v>
      </c>
      <c r="D4283" s="3" t="s">
        <v>310</v>
      </c>
      <c r="E4283" s="4" t="str">
        <f t="shared" si="354"/>
        <v>Huyện Thanh Liêm</v>
      </c>
      <c r="F4283" s="3" t="s">
        <v>5046</v>
      </c>
      <c r="G4283" s="4" t="str">
        <f>HYPERLINK("https://diaocthongthai.com/thi-tran-tan-thanh-thanh-liem/","Thị trấn Tân Thanh")</f>
        <v>Thị trấn Tân Thanh</v>
      </c>
    </row>
    <row r="4284" spans="1:7" x14ac:dyDescent="0.25">
      <c r="A4284" s="2">
        <v>4283</v>
      </c>
      <c r="B4284" s="3" t="s">
        <v>25</v>
      </c>
      <c r="C4284" s="4" t="str">
        <f t="shared" si="352"/>
        <v>Hà Nam</v>
      </c>
      <c r="D4284" s="3" t="s">
        <v>310</v>
      </c>
      <c r="E4284" s="4" t="str">
        <f t="shared" si="354"/>
        <v>Huyện Thanh Liêm</v>
      </c>
      <c r="F4284" s="3" t="s">
        <v>5047</v>
      </c>
      <c r="G4284" s="4" t="str">
        <f>HYPERLINK("https://diaocthongthai.com/xa-thanh-tan-thanh-liem/","Xã Thanh Tân")</f>
        <v>Xã Thanh Tân</v>
      </c>
    </row>
    <row r="4285" spans="1:7" x14ac:dyDescent="0.25">
      <c r="A4285" s="2">
        <v>4284</v>
      </c>
      <c r="B4285" s="3" t="s">
        <v>25</v>
      </c>
      <c r="C4285" s="4" t="str">
        <f t="shared" ref="C4285:C4316" si="355">HYPERLINK("https://diaocthongthai.com/ban-do-ha-nam/","Hà Nam")</f>
        <v>Hà Nam</v>
      </c>
      <c r="D4285" s="3" t="s">
        <v>310</v>
      </c>
      <c r="E4285" s="4" t="str">
        <f t="shared" si="354"/>
        <v>Huyện Thanh Liêm</v>
      </c>
      <c r="F4285" s="3" t="s">
        <v>5048</v>
      </c>
      <c r="G4285" s="4" t="str">
        <f>HYPERLINK("https://diaocthongthai.com/xa-liem-tuc-thanh-liem/","Xã Liêm Túc")</f>
        <v>Xã Liêm Túc</v>
      </c>
    </row>
    <row r="4286" spans="1:7" x14ac:dyDescent="0.25">
      <c r="A4286" s="2">
        <v>4285</v>
      </c>
      <c r="B4286" s="3" t="s">
        <v>25</v>
      </c>
      <c r="C4286" s="4" t="str">
        <f t="shared" si="355"/>
        <v>Hà Nam</v>
      </c>
      <c r="D4286" s="3" t="s">
        <v>310</v>
      </c>
      <c r="E4286" s="4" t="str">
        <f t="shared" si="354"/>
        <v>Huyện Thanh Liêm</v>
      </c>
      <c r="F4286" s="3" t="s">
        <v>5049</v>
      </c>
      <c r="G4286" s="4" t="str">
        <f>HYPERLINK("https://diaocthongthai.com/xa-liem-son-thanh-liem/","Xã Liêm Sơn")</f>
        <v>Xã Liêm Sơn</v>
      </c>
    </row>
    <row r="4287" spans="1:7" x14ac:dyDescent="0.25">
      <c r="A4287" s="2">
        <v>4286</v>
      </c>
      <c r="B4287" s="3" t="s">
        <v>25</v>
      </c>
      <c r="C4287" s="4" t="str">
        <f t="shared" si="355"/>
        <v>Hà Nam</v>
      </c>
      <c r="D4287" s="3" t="s">
        <v>310</v>
      </c>
      <c r="E4287" s="4" t="str">
        <f t="shared" si="354"/>
        <v>Huyện Thanh Liêm</v>
      </c>
      <c r="F4287" s="3" t="s">
        <v>5050</v>
      </c>
      <c r="G4287" s="4" t="str">
        <f>HYPERLINK("https://diaocthongthai.com/xa-thanh-huong-thanh-liem/","Xã Thanh Hương")</f>
        <v>Xã Thanh Hương</v>
      </c>
    </row>
    <row r="4288" spans="1:7" x14ac:dyDescent="0.25">
      <c r="A4288" s="2">
        <v>4287</v>
      </c>
      <c r="B4288" s="3" t="s">
        <v>25</v>
      </c>
      <c r="C4288" s="4" t="str">
        <f t="shared" si="355"/>
        <v>Hà Nam</v>
      </c>
      <c r="D4288" s="3" t="s">
        <v>310</v>
      </c>
      <c r="E4288" s="4" t="str">
        <f t="shared" si="354"/>
        <v>Huyện Thanh Liêm</v>
      </c>
      <c r="F4288" s="3" t="s">
        <v>5051</v>
      </c>
      <c r="G4288" s="4" t="str">
        <f>HYPERLINK("https://diaocthongthai.com/xa-thanh-nghi-thanh-liem/","Xã Thanh Nghị")</f>
        <v>Xã Thanh Nghị</v>
      </c>
    </row>
    <row r="4289" spans="1:7" x14ac:dyDescent="0.25">
      <c r="A4289" s="2">
        <v>4288</v>
      </c>
      <c r="B4289" s="3" t="s">
        <v>25</v>
      </c>
      <c r="C4289" s="4" t="str">
        <f t="shared" si="355"/>
        <v>Hà Nam</v>
      </c>
      <c r="D4289" s="3" t="s">
        <v>310</v>
      </c>
      <c r="E4289" s="4" t="str">
        <f t="shared" si="354"/>
        <v>Huyện Thanh Liêm</v>
      </c>
      <c r="F4289" s="3" t="s">
        <v>5052</v>
      </c>
      <c r="G4289" s="4" t="str">
        <f>HYPERLINK("https://diaocthongthai.com/xa-thanh-tam-thanh-liem/","Xã Thanh Tâm")</f>
        <v>Xã Thanh Tâm</v>
      </c>
    </row>
    <row r="4290" spans="1:7" x14ac:dyDescent="0.25">
      <c r="A4290" s="2">
        <v>4289</v>
      </c>
      <c r="B4290" s="3" t="s">
        <v>25</v>
      </c>
      <c r="C4290" s="4" t="str">
        <f t="shared" si="355"/>
        <v>Hà Nam</v>
      </c>
      <c r="D4290" s="3" t="s">
        <v>310</v>
      </c>
      <c r="E4290" s="4" t="str">
        <f t="shared" si="354"/>
        <v>Huyện Thanh Liêm</v>
      </c>
      <c r="F4290" s="3" t="s">
        <v>5053</v>
      </c>
      <c r="G4290" s="4" t="str">
        <f>HYPERLINK("https://diaocthongthai.com/xa-thanh-nguyen-thanh-liem/","Xã Thanh Nguyên")</f>
        <v>Xã Thanh Nguyên</v>
      </c>
    </row>
    <row r="4291" spans="1:7" x14ac:dyDescent="0.25">
      <c r="A4291" s="2">
        <v>4290</v>
      </c>
      <c r="B4291" s="3" t="s">
        <v>25</v>
      </c>
      <c r="C4291" s="4" t="str">
        <f t="shared" si="355"/>
        <v>Hà Nam</v>
      </c>
      <c r="D4291" s="3" t="s">
        <v>310</v>
      </c>
      <c r="E4291" s="4" t="str">
        <f t="shared" si="354"/>
        <v>Huyện Thanh Liêm</v>
      </c>
      <c r="F4291" s="3" t="s">
        <v>5054</v>
      </c>
      <c r="G4291" s="4" t="str">
        <f>HYPERLINK("https://diaocthongthai.com/xa-thanh-hai-thanh-liem/","Xã Thanh Hải")</f>
        <v>Xã Thanh Hải</v>
      </c>
    </row>
    <row r="4292" spans="1:7" x14ac:dyDescent="0.25">
      <c r="A4292" s="2">
        <v>4291</v>
      </c>
      <c r="B4292" s="3" t="s">
        <v>25</v>
      </c>
      <c r="C4292" s="4" t="str">
        <f t="shared" si="355"/>
        <v>Hà Nam</v>
      </c>
      <c r="D4292" s="3" t="s">
        <v>311</v>
      </c>
      <c r="E4292" s="4" t="str">
        <f t="shared" ref="E4292:E4308" si="356">HYPERLINK("https://diaocthongthai.com/ban-do-huyen-binh-luc-ha-nam/","Huyện Bình Lục")</f>
        <v>Huyện Bình Lục</v>
      </c>
      <c r="F4292" s="3" t="s">
        <v>5055</v>
      </c>
      <c r="G4292" s="4" t="str">
        <f>HYPERLINK("https://diaocthongthai.com/thi-tran-binh-my-binh-luc/","Thị trấn Bình Mỹ")</f>
        <v>Thị trấn Bình Mỹ</v>
      </c>
    </row>
    <row r="4293" spans="1:7" x14ac:dyDescent="0.25">
      <c r="A4293" s="2">
        <v>4292</v>
      </c>
      <c r="B4293" s="3" t="s">
        <v>25</v>
      </c>
      <c r="C4293" s="4" t="str">
        <f t="shared" si="355"/>
        <v>Hà Nam</v>
      </c>
      <c r="D4293" s="3" t="s">
        <v>311</v>
      </c>
      <c r="E4293" s="4" t="str">
        <f t="shared" si="356"/>
        <v>Huyện Bình Lục</v>
      </c>
      <c r="F4293" s="3" t="s">
        <v>5056</v>
      </c>
      <c r="G4293" s="4" t="str">
        <f>HYPERLINK("https://diaocthongthai.com/xa-binh-nghia-binh-luc/","Xã Bình Nghĩa")</f>
        <v>Xã Bình Nghĩa</v>
      </c>
    </row>
    <row r="4294" spans="1:7" x14ac:dyDescent="0.25">
      <c r="A4294" s="2">
        <v>4293</v>
      </c>
      <c r="B4294" s="3" t="s">
        <v>25</v>
      </c>
      <c r="C4294" s="4" t="str">
        <f t="shared" si="355"/>
        <v>Hà Nam</v>
      </c>
      <c r="D4294" s="3" t="s">
        <v>311</v>
      </c>
      <c r="E4294" s="4" t="str">
        <f t="shared" si="356"/>
        <v>Huyện Bình Lục</v>
      </c>
      <c r="F4294" s="3" t="s">
        <v>5057</v>
      </c>
      <c r="G4294" s="4" t="str">
        <f>HYPERLINK("https://diaocthongthai.com/xa-trang-an-binh-luc/","Xã Tràng An")</f>
        <v>Xã Tràng An</v>
      </c>
    </row>
    <row r="4295" spans="1:7" x14ac:dyDescent="0.25">
      <c r="A4295" s="2">
        <v>4294</v>
      </c>
      <c r="B4295" s="3" t="s">
        <v>25</v>
      </c>
      <c r="C4295" s="4" t="str">
        <f t="shared" si="355"/>
        <v>Hà Nam</v>
      </c>
      <c r="D4295" s="3" t="s">
        <v>311</v>
      </c>
      <c r="E4295" s="4" t="str">
        <f t="shared" si="356"/>
        <v>Huyện Bình Lục</v>
      </c>
      <c r="F4295" s="3" t="s">
        <v>5058</v>
      </c>
      <c r="G4295" s="4" t="str">
        <f>HYPERLINK("https://diaocthongthai.com/xa-dong-du-binh-luc/","Xã Đồng Du")</f>
        <v>Xã Đồng Du</v>
      </c>
    </row>
    <row r="4296" spans="1:7" x14ac:dyDescent="0.25">
      <c r="A4296" s="2">
        <v>4295</v>
      </c>
      <c r="B4296" s="3" t="s">
        <v>25</v>
      </c>
      <c r="C4296" s="4" t="str">
        <f t="shared" si="355"/>
        <v>Hà Nam</v>
      </c>
      <c r="D4296" s="3" t="s">
        <v>311</v>
      </c>
      <c r="E4296" s="4" t="str">
        <f t="shared" si="356"/>
        <v>Huyện Bình Lục</v>
      </c>
      <c r="F4296" s="3" t="s">
        <v>5059</v>
      </c>
      <c r="G4296" s="4" t="str">
        <f>HYPERLINK("https://diaocthongthai.com/xa-ngoc-lu-binh-luc/","Xã Ngọc Lũ")</f>
        <v>Xã Ngọc Lũ</v>
      </c>
    </row>
    <row r="4297" spans="1:7" x14ac:dyDescent="0.25">
      <c r="A4297" s="2">
        <v>4296</v>
      </c>
      <c r="B4297" s="3" t="s">
        <v>25</v>
      </c>
      <c r="C4297" s="4" t="str">
        <f t="shared" si="355"/>
        <v>Hà Nam</v>
      </c>
      <c r="D4297" s="3" t="s">
        <v>311</v>
      </c>
      <c r="E4297" s="4" t="str">
        <f t="shared" si="356"/>
        <v>Huyện Bình Lục</v>
      </c>
      <c r="F4297" s="3" t="s">
        <v>5060</v>
      </c>
      <c r="G4297" s="4" t="str">
        <f>HYPERLINK("https://diaocthongthai.com/xa-hung-cong-binh-luc/","Xã Hưng Công")</f>
        <v>Xã Hưng Công</v>
      </c>
    </row>
    <row r="4298" spans="1:7" x14ac:dyDescent="0.25">
      <c r="A4298" s="2">
        <v>4297</v>
      </c>
      <c r="B4298" s="3" t="s">
        <v>25</v>
      </c>
      <c r="C4298" s="4" t="str">
        <f t="shared" si="355"/>
        <v>Hà Nam</v>
      </c>
      <c r="D4298" s="3" t="s">
        <v>311</v>
      </c>
      <c r="E4298" s="4" t="str">
        <f t="shared" si="356"/>
        <v>Huyện Bình Lục</v>
      </c>
      <c r="F4298" s="3" t="s">
        <v>5061</v>
      </c>
      <c r="G4298" s="4" t="str">
        <f>HYPERLINK("https://diaocthongthai.com/xa-don-xa-binh-luc/","Xã Đồn Xá")</f>
        <v>Xã Đồn Xá</v>
      </c>
    </row>
    <row r="4299" spans="1:7" x14ac:dyDescent="0.25">
      <c r="A4299" s="2">
        <v>4298</v>
      </c>
      <c r="B4299" s="3" t="s">
        <v>25</v>
      </c>
      <c r="C4299" s="4" t="str">
        <f t="shared" si="355"/>
        <v>Hà Nam</v>
      </c>
      <c r="D4299" s="3" t="s">
        <v>311</v>
      </c>
      <c r="E4299" s="4" t="str">
        <f t="shared" si="356"/>
        <v>Huyện Bình Lục</v>
      </c>
      <c r="F4299" s="3" t="s">
        <v>5062</v>
      </c>
      <c r="G4299" s="4" t="str">
        <f>HYPERLINK("https://diaocthongthai.com/xa-an-ninh-binh-luc/","Xã An Ninh")</f>
        <v>Xã An Ninh</v>
      </c>
    </row>
    <row r="4300" spans="1:7" x14ac:dyDescent="0.25">
      <c r="A4300" s="2">
        <v>4299</v>
      </c>
      <c r="B4300" s="3" t="s">
        <v>25</v>
      </c>
      <c r="C4300" s="4" t="str">
        <f t="shared" si="355"/>
        <v>Hà Nam</v>
      </c>
      <c r="D4300" s="3" t="s">
        <v>311</v>
      </c>
      <c r="E4300" s="4" t="str">
        <f t="shared" si="356"/>
        <v>Huyện Bình Lục</v>
      </c>
      <c r="F4300" s="3" t="s">
        <v>5063</v>
      </c>
      <c r="G4300" s="4" t="str">
        <f>HYPERLINK("https://diaocthongthai.com/xa-bo-de-binh-luc/","Xã Bồ Đề")</f>
        <v>Xã Bồ Đề</v>
      </c>
    </row>
    <row r="4301" spans="1:7" x14ac:dyDescent="0.25">
      <c r="A4301" s="2">
        <v>4300</v>
      </c>
      <c r="B4301" s="3" t="s">
        <v>25</v>
      </c>
      <c r="C4301" s="4" t="str">
        <f t="shared" si="355"/>
        <v>Hà Nam</v>
      </c>
      <c r="D4301" s="3" t="s">
        <v>311</v>
      </c>
      <c r="E4301" s="4" t="str">
        <f t="shared" si="356"/>
        <v>Huyện Bình Lục</v>
      </c>
      <c r="F4301" s="3" t="s">
        <v>5064</v>
      </c>
      <c r="G4301" s="4" t="str">
        <f>HYPERLINK("https://diaocthongthai.com/xa-boi-cau-binh-luc/","Xã Bối Cầu")</f>
        <v>Xã Bối Cầu</v>
      </c>
    </row>
    <row r="4302" spans="1:7" x14ac:dyDescent="0.25">
      <c r="A4302" s="2">
        <v>4301</v>
      </c>
      <c r="B4302" s="3" t="s">
        <v>25</v>
      </c>
      <c r="C4302" s="4" t="str">
        <f t="shared" si="355"/>
        <v>Hà Nam</v>
      </c>
      <c r="D4302" s="3" t="s">
        <v>311</v>
      </c>
      <c r="E4302" s="4" t="str">
        <f t="shared" si="356"/>
        <v>Huyện Bình Lục</v>
      </c>
      <c r="F4302" s="3" t="s">
        <v>5065</v>
      </c>
      <c r="G4302" s="4" t="str">
        <f>HYPERLINK("https://diaocthongthai.com/xa-an-noi-binh-luc/","Xã An Nội")</f>
        <v>Xã An Nội</v>
      </c>
    </row>
    <row r="4303" spans="1:7" x14ac:dyDescent="0.25">
      <c r="A4303" s="2">
        <v>4302</v>
      </c>
      <c r="B4303" s="3" t="s">
        <v>25</v>
      </c>
      <c r="C4303" s="4" t="str">
        <f t="shared" si="355"/>
        <v>Hà Nam</v>
      </c>
      <c r="D4303" s="3" t="s">
        <v>311</v>
      </c>
      <c r="E4303" s="4" t="str">
        <f t="shared" si="356"/>
        <v>Huyện Bình Lục</v>
      </c>
      <c r="F4303" s="3" t="s">
        <v>5066</v>
      </c>
      <c r="G4303" s="4" t="str">
        <f>HYPERLINK("https://diaocthongthai.com/xa-vu-ban-binh-luc/","Xã Vũ Bản")</f>
        <v>Xã Vũ Bản</v>
      </c>
    </row>
    <row r="4304" spans="1:7" x14ac:dyDescent="0.25">
      <c r="A4304" s="2">
        <v>4303</v>
      </c>
      <c r="B4304" s="3" t="s">
        <v>25</v>
      </c>
      <c r="C4304" s="4" t="str">
        <f t="shared" si="355"/>
        <v>Hà Nam</v>
      </c>
      <c r="D4304" s="3" t="s">
        <v>311</v>
      </c>
      <c r="E4304" s="4" t="str">
        <f t="shared" si="356"/>
        <v>Huyện Bình Lục</v>
      </c>
      <c r="F4304" s="3" t="s">
        <v>5067</v>
      </c>
      <c r="G4304" s="4" t="str">
        <f>HYPERLINK("https://diaocthongthai.com/xa-trung-luong-binh-luc/","Xã Trung Lương")</f>
        <v>Xã Trung Lương</v>
      </c>
    </row>
    <row r="4305" spans="1:7" x14ac:dyDescent="0.25">
      <c r="A4305" s="2">
        <v>4304</v>
      </c>
      <c r="B4305" s="3" t="s">
        <v>25</v>
      </c>
      <c r="C4305" s="4" t="str">
        <f t="shared" si="355"/>
        <v>Hà Nam</v>
      </c>
      <c r="D4305" s="3" t="s">
        <v>311</v>
      </c>
      <c r="E4305" s="4" t="str">
        <f t="shared" si="356"/>
        <v>Huyện Bình Lục</v>
      </c>
      <c r="F4305" s="3" t="s">
        <v>5068</v>
      </c>
      <c r="G4305" s="4" t="str">
        <f>HYPERLINK("https://diaocthongthai.com/xa-an-do-binh-luc/","Xã An Đổ")</f>
        <v>Xã An Đổ</v>
      </c>
    </row>
    <row r="4306" spans="1:7" x14ac:dyDescent="0.25">
      <c r="A4306" s="2">
        <v>4305</v>
      </c>
      <c r="B4306" s="3" t="s">
        <v>25</v>
      </c>
      <c r="C4306" s="4" t="str">
        <f t="shared" si="355"/>
        <v>Hà Nam</v>
      </c>
      <c r="D4306" s="3" t="s">
        <v>311</v>
      </c>
      <c r="E4306" s="4" t="str">
        <f t="shared" si="356"/>
        <v>Huyện Bình Lục</v>
      </c>
      <c r="F4306" s="3" t="s">
        <v>5069</v>
      </c>
      <c r="G4306" s="4" t="str">
        <f>HYPERLINK("https://diaocthongthai.com/xa-la-son-binh-luc/","Xã La Sơn")</f>
        <v>Xã La Sơn</v>
      </c>
    </row>
    <row r="4307" spans="1:7" x14ac:dyDescent="0.25">
      <c r="A4307" s="2">
        <v>4306</v>
      </c>
      <c r="B4307" s="3" t="s">
        <v>25</v>
      </c>
      <c r="C4307" s="4" t="str">
        <f t="shared" si="355"/>
        <v>Hà Nam</v>
      </c>
      <c r="D4307" s="3" t="s">
        <v>311</v>
      </c>
      <c r="E4307" s="4" t="str">
        <f t="shared" si="356"/>
        <v>Huyện Bình Lục</v>
      </c>
      <c r="F4307" s="3" t="s">
        <v>5070</v>
      </c>
      <c r="G4307" s="4" t="str">
        <f>HYPERLINK("https://diaocthongthai.com/xa-tieu-dong-binh-luc/","Xã Tiêu Động")</f>
        <v>Xã Tiêu Động</v>
      </c>
    </row>
    <row r="4308" spans="1:7" x14ac:dyDescent="0.25">
      <c r="A4308" s="2">
        <v>4307</v>
      </c>
      <c r="B4308" s="3" t="s">
        <v>25</v>
      </c>
      <c r="C4308" s="4" t="str">
        <f t="shared" si="355"/>
        <v>Hà Nam</v>
      </c>
      <c r="D4308" s="3" t="s">
        <v>311</v>
      </c>
      <c r="E4308" s="4" t="str">
        <f t="shared" si="356"/>
        <v>Huyện Bình Lục</v>
      </c>
      <c r="F4308" s="3" t="s">
        <v>5071</v>
      </c>
      <c r="G4308" s="4" t="str">
        <f>HYPERLINK("https://diaocthongthai.com/xa-an-lao-binh-luc/","Xã An Lão")</f>
        <v>Xã An Lão</v>
      </c>
    </row>
    <row r="4309" spans="1:7" x14ac:dyDescent="0.25">
      <c r="A4309" s="2">
        <v>4308</v>
      </c>
      <c r="B4309" s="3" t="s">
        <v>25</v>
      </c>
      <c r="C4309" s="4" t="str">
        <f t="shared" si="355"/>
        <v>Hà Nam</v>
      </c>
      <c r="D4309" s="3" t="s">
        <v>312</v>
      </c>
      <c r="E4309" s="4" t="str">
        <f t="shared" ref="E4309:E4329" si="357">HYPERLINK("https://diaocthongthai.com/ban-do-huyen-ly-nhan-ha-nam/","Huyện Lý Nhân")</f>
        <v>Huyện Lý Nhân</v>
      </c>
      <c r="F4309" s="3" t="s">
        <v>5072</v>
      </c>
      <c r="G4309" s="4" t="str">
        <f>HYPERLINK("https://diaocthongthai.com/xa-hop-ly-ly-nhan/","Xã Hợp Lý")</f>
        <v>Xã Hợp Lý</v>
      </c>
    </row>
    <row r="4310" spans="1:7" x14ac:dyDescent="0.25">
      <c r="A4310" s="2">
        <v>4309</v>
      </c>
      <c r="B4310" s="3" t="s">
        <v>25</v>
      </c>
      <c r="C4310" s="4" t="str">
        <f t="shared" si="355"/>
        <v>Hà Nam</v>
      </c>
      <c r="D4310" s="3" t="s">
        <v>312</v>
      </c>
      <c r="E4310" s="4" t="str">
        <f t="shared" si="357"/>
        <v>Huyện Lý Nhân</v>
      </c>
      <c r="F4310" s="3" t="s">
        <v>5073</v>
      </c>
      <c r="G4310" s="4" t="str">
        <f>HYPERLINK("https://diaocthongthai.com/xa-nguyen-ly-ly-nhan/","Xã Nguyên Lý")</f>
        <v>Xã Nguyên Lý</v>
      </c>
    </row>
    <row r="4311" spans="1:7" x14ac:dyDescent="0.25">
      <c r="A4311" s="2">
        <v>4310</v>
      </c>
      <c r="B4311" s="3" t="s">
        <v>25</v>
      </c>
      <c r="C4311" s="4" t="str">
        <f t="shared" si="355"/>
        <v>Hà Nam</v>
      </c>
      <c r="D4311" s="3" t="s">
        <v>312</v>
      </c>
      <c r="E4311" s="4" t="str">
        <f t="shared" si="357"/>
        <v>Huyện Lý Nhân</v>
      </c>
      <c r="F4311" s="3" t="s">
        <v>5074</v>
      </c>
      <c r="G4311" s="4" t="str">
        <f>HYPERLINK("https://diaocthongthai.com/xa-chinh-ly-ly-nhan/","Xã Chính Lý")</f>
        <v>Xã Chính Lý</v>
      </c>
    </row>
    <row r="4312" spans="1:7" x14ac:dyDescent="0.25">
      <c r="A4312" s="2">
        <v>4311</v>
      </c>
      <c r="B4312" s="3" t="s">
        <v>25</v>
      </c>
      <c r="C4312" s="4" t="str">
        <f t="shared" si="355"/>
        <v>Hà Nam</v>
      </c>
      <c r="D4312" s="3" t="s">
        <v>312</v>
      </c>
      <c r="E4312" s="4" t="str">
        <f t="shared" si="357"/>
        <v>Huyện Lý Nhân</v>
      </c>
      <c r="F4312" s="3" t="s">
        <v>5075</v>
      </c>
      <c r="G4312" s="4" t="str">
        <f>HYPERLINK("https://diaocthongthai.com/xa-chan-ly-ly-nhan/","Xã Chân Lý")</f>
        <v>Xã Chân Lý</v>
      </c>
    </row>
    <row r="4313" spans="1:7" x14ac:dyDescent="0.25">
      <c r="A4313" s="2">
        <v>4312</v>
      </c>
      <c r="B4313" s="3" t="s">
        <v>25</v>
      </c>
      <c r="C4313" s="4" t="str">
        <f t="shared" si="355"/>
        <v>Hà Nam</v>
      </c>
      <c r="D4313" s="3" t="s">
        <v>312</v>
      </c>
      <c r="E4313" s="4" t="str">
        <f t="shared" si="357"/>
        <v>Huyện Lý Nhân</v>
      </c>
      <c r="F4313" s="3" t="s">
        <v>5076</v>
      </c>
      <c r="G4313" s="4" t="str">
        <f>HYPERLINK("https://diaocthongthai.com/xa-dao-ly-ly-nhan/","Xã Đạo Lý")</f>
        <v>Xã Đạo Lý</v>
      </c>
    </row>
    <row r="4314" spans="1:7" x14ac:dyDescent="0.25">
      <c r="A4314" s="2">
        <v>4313</v>
      </c>
      <c r="B4314" s="3" t="s">
        <v>25</v>
      </c>
      <c r="C4314" s="4" t="str">
        <f t="shared" si="355"/>
        <v>Hà Nam</v>
      </c>
      <c r="D4314" s="3" t="s">
        <v>312</v>
      </c>
      <c r="E4314" s="4" t="str">
        <f t="shared" si="357"/>
        <v>Huyện Lý Nhân</v>
      </c>
      <c r="F4314" s="3" t="s">
        <v>5077</v>
      </c>
      <c r="G4314" s="4" t="str">
        <f>HYPERLINK("https://diaocthongthai.com/xa-cong-ly-ly-nhan/","Xã Công Lý")</f>
        <v>Xã Công Lý</v>
      </c>
    </row>
    <row r="4315" spans="1:7" x14ac:dyDescent="0.25">
      <c r="A4315" s="2">
        <v>4314</v>
      </c>
      <c r="B4315" s="3" t="s">
        <v>25</v>
      </c>
      <c r="C4315" s="4" t="str">
        <f t="shared" si="355"/>
        <v>Hà Nam</v>
      </c>
      <c r="D4315" s="3" t="s">
        <v>312</v>
      </c>
      <c r="E4315" s="4" t="str">
        <f t="shared" si="357"/>
        <v>Huyện Lý Nhân</v>
      </c>
      <c r="F4315" s="3" t="s">
        <v>5078</v>
      </c>
      <c r="G4315" s="4" t="str">
        <f>HYPERLINK("https://diaocthongthai.com/xa-van-ly-ly-nhan/","Xã Văn Lý")</f>
        <v>Xã Văn Lý</v>
      </c>
    </row>
    <row r="4316" spans="1:7" x14ac:dyDescent="0.25">
      <c r="A4316" s="2">
        <v>4315</v>
      </c>
      <c r="B4316" s="3" t="s">
        <v>25</v>
      </c>
      <c r="C4316" s="4" t="str">
        <f t="shared" si="355"/>
        <v>Hà Nam</v>
      </c>
      <c r="D4316" s="3" t="s">
        <v>312</v>
      </c>
      <c r="E4316" s="4" t="str">
        <f t="shared" si="357"/>
        <v>Huyện Lý Nhân</v>
      </c>
      <c r="F4316" s="3" t="s">
        <v>5079</v>
      </c>
      <c r="G4316" s="4" t="str">
        <f>HYPERLINK("https://diaocthongthai.com/xa-bac-ly-ly-nhan/","Xã Bắc Lý")</f>
        <v>Xã Bắc Lý</v>
      </c>
    </row>
    <row r="4317" spans="1:7" x14ac:dyDescent="0.25">
      <c r="A4317" s="2">
        <v>4316</v>
      </c>
      <c r="B4317" s="3" t="s">
        <v>25</v>
      </c>
      <c r="C4317" s="4" t="str">
        <f t="shared" ref="C4317:C4329" si="358">HYPERLINK("https://diaocthongthai.com/ban-do-ha-nam/","Hà Nam")</f>
        <v>Hà Nam</v>
      </c>
      <c r="D4317" s="3" t="s">
        <v>312</v>
      </c>
      <c r="E4317" s="4" t="str">
        <f t="shared" si="357"/>
        <v>Huyện Lý Nhân</v>
      </c>
      <c r="F4317" s="3" t="s">
        <v>5080</v>
      </c>
      <c r="G4317" s="4" t="str">
        <f>HYPERLINK("https://diaocthongthai.com/xa-duc-ly-ly-nhan/","Xã Đức Lý")</f>
        <v>Xã Đức Lý</v>
      </c>
    </row>
    <row r="4318" spans="1:7" x14ac:dyDescent="0.25">
      <c r="A4318" s="2">
        <v>4317</v>
      </c>
      <c r="B4318" s="3" t="s">
        <v>25</v>
      </c>
      <c r="C4318" s="4" t="str">
        <f t="shared" si="358"/>
        <v>Hà Nam</v>
      </c>
      <c r="D4318" s="3" t="s">
        <v>312</v>
      </c>
      <c r="E4318" s="4" t="str">
        <f t="shared" si="357"/>
        <v>Huyện Lý Nhân</v>
      </c>
      <c r="F4318" s="3" t="s">
        <v>5081</v>
      </c>
      <c r="G4318" s="4" t="str">
        <f>HYPERLINK("https://diaocthongthai.com/xa-tran-hung-dao-ly-nhan/","Xã Trần Hưng Đạo")</f>
        <v>Xã Trần Hưng Đạo</v>
      </c>
    </row>
    <row r="4319" spans="1:7" x14ac:dyDescent="0.25">
      <c r="A4319" s="2">
        <v>4318</v>
      </c>
      <c r="B4319" s="3" t="s">
        <v>25</v>
      </c>
      <c r="C4319" s="4" t="str">
        <f t="shared" si="358"/>
        <v>Hà Nam</v>
      </c>
      <c r="D4319" s="3" t="s">
        <v>312</v>
      </c>
      <c r="E4319" s="4" t="str">
        <f t="shared" si="357"/>
        <v>Huyện Lý Nhân</v>
      </c>
      <c r="F4319" s="3" t="s">
        <v>5082</v>
      </c>
      <c r="G4319" s="4" t="str">
        <f>HYPERLINK("https://diaocthongthai.com/thi-tran-vinh-tru-ly-nhan/","Thị trấn Vĩnh Trụ")</f>
        <v>Thị trấn Vĩnh Trụ</v>
      </c>
    </row>
    <row r="4320" spans="1:7" x14ac:dyDescent="0.25">
      <c r="A4320" s="2">
        <v>4319</v>
      </c>
      <c r="B4320" s="3" t="s">
        <v>25</v>
      </c>
      <c r="C4320" s="4" t="str">
        <f t="shared" si="358"/>
        <v>Hà Nam</v>
      </c>
      <c r="D4320" s="3" t="s">
        <v>312</v>
      </c>
      <c r="E4320" s="4" t="str">
        <f t="shared" si="357"/>
        <v>Huyện Lý Nhân</v>
      </c>
      <c r="F4320" s="3" t="s">
        <v>5083</v>
      </c>
      <c r="G4320" s="4" t="str">
        <f>HYPERLINK("https://diaocthongthai.com/xa-nhan-thinh-ly-nhan/","Xã Nhân Thịnh")</f>
        <v>Xã Nhân Thịnh</v>
      </c>
    </row>
    <row r="4321" spans="1:7" x14ac:dyDescent="0.25">
      <c r="A4321" s="2">
        <v>4320</v>
      </c>
      <c r="B4321" s="3" t="s">
        <v>25</v>
      </c>
      <c r="C4321" s="4" t="str">
        <f t="shared" si="358"/>
        <v>Hà Nam</v>
      </c>
      <c r="D4321" s="3" t="s">
        <v>312</v>
      </c>
      <c r="E4321" s="4" t="str">
        <f t="shared" si="357"/>
        <v>Huyện Lý Nhân</v>
      </c>
      <c r="F4321" s="3" t="s">
        <v>5084</v>
      </c>
      <c r="G4321" s="4" t="str">
        <f>HYPERLINK("https://diaocthongthai.com/xa-nhan-khang-ly-nhan/","Xã Nhân Khang")</f>
        <v>Xã Nhân Khang</v>
      </c>
    </row>
    <row r="4322" spans="1:7" x14ac:dyDescent="0.25">
      <c r="A4322" s="2">
        <v>4321</v>
      </c>
      <c r="B4322" s="3" t="s">
        <v>25</v>
      </c>
      <c r="C4322" s="4" t="str">
        <f t="shared" si="358"/>
        <v>Hà Nam</v>
      </c>
      <c r="D4322" s="3" t="s">
        <v>312</v>
      </c>
      <c r="E4322" s="4" t="str">
        <f t="shared" si="357"/>
        <v>Huyện Lý Nhân</v>
      </c>
      <c r="F4322" s="3" t="s">
        <v>5085</v>
      </c>
      <c r="G4322" s="4" t="str">
        <f>HYPERLINK("https://diaocthongthai.com/xa-nhan-my-ly-nhan/","Xã Nhân Mỹ")</f>
        <v>Xã Nhân Mỹ</v>
      </c>
    </row>
    <row r="4323" spans="1:7" x14ac:dyDescent="0.25">
      <c r="A4323" s="2">
        <v>4322</v>
      </c>
      <c r="B4323" s="3" t="s">
        <v>25</v>
      </c>
      <c r="C4323" s="4" t="str">
        <f t="shared" si="358"/>
        <v>Hà Nam</v>
      </c>
      <c r="D4323" s="3" t="s">
        <v>312</v>
      </c>
      <c r="E4323" s="4" t="str">
        <f t="shared" si="357"/>
        <v>Huyện Lý Nhân</v>
      </c>
      <c r="F4323" s="3" t="s">
        <v>5086</v>
      </c>
      <c r="G4323" s="4" t="str">
        <f>HYPERLINK("https://diaocthongthai.com/xa-nhan-nghia-ly-nhan/","Xã Nhân Nghĩa")</f>
        <v>Xã Nhân Nghĩa</v>
      </c>
    </row>
    <row r="4324" spans="1:7" x14ac:dyDescent="0.25">
      <c r="A4324" s="2">
        <v>4323</v>
      </c>
      <c r="B4324" s="3" t="s">
        <v>25</v>
      </c>
      <c r="C4324" s="4" t="str">
        <f t="shared" si="358"/>
        <v>Hà Nam</v>
      </c>
      <c r="D4324" s="3" t="s">
        <v>312</v>
      </c>
      <c r="E4324" s="4" t="str">
        <f t="shared" si="357"/>
        <v>Huyện Lý Nhân</v>
      </c>
      <c r="F4324" s="3" t="s">
        <v>5087</v>
      </c>
      <c r="G4324" s="4" t="str">
        <f>HYPERLINK("https://diaocthongthai.com/xa-nhan-chinh-ly-nhan/","Xã Nhân Chính")</f>
        <v>Xã Nhân Chính</v>
      </c>
    </row>
    <row r="4325" spans="1:7" x14ac:dyDescent="0.25">
      <c r="A4325" s="2">
        <v>4324</v>
      </c>
      <c r="B4325" s="3" t="s">
        <v>25</v>
      </c>
      <c r="C4325" s="4" t="str">
        <f t="shared" si="358"/>
        <v>Hà Nam</v>
      </c>
      <c r="D4325" s="3" t="s">
        <v>312</v>
      </c>
      <c r="E4325" s="4" t="str">
        <f t="shared" si="357"/>
        <v>Huyện Lý Nhân</v>
      </c>
      <c r="F4325" s="3" t="s">
        <v>5088</v>
      </c>
      <c r="G4325" s="4" t="str">
        <f>HYPERLINK("https://diaocthongthai.com/xa-nhan-binh-ly-nhan/","Xã Nhân Bình")</f>
        <v>Xã Nhân Bình</v>
      </c>
    </row>
    <row r="4326" spans="1:7" x14ac:dyDescent="0.25">
      <c r="A4326" s="2">
        <v>4325</v>
      </c>
      <c r="B4326" s="3" t="s">
        <v>25</v>
      </c>
      <c r="C4326" s="4" t="str">
        <f t="shared" si="358"/>
        <v>Hà Nam</v>
      </c>
      <c r="D4326" s="3" t="s">
        <v>312</v>
      </c>
      <c r="E4326" s="4" t="str">
        <f t="shared" si="357"/>
        <v>Huyện Lý Nhân</v>
      </c>
      <c r="F4326" s="3" t="s">
        <v>5089</v>
      </c>
      <c r="G4326" s="4" t="str">
        <f>HYPERLINK("https://diaocthongthai.com/xa-phu-phuc-ly-nhan/","Xã Phú Phúc")</f>
        <v>Xã Phú Phúc</v>
      </c>
    </row>
    <row r="4327" spans="1:7" x14ac:dyDescent="0.25">
      <c r="A4327" s="2">
        <v>4326</v>
      </c>
      <c r="B4327" s="3" t="s">
        <v>25</v>
      </c>
      <c r="C4327" s="4" t="str">
        <f t="shared" si="358"/>
        <v>Hà Nam</v>
      </c>
      <c r="D4327" s="3" t="s">
        <v>312</v>
      </c>
      <c r="E4327" s="4" t="str">
        <f t="shared" si="357"/>
        <v>Huyện Lý Nhân</v>
      </c>
      <c r="F4327" s="3" t="s">
        <v>5090</v>
      </c>
      <c r="G4327" s="4" t="str">
        <f>HYPERLINK("https://diaocthongthai.com/xa-xuan-khe-ly-nhan/","Xã Xuân Khê")</f>
        <v>Xã Xuân Khê</v>
      </c>
    </row>
    <row r="4328" spans="1:7" x14ac:dyDescent="0.25">
      <c r="A4328" s="2">
        <v>4327</v>
      </c>
      <c r="B4328" s="3" t="s">
        <v>25</v>
      </c>
      <c r="C4328" s="4" t="str">
        <f t="shared" si="358"/>
        <v>Hà Nam</v>
      </c>
      <c r="D4328" s="3" t="s">
        <v>312</v>
      </c>
      <c r="E4328" s="4" t="str">
        <f t="shared" si="357"/>
        <v>Huyện Lý Nhân</v>
      </c>
      <c r="F4328" s="3" t="s">
        <v>5091</v>
      </c>
      <c r="G4328" s="4" t="str">
        <f>HYPERLINK("https://diaocthongthai.com/xa-tien-thang-ly-nhan/","Xã Tiến Thắng")</f>
        <v>Xã Tiến Thắng</v>
      </c>
    </row>
    <row r="4329" spans="1:7" x14ac:dyDescent="0.25">
      <c r="A4329" s="2">
        <v>4328</v>
      </c>
      <c r="B4329" s="3" t="s">
        <v>25</v>
      </c>
      <c r="C4329" s="4" t="str">
        <f t="shared" si="358"/>
        <v>Hà Nam</v>
      </c>
      <c r="D4329" s="3" t="s">
        <v>312</v>
      </c>
      <c r="E4329" s="4" t="str">
        <f t="shared" si="357"/>
        <v>Huyện Lý Nhân</v>
      </c>
      <c r="F4329" s="3" t="s">
        <v>5092</v>
      </c>
      <c r="G4329" s="4" t="str">
        <f>HYPERLINK("https://diaocthongthai.com/xa-hoa-hau-ly-nhan/","Xã Hòa Hậu")</f>
        <v>Xã Hòa Hậu</v>
      </c>
    </row>
    <row r="4330" spans="1:7" x14ac:dyDescent="0.25">
      <c r="A4330" s="2">
        <v>4329</v>
      </c>
      <c r="B4330" s="3" t="s">
        <v>26</v>
      </c>
      <c r="C4330" s="4" t="str">
        <f t="shared" ref="C4330:C4393" si="359">HYPERLINK("https://diaocthongthai.com/ban-do-nam-dinh/","Nam Định")</f>
        <v>Nam Định</v>
      </c>
      <c r="D4330" s="3" t="s">
        <v>313</v>
      </c>
      <c r="E4330" s="4" t="str">
        <f t="shared" ref="E4330:E4354" si="360">HYPERLINK("https://diaocthongthai.com/ban-do-tp-nam-dinh-nam-dinh/","Thành phố Nam Định")</f>
        <v>Thành phố Nam Định</v>
      </c>
      <c r="F4330" s="3" t="s">
        <v>5093</v>
      </c>
      <c r="G4330" s="4" t="str">
        <f>HYPERLINK("https://diaocthongthai.com/phuong-ha-long-tp-nam-dinh/","Phường Hạ Long")</f>
        <v>Phường Hạ Long</v>
      </c>
    </row>
    <row r="4331" spans="1:7" x14ac:dyDescent="0.25">
      <c r="A4331" s="2">
        <v>4330</v>
      </c>
      <c r="B4331" s="3" t="s">
        <v>26</v>
      </c>
      <c r="C4331" s="4" t="str">
        <f t="shared" si="359"/>
        <v>Nam Định</v>
      </c>
      <c r="D4331" s="3" t="s">
        <v>313</v>
      </c>
      <c r="E4331" s="4" t="str">
        <f t="shared" si="360"/>
        <v>Thành phố Nam Định</v>
      </c>
      <c r="F4331" s="3" t="s">
        <v>5094</v>
      </c>
      <c r="G4331" s="4" t="str">
        <f>HYPERLINK("https://diaocthongthai.com/phuong-tran-te-xuong-tp-nam-dinh/","Phường Trần Tế Xương")</f>
        <v>Phường Trần Tế Xương</v>
      </c>
    </row>
    <row r="4332" spans="1:7" x14ac:dyDescent="0.25">
      <c r="A4332" s="2">
        <v>4331</v>
      </c>
      <c r="B4332" s="3" t="s">
        <v>26</v>
      </c>
      <c r="C4332" s="4" t="str">
        <f t="shared" si="359"/>
        <v>Nam Định</v>
      </c>
      <c r="D4332" s="3" t="s">
        <v>313</v>
      </c>
      <c r="E4332" s="4" t="str">
        <f t="shared" si="360"/>
        <v>Thành phố Nam Định</v>
      </c>
      <c r="F4332" s="3" t="s">
        <v>5095</v>
      </c>
      <c r="G4332" s="4" t="str">
        <f>HYPERLINK("https://diaocthongthai.com/phuong-vi-hoang-tp-nam-dinh/","Phường Vị Hoàng")</f>
        <v>Phường Vị Hoàng</v>
      </c>
    </row>
    <row r="4333" spans="1:7" x14ac:dyDescent="0.25">
      <c r="A4333" s="2">
        <v>4332</v>
      </c>
      <c r="B4333" s="3" t="s">
        <v>26</v>
      </c>
      <c r="C4333" s="4" t="str">
        <f t="shared" si="359"/>
        <v>Nam Định</v>
      </c>
      <c r="D4333" s="3" t="s">
        <v>313</v>
      </c>
      <c r="E4333" s="4" t="str">
        <f t="shared" si="360"/>
        <v>Thành phố Nam Định</v>
      </c>
      <c r="F4333" s="3" t="s">
        <v>5096</v>
      </c>
      <c r="G4333" s="4" t="str">
        <f>HYPERLINK("https://diaocthongthai.com/phuong-vi-xuyen-tp-nam-dinh/","Phường Vị Xuyên")</f>
        <v>Phường Vị Xuyên</v>
      </c>
    </row>
    <row r="4334" spans="1:7" x14ac:dyDescent="0.25">
      <c r="A4334" s="2">
        <v>4333</v>
      </c>
      <c r="B4334" s="3" t="s">
        <v>26</v>
      </c>
      <c r="C4334" s="4" t="str">
        <f t="shared" si="359"/>
        <v>Nam Định</v>
      </c>
      <c r="D4334" s="3" t="s">
        <v>313</v>
      </c>
      <c r="E4334" s="4" t="str">
        <f t="shared" si="360"/>
        <v>Thành phố Nam Định</v>
      </c>
      <c r="F4334" s="3" t="s">
        <v>5097</v>
      </c>
      <c r="G4334" s="4" t="str">
        <f>HYPERLINK("https://diaocthongthai.com/phuong-quang-trung-tp-nam-dinh/","Phường Quang Trung")</f>
        <v>Phường Quang Trung</v>
      </c>
    </row>
    <row r="4335" spans="1:7" x14ac:dyDescent="0.25">
      <c r="A4335" s="2">
        <v>4334</v>
      </c>
      <c r="B4335" s="3" t="s">
        <v>26</v>
      </c>
      <c r="C4335" s="4" t="str">
        <f t="shared" si="359"/>
        <v>Nam Định</v>
      </c>
      <c r="D4335" s="3" t="s">
        <v>313</v>
      </c>
      <c r="E4335" s="4" t="str">
        <f t="shared" si="360"/>
        <v>Thành phố Nam Định</v>
      </c>
      <c r="F4335" s="3" t="s">
        <v>5098</v>
      </c>
      <c r="G4335" s="4" t="str">
        <f>HYPERLINK("https://diaocthongthai.com/phuong-cua-bac-tp-nam-dinh/","Phường Cửa Bắc")</f>
        <v>Phường Cửa Bắc</v>
      </c>
    </row>
    <row r="4336" spans="1:7" x14ac:dyDescent="0.25">
      <c r="A4336" s="2">
        <v>4335</v>
      </c>
      <c r="B4336" s="3" t="s">
        <v>26</v>
      </c>
      <c r="C4336" s="4" t="str">
        <f t="shared" si="359"/>
        <v>Nam Định</v>
      </c>
      <c r="D4336" s="3" t="s">
        <v>313</v>
      </c>
      <c r="E4336" s="4" t="str">
        <f t="shared" si="360"/>
        <v>Thành phố Nam Định</v>
      </c>
      <c r="F4336" s="3" t="s">
        <v>5099</v>
      </c>
      <c r="G4336" s="4" t="str">
        <f>HYPERLINK("https://diaocthongthai.com/phuong-nguyen-du-tp-nam-dinh/","Phường Nguyễn Du")</f>
        <v>Phường Nguyễn Du</v>
      </c>
    </row>
    <row r="4337" spans="1:7" x14ac:dyDescent="0.25">
      <c r="A4337" s="2">
        <v>4336</v>
      </c>
      <c r="B4337" s="3" t="s">
        <v>26</v>
      </c>
      <c r="C4337" s="4" t="str">
        <f t="shared" si="359"/>
        <v>Nam Định</v>
      </c>
      <c r="D4337" s="3" t="s">
        <v>313</v>
      </c>
      <c r="E4337" s="4" t="str">
        <f t="shared" si="360"/>
        <v>Thành phố Nam Định</v>
      </c>
      <c r="F4337" s="3" t="s">
        <v>5100</v>
      </c>
      <c r="G4337" s="4" t="str">
        <f>HYPERLINK("https://diaocthongthai.com/phuong-ba-trieu-tp-nam-dinh/","Phường Bà Triệu")</f>
        <v>Phường Bà Triệu</v>
      </c>
    </row>
    <row r="4338" spans="1:7" x14ac:dyDescent="0.25">
      <c r="A4338" s="2">
        <v>4337</v>
      </c>
      <c r="B4338" s="3" t="s">
        <v>26</v>
      </c>
      <c r="C4338" s="4" t="str">
        <f t="shared" si="359"/>
        <v>Nam Định</v>
      </c>
      <c r="D4338" s="3" t="s">
        <v>313</v>
      </c>
      <c r="E4338" s="4" t="str">
        <f t="shared" si="360"/>
        <v>Thành phố Nam Định</v>
      </c>
      <c r="F4338" s="3" t="s">
        <v>5101</v>
      </c>
      <c r="G4338" s="4" t="str">
        <f>HYPERLINK("https://diaocthongthai.com/phuong-truong-thi-tp-nam-dinh/","Phường Trường Thi")</f>
        <v>Phường Trường Thi</v>
      </c>
    </row>
    <row r="4339" spans="1:7" x14ac:dyDescent="0.25">
      <c r="A4339" s="2">
        <v>4338</v>
      </c>
      <c r="B4339" s="3" t="s">
        <v>26</v>
      </c>
      <c r="C4339" s="4" t="str">
        <f t="shared" si="359"/>
        <v>Nam Định</v>
      </c>
      <c r="D4339" s="3" t="s">
        <v>313</v>
      </c>
      <c r="E4339" s="4" t="str">
        <f t="shared" si="360"/>
        <v>Thành phố Nam Định</v>
      </c>
      <c r="F4339" s="3" t="s">
        <v>5102</v>
      </c>
      <c r="G4339" s="4" t="str">
        <f>HYPERLINK("https://diaocthongthai.com/phuong-phan-dinh-phung-tp-nam-dinh/","Phường Phan Đình Phùng")</f>
        <v>Phường Phan Đình Phùng</v>
      </c>
    </row>
    <row r="4340" spans="1:7" x14ac:dyDescent="0.25">
      <c r="A4340" s="2">
        <v>4339</v>
      </c>
      <c r="B4340" s="3" t="s">
        <v>26</v>
      </c>
      <c r="C4340" s="4" t="str">
        <f t="shared" si="359"/>
        <v>Nam Định</v>
      </c>
      <c r="D4340" s="3" t="s">
        <v>313</v>
      </c>
      <c r="E4340" s="4" t="str">
        <f t="shared" si="360"/>
        <v>Thành phố Nam Định</v>
      </c>
      <c r="F4340" s="3" t="s">
        <v>5103</v>
      </c>
      <c r="G4340" s="4" t="str">
        <f>HYPERLINK("https://diaocthongthai.com/phuong-ngo-quyen-tp-nam-dinh/","Phường Ngô Quyền")</f>
        <v>Phường Ngô Quyền</v>
      </c>
    </row>
    <row r="4341" spans="1:7" x14ac:dyDescent="0.25">
      <c r="A4341" s="2">
        <v>4340</v>
      </c>
      <c r="B4341" s="3" t="s">
        <v>26</v>
      </c>
      <c r="C4341" s="4" t="str">
        <f t="shared" si="359"/>
        <v>Nam Định</v>
      </c>
      <c r="D4341" s="3" t="s">
        <v>313</v>
      </c>
      <c r="E4341" s="4" t="str">
        <f t="shared" si="360"/>
        <v>Thành phố Nam Định</v>
      </c>
      <c r="F4341" s="3" t="s">
        <v>5104</v>
      </c>
      <c r="G4341" s="4" t="str">
        <f>HYPERLINK("https://diaocthongthai.com/phuong-tran-hung-dao-tp-nam-dinh/","Phường Trần Hưng Đạo")</f>
        <v>Phường Trần Hưng Đạo</v>
      </c>
    </row>
    <row r="4342" spans="1:7" x14ac:dyDescent="0.25">
      <c r="A4342" s="2">
        <v>4341</v>
      </c>
      <c r="B4342" s="3" t="s">
        <v>26</v>
      </c>
      <c r="C4342" s="4" t="str">
        <f t="shared" si="359"/>
        <v>Nam Định</v>
      </c>
      <c r="D4342" s="3" t="s">
        <v>313</v>
      </c>
      <c r="E4342" s="4" t="str">
        <f t="shared" si="360"/>
        <v>Thành phố Nam Định</v>
      </c>
      <c r="F4342" s="3" t="s">
        <v>5105</v>
      </c>
      <c r="G4342" s="4" t="str">
        <f>HYPERLINK("https://diaocthongthai.com/phuong-tran-dang-ninh-tp-nam-dinh/","Phường Trần Đăng Ninh")</f>
        <v>Phường Trần Đăng Ninh</v>
      </c>
    </row>
    <row r="4343" spans="1:7" x14ac:dyDescent="0.25">
      <c r="A4343" s="2">
        <v>4342</v>
      </c>
      <c r="B4343" s="3" t="s">
        <v>26</v>
      </c>
      <c r="C4343" s="4" t="str">
        <f t="shared" si="359"/>
        <v>Nam Định</v>
      </c>
      <c r="D4343" s="3" t="s">
        <v>313</v>
      </c>
      <c r="E4343" s="4" t="str">
        <f t="shared" si="360"/>
        <v>Thành phố Nam Định</v>
      </c>
      <c r="F4343" s="3" t="s">
        <v>5106</v>
      </c>
      <c r="G4343" s="4" t="str">
        <f>HYPERLINK("https://diaocthongthai.com/phuong-nang-tinh-tp-nam-dinh/","Phường Năng Tĩnh")</f>
        <v>Phường Năng Tĩnh</v>
      </c>
    </row>
    <row r="4344" spans="1:7" x14ac:dyDescent="0.25">
      <c r="A4344" s="2">
        <v>4343</v>
      </c>
      <c r="B4344" s="3" t="s">
        <v>26</v>
      </c>
      <c r="C4344" s="4" t="str">
        <f t="shared" si="359"/>
        <v>Nam Định</v>
      </c>
      <c r="D4344" s="3" t="s">
        <v>313</v>
      </c>
      <c r="E4344" s="4" t="str">
        <f t="shared" si="360"/>
        <v>Thành phố Nam Định</v>
      </c>
      <c r="F4344" s="3" t="s">
        <v>5107</v>
      </c>
      <c r="G4344" s="4" t="str">
        <f>HYPERLINK("https://diaocthongthai.com/phuong-van-mieu-tp-nam-dinh/","Phường Văn Miếu")</f>
        <v>Phường Văn Miếu</v>
      </c>
    </row>
    <row r="4345" spans="1:7" x14ac:dyDescent="0.25">
      <c r="A4345" s="2">
        <v>4344</v>
      </c>
      <c r="B4345" s="3" t="s">
        <v>26</v>
      </c>
      <c r="C4345" s="4" t="str">
        <f t="shared" si="359"/>
        <v>Nam Định</v>
      </c>
      <c r="D4345" s="3" t="s">
        <v>313</v>
      </c>
      <c r="E4345" s="4" t="str">
        <f t="shared" si="360"/>
        <v>Thành phố Nam Định</v>
      </c>
      <c r="F4345" s="3" t="s">
        <v>5108</v>
      </c>
      <c r="G4345" s="4" t="str">
        <f>HYPERLINK("https://diaocthongthai.com/phuong-tran-quang-khai-tp-nam-dinh/","Phường Trần Quang Khải")</f>
        <v>Phường Trần Quang Khải</v>
      </c>
    </row>
    <row r="4346" spans="1:7" x14ac:dyDescent="0.25">
      <c r="A4346" s="2">
        <v>4345</v>
      </c>
      <c r="B4346" s="3" t="s">
        <v>26</v>
      </c>
      <c r="C4346" s="4" t="str">
        <f t="shared" si="359"/>
        <v>Nam Định</v>
      </c>
      <c r="D4346" s="3" t="s">
        <v>313</v>
      </c>
      <c r="E4346" s="4" t="str">
        <f t="shared" si="360"/>
        <v>Thành phố Nam Định</v>
      </c>
      <c r="F4346" s="3" t="s">
        <v>5109</v>
      </c>
      <c r="G4346" s="4" t="str">
        <f>HYPERLINK("https://diaocthongthai.com/phuong-thong-nhat-tp-nam-dinh/","Phường Thống Nhất")</f>
        <v>Phường Thống Nhất</v>
      </c>
    </row>
    <row r="4347" spans="1:7" x14ac:dyDescent="0.25">
      <c r="A4347" s="2">
        <v>4346</v>
      </c>
      <c r="B4347" s="3" t="s">
        <v>26</v>
      </c>
      <c r="C4347" s="4" t="str">
        <f t="shared" si="359"/>
        <v>Nam Định</v>
      </c>
      <c r="D4347" s="3" t="s">
        <v>313</v>
      </c>
      <c r="E4347" s="4" t="str">
        <f t="shared" si="360"/>
        <v>Thành phố Nam Định</v>
      </c>
      <c r="F4347" s="3" t="s">
        <v>5110</v>
      </c>
      <c r="G4347" s="4" t="str">
        <f>HYPERLINK("https://diaocthongthai.com/phuong-loc-ha-tp-nam-dinh/","Phường Lộc Hạ")</f>
        <v>Phường Lộc Hạ</v>
      </c>
    </row>
    <row r="4348" spans="1:7" x14ac:dyDescent="0.25">
      <c r="A4348" s="2">
        <v>4347</v>
      </c>
      <c r="B4348" s="3" t="s">
        <v>26</v>
      </c>
      <c r="C4348" s="4" t="str">
        <f t="shared" si="359"/>
        <v>Nam Định</v>
      </c>
      <c r="D4348" s="3" t="s">
        <v>313</v>
      </c>
      <c r="E4348" s="4" t="str">
        <f t="shared" si="360"/>
        <v>Thành phố Nam Định</v>
      </c>
      <c r="F4348" s="3" t="s">
        <v>5111</v>
      </c>
      <c r="G4348" s="4" t="str">
        <f>HYPERLINK("https://diaocthongthai.com/phuong-loc-vuong-tp-nam-dinh/","Phường Lộc Vượng")</f>
        <v>Phường Lộc Vượng</v>
      </c>
    </row>
    <row r="4349" spans="1:7" x14ac:dyDescent="0.25">
      <c r="A4349" s="2">
        <v>4348</v>
      </c>
      <c r="B4349" s="3" t="s">
        <v>26</v>
      </c>
      <c r="C4349" s="4" t="str">
        <f t="shared" si="359"/>
        <v>Nam Định</v>
      </c>
      <c r="D4349" s="3" t="s">
        <v>313</v>
      </c>
      <c r="E4349" s="4" t="str">
        <f t="shared" si="360"/>
        <v>Thành phố Nam Định</v>
      </c>
      <c r="F4349" s="3" t="s">
        <v>5112</v>
      </c>
      <c r="G4349" s="4" t="str">
        <f>HYPERLINK("https://diaocthongthai.com/phuong-cua-nam-tp-nam-dinh/","Phường Cửa Nam")</f>
        <v>Phường Cửa Nam</v>
      </c>
    </row>
    <row r="4350" spans="1:7" x14ac:dyDescent="0.25">
      <c r="A4350" s="2">
        <v>4349</v>
      </c>
      <c r="B4350" s="3" t="s">
        <v>26</v>
      </c>
      <c r="C4350" s="4" t="str">
        <f t="shared" si="359"/>
        <v>Nam Định</v>
      </c>
      <c r="D4350" s="3" t="s">
        <v>313</v>
      </c>
      <c r="E4350" s="4" t="str">
        <f t="shared" si="360"/>
        <v>Thành phố Nam Định</v>
      </c>
      <c r="F4350" s="3" t="s">
        <v>5113</v>
      </c>
      <c r="G4350" s="4" t="str">
        <f>HYPERLINK("https://diaocthongthai.com/phuong-loc-hoa-tp-nam-dinh/","Phường Lộc Hòa")</f>
        <v>Phường Lộc Hòa</v>
      </c>
    </row>
    <row r="4351" spans="1:7" x14ac:dyDescent="0.25">
      <c r="A4351" s="2">
        <v>4350</v>
      </c>
      <c r="B4351" s="3" t="s">
        <v>26</v>
      </c>
      <c r="C4351" s="4" t="str">
        <f t="shared" si="359"/>
        <v>Nam Định</v>
      </c>
      <c r="D4351" s="3" t="s">
        <v>313</v>
      </c>
      <c r="E4351" s="4" t="str">
        <f t="shared" si="360"/>
        <v>Thành phố Nam Định</v>
      </c>
      <c r="F4351" s="3" t="s">
        <v>5114</v>
      </c>
      <c r="G4351" s="4" t="str">
        <f>HYPERLINK("https://diaocthongthai.com/xa-nam-phong-tp-nam-dinh/","Xã Nam Phong")</f>
        <v>Xã Nam Phong</v>
      </c>
    </row>
    <row r="4352" spans="1:7" x14ac:dyDescent="0.25">
      <c r="A4352" s="2">
        <v>4351</v>
      </c>
      <c r="B4352" s="3" t="s">
        <v>26</v>
      </c>
      <c r="C4352" s="4" t="str">
        <f t="shared" si="359"/>
        <v>Nam Định</v>
      </c>
      <c r="D4352" s="3" t="s">
        <v>313</v>
      </c>
      <c r="E4352" s="4" t="str">
        <f t="shared" si="360"/>
        <v>Thành phố Nam Định</v>
      </c>
      <c r="F4352" s="3" t="s">
        <v>5115</v>
      </c>
      <c r="G4352" s="4" t="str">
        <f>HYPERLINK("https://diaocthongthai.com/phuong-my-xa-tp-nam-dinh/","Phường Mỹ Xá")</f>
        <v>Phường Mỹ Xá</v>
      </c>
    </row>
    <row r="4353" spans="1:7" x14ac:dyDescent="0.25">
      <c r="A4353" s="2">
        <v>4352</v>
      </c>
      <c r="B4353" s="3" t="s">
        <v>26</v>
      </c>
      <c r="C4353" s="4" t="str">
        <f t="shared" si="359"/>
        <v>Nam Định</v>
      </c>
      <c r="D4353" s="3" t="s">
        <v>313</v>
      </c>
      <c r="E4353" s="4" t="str">
        <f t="shared" si="360"/>
        <v>Thành phố Nam Định</v>
      </c>
      <c r="F4353" s="3" t="s">
        <v>5116</v>
      </c>
      <c r="G4353" s="4" t="str">
        <f>HYPERLINK("https://diaocthongthai.com/xa-loc-an-tp-nam-dinh/","Xã Lộc An")</f>
        <v>Xã Lộc An</v>
      </c>
    </row>
    <row r="4354" spans="1:7" x14ac:dyDescent="0.25">
      <c r="A4354" s="2">
        <v>4353</v>
      </c>
      <c r="B4354" s="3" t="s">
        <v>26</v>
      </c>
      <c r="C4354" s="4" t="str">
        <f t="shared" si="359"/>
        <v>Nam Định</v>
      </c>
      <c r="D4354" s="3" t="s">
        <v>313</v>
      </c>
      <c r="E4354" s="4" t="str">
        <f t="shared" si="360"/>
        <v>Thành phố Nam Định</v>
      </c>
      <c r="F4354" s="3" t="s">
        <v>5117</v>
      </c>
      <c r="G4354" s="4" t="str">
        <f>HYPERLINK("https://diaocthongthai.com/xa-nam-van-tp-nam-dinh/","Xã Nam Vân")</f>
        <v>Xã Nam Vân</v>
      </c>
    </row>
    <row r="4355" spans="1:7" x14ac:dyDescent="0.25">
      <c r="A4355" s="2">
        <v>4354</v>
      </c>
      <c r="B4355" s="3" t="s">
        <v>26</v>
      </c>
      <c r="C4355" s="4" t="str">
        <f t="shared" si="359"/>
        <v>Nam Định</v>
      </c>
      <c r="D4355" s="3" t="s">
        <v>314</v>
      </c>
      <c r="E4355" s="4" t="str">
        <f t="shared" ref="E4355:E4365" si="361">HYPERLINK("https://diaocthongthai.com/ban-do-huyen-my-loc-nam-dinh/","Huyện Mỹ Lộc")</f>
        <v>Huyện Mỹ Lộc</v>
      </c>
      <c r="F4355" s="3" t="s">
        <v>5118</v>
      </c>
      <c r="G4355" s="4" t="str">
        <f>HYPERLINK("https://diaocthongthai.com/thi-tran-my-loc-my-loc/","Thị trấn Mỹ Lộc")</f>
        <v>Thị trấn Mỹ Lộc</v>
      </c>
    </row>
    <row r="4356" spans="1:7" x14ac:dyDescent="0.25">
      <c r="A4356" s="2">
        <v>4355</v>
      </c>
      <c r="B4356" s="3" t="s">
        <v>26</v>
      </c>
      <c r="C4356" s="4" t="str">
        <f t="shared" si="359"/>
        <v>Nam Định</v>
      </c>
      <c r="D4356" s="3" t="s">
        <v>314</v>
      </c>
      <c r="E4356" s="4" t="str">
        <f t="shared" si="361"/>
        <v>Huyện Mỹ Lộc</v>
      </c>
      <c r="F4356" s="3" t="s">
        <v>5119</v>
      </c>
      <c r="G4356" s="4" t="str">
        <f>HYPERLINK("https://diaocthongthai.com/xa-my-ha-my-loc/","Xã Mỹ Hà")</f>
        <v>Xã Mỹ Hà</v>
      </c>
    </row>
    <row r="4357" spans="1:7" x14ac:dyDescent="0.25">
      <c r="A4357" s="2">
        <v>4356</v>
      </c>
      <c r="B4357" s="3" t="s">
        <v>26</v>
      </c>
      <c r="C4357" s="4" t="str">
        <f t="shared" si="359"/>
        <v>Nam Định</v>
      </c>
      <c r="D4357" s="3" t="s">
        <v>314</v>
      </c>
      <c r="E4357" s="4" t="str">
        <f t="shared" si="361"/>
        <v>Huyện Mỹ Lộc</v>
      </c>
      <c r="F4357" s="3" t="s">
        <v>5120</v>
      </c>
      <c r="G4357" s="4" t="str">
        <f>HYPERLINK("https://diaocthongthai.com/xa-my-tien-my-loc/","Xã Mỹ Tiến")</f>
        <v>Xã Mỹ Tiến</v>
      </c>
    </row>
    <row r="4358" spans="1:7" x14ac:dyDescent="0.25">
      <c r="A4358" s="2">
        <v>4357</v>
      </c>
      <c r="B4358" s="3" t="s">
        <v>26</v>
      </c>
      <c r="C4358" s="4" t="str">
        <f t="shared" si="359"/>
        <v>Nam Định</v>
      </c>
      <c r="D4358" s="3" t="s">
        <v>314</v>
      </c>
      <c r="E4358" s="4" t="str">
        <f t="shared" si="361"/>
        <v>Huyện Mỹ Lộc</v>
      </c>
      <c r="F4358" s="3" t="s">
        <v>5121</v>
      </c>
      <c r="G4358" s="4" t="str">
        <f>HYPERLINK("https://diaocthongthai.com/xa-my-thang-my-loc/","Xã Mỹ Thắng")</f>
        <v>Xã Mỹ Thắng</v>
      </c>
    </row>
    <row r="4359" spans="1:7" x14ac:dyDescent="0.25">
      <c r="A4359" s="2">
        <v>4358</v>
      </c>
      <c r="B4359" s="3" t="s">
        <v>26</v>
      </c>
      <c r="C4359" s="4" t="str">
        <f t="shared" si="359"/>
        <v>Nam Định</v>
      </c>
      <c r="D4359" s="3" t="s">
        <v>314</v>
      </c>
      <c r="E4359" s="4" t="str">
        <f t="shared" si="361"/>
        <v>Huyện Mỹ Lộc</v>
      </c>
      <c r="F4359" s="3" t="s">
        <v>5122</v>
      </c>
      <c r="G4359" s="4" t="str">
        <f>HYPERLINK("https://diaocthongthai.com/xa-my-trung-my-loc/","Xã Mỹ Trung")</f>
        <v>Xã Mỹ Trung</v>
      </c>
    </row>
    <row r="4360" spans="1:7" x14ac:dyDescent="0.25">
      <c r="A4360" s="2">
        <v>4359</v>
      </c>
      <c r="B4360" s="3" t="s">
        <v>26</v>
      </c>
      <c r="C4360" s="4" t="str">
        <f t="shared" si="359"/>
        <v>Nam Định</v>
      </c>
      <c r="D4360" s="3" t="s">
        <v>314</v>
      </c>
      <c r="E4360" s="4" t="str">
        <f t="shared" si="361"/>
        <v>Huyện Mỹ Lộc</v>
      </c>
      <c r="F4360" s="3" t="s">
        <v>5123</v>
      </c>
      <c r="G4360" s="4" t="str">
        <f>HYPERLINK("https://diaocthongthai.com/xa-my-tan-my-loc/","Xã Mỹ Tân")</f>
        <v>Xã Mỹ Tân</v>
      </c>
    </row>
    <row r="4361" spans="1:7" x14ac:dyDescent="0.25">
      <c r="A4361" s="2">
        <v>4360</v>
      </c>
      <c r="B4361" s="3" t="s">
        <v>26</v>
      </c>
      <c r="C4361" s="4" t="str">
        <f t="shared" si="359"/>
        <v>Nam Định</v>
      </c>
      <c r="D4361" s="3" t="s">
        <v>314</v>
      </c>
      <c r="E4361" s="4" t="str">
        <f t="shared" si="361"/>
        <v>Huyện Mỹ Lộc</v>
      </c>
      <c r="F4361" s="3" t="s">
        <v>5124</v>
      </c>
      <c r="G4361" s="4" t="str">
        <f>HYPERLINK("https://diaocthongthai.com/xa-my-phuc-my-loc/","Xã Mỹ Phúc")</f>
        <v>Xã Mỹ Phúc</v>
      </c>
    </row>
    <row r="4362" spans="1:7" x14ac:dyDescent="0.25">
      <c r="A4362" s="2">
        <v>4361</v>
      </c>
      <c r="B4362" s="3" t="s">
        <v>26</v>
      </c>
      <c r="C4362" s="4" t="str">
        <f t="shared" si="359"/>
        <v>Nam Định</v>
      </c>
      <c r="D4362" s="3" t="s">
        <v>314</v>
      </c>
      <c r="E4362" s="4" t="str">
        <f t="shared" si="361"/>
        <v>Huyện Mỹ Lộc</v>
      </c>
      <c r="F4362" s="3" t="s">
        <v>5125</v>
      </c>
      <c r="G4362" s="4" t="str">
        <f>HYPERLINK("https://diaocthongthai.com/xa-my-hung-my-loc/","Xã Mỹ Hưng")</f>
        <v>Xã Mỹ Hưng</v>
      </c>
    </row>
    <row r="4363" spans="1:7" x14ac:dyDescent="0.25">
      <c r="A4363" s="2">
        <v>4362</v>
      </c>
      <c r="B4363" s="3" t="s">
        <v>26</v>
      </c>
      <c r="C4363" s="4" t="str">
        <f t="shared" si="359"/>
        <v>Nam Định</v>
      </c>
      <c r="D4363" s="3" t="s">
        <v>314</v>
      </c>
      <c r="E4363" s="4" t="str">
        <f t="shared" si="361"/>
        <v>Huyện Mỹ Lộc</v>
      </c>
      <c r="F4363" s="3" t="s">
        <v>5126</v>
      </c>
      <c r="G4363" s="4" t="str">
        <f>HYPERLINK("https://diaocthongthai.com/xa-my-thuan-my-loc/","Xã Mỹ Thuận")</f>
        <v>Xã Mỹ Thuận</v>
      </c>
    </row>
    <row r="4364" spans="1:7" x14ac:dyDescent="0.25">
      <c r="A4364" s="2">
        <v>4363</v>
      </c>
      <c r="B4364" s="3" t="s">
        <v>26</v>
      </c>
      <c r="C4364" s="4" t="str">
        <f t="shared" si="359"/>
        <v>Nam Định</v>
      </c>
      <c r="D4364" s="3" t="s">
        <v>314</v>
      </c>
      <c r="E4364" s="4" t="str">
        <f t="shared" si="361"/>
        <v>Huyện Mỹ Lộc</v>
      </c>
      <c r="F4364" s="3" t="s">
        <v>5127</v>
      </c>
      <c r="G4364" s="4" t="str">
        <f>HYPERLINK("https://diaocthongthai.com/xa-my-thinh-my-loc/","Xã Mỹ Thịnh")</f>
        <v>Xã Mỹ Thịnh</v>
      </c>
    </row>
    <row r="4365" spans="1:7" x14ac:dyDescent="0.25">
      <c r="A4365" s="2">
        <v>4364</v>
      </c>
      <c r="B4365" s="3" t="s">
        <v>26</v>
      </c>
      <c r="C4365" s="4" t="str">
        <f t="shared" si="359"/>
        <v>Nam Định</v>
      </c>
      <c r="D4365" s="3" t="s">
        <v>314</v>
      </c>
      <c r="E4365" s="4" t="str">
        <f t="shared" si="361"/>
        <v>Huyện Mỹ Lộc</v>
      </c>
      <c r="F4365" s="3" t="s">
        <v>5128</v>
      </c>
      <c r="G4365" s="4" t="str">
        <f>HYPERLINK("https://diaocthongthai.com/xa-my-thanh-my-loc/","Xã Mỹ Thành")</f>
        <v>Xã Mỹ Thành</v>
      </c>
    </row>
    <row r="4366" spans="1:7" x14ac:dyDescent="0.25">
      <c r="A4366" s="2">
        <v>4365</v>
      </c>
      <c r="B4366" s="3" t="s">
        <v>26</v>
      </c>
      <c r="C4366" s="4" t="str">
        <f t="shared" si="359"/>
        <v>Nam Định</v>
      </c>
      <c r="D4366" s="3" t="s">
        <v>315</v>
      </c>
      <c r="E4366" s="4" t="str">
        <f t="shared" ref="E4366:E4383" si="362">HYPERLINK("https://diaocthongthai.com/ban-do-huyen-vu-ban-nam-dinh/","Huyện Vụ Bản")</f>
        <v>Huyện Vụ Bản</v>
      </c>
      <c r="F4366" s="3" t="s">
        <v>5129</v>
      </c>
      <c r="G4366" s="4" t="str">
        <f>HYPERLINK("https://diaocthongthai.com/thi-tran-goi-vu-ban/","Thị trấn Gôi")</f>
        <v>Thị trấn Gôi</v>
      </c>
    </row>
    <row r="4367" spans="1:7" x14ac:dyDescent="0.25">
      <c r="A4367" s="2">
        <v>4366</v>
      </c>
      <c r="B4367" s="3" t="s">
        <v>26</v>
      </c>
      <c r="C4367" s="4" t="str">
        <f t="shared" si="359"/>
        <v>Nam Định</v>
      </c>
      <c r="D4367" s="3" t="s">
        <v>315</v>
      </c>
      <c r="E4367" s="4" t="str">
        <f t="shared" si="362"/>
        <v>Huyện Vụ Bản</v>
      </c>
      <c r="F4367" s="3" t="s">
        <v>5130</v>
      </c>
      <c r="G4367" s="4" t="str">
        <f>HYPERLINK("https://diaocthongthai.com/xa-minh-thuan-vu-ban/","Xã Minh Thuận")</f>
        <v>Xã Minh Thuận</v>
      </c>
    </row>
    <row r="4368" spans="1:7" x14ac:dyDescent="0.25">
      <c r="A4368" s="2">
        <v>4367</v>
      </c>
      <c r="B4368" s="3" t="s">
        <v>26</v>
      </c>
      <c r="C4368" s="4" t="str">
        <f t="shared" si="359"/>
        <v>Nam Định</v>
      </c>
      <c r="D4368" s="3" t="s">
        <v>315</v>
      </c>
      <c r="E4368" s="4" t="str">
        <f t="shared" si="362"/>
        <v>Huyện Vụ Bản</v>
      </c>
      <c r="F4368" s="3" t="s">
        <v>5131</v>
      </c>
      <c r="G4368" s="4" t="str">
        <f>HYPERLINK("https://diaocthongthai.com/xa-hien-khanh-vu-ban/","Xã Hiển Khánh")</f>
        <v>Xã Hiển Khánh</v>
      </c>
    </row>
    <row r="4369" spans="1:7" x14ac:dyDescent="0.25">
      <c r="A4369" s="2">
        <v>4368</v>
      </c>
      <c r="B4369" s="3" t="s">
        <v>26</v>
      </c>
      <c r="C4369" s="4" t="str">
        <f t="shared" si="359"/>
        <v>Nam Định</v>
      </c>
      <c r="D4369" s="3" t="s">
        <v>315</v>
      </c>
      <c r="E4369" s="4" t="str">
        <f t="shared" si="362"/>
        <v>Huyện Vụ Bản</v>
      </c>
      <c r="F4369" s="3" t="s">
        <v>5132</v>
      </c>
      <c r="G4369" s="4" t="str">
        <f>HYPERLINK("https://diaocthongthai.com/xa-tan-khanh-vu-ban/","Xã Tân Khánh")</f>
        <v>Xã Tân Khánh</v>
      </c>
    </row>
    <row r="4370" spans="1:7" x14ac:dyDescent="0.25">
      <c r="A4370" s="2">
        <v>4369</v>
      </c>
      <c r="B4370" s="3" t="s">
        <v>26</v>
      </c>
      <c r="C4370" s="4" t="str">
        <f t="shared" si="359"/>
        <v>Nam Định</v>
      </c>
      <c r="D4370" s="3" t="s">
        <v>315</v>
      </c>
      <c r="E4370" s="4" t="str">
        <f t="shared" si="362"/>
        <v>Huyện Vụ Bản</v>
      </c>
      <c r="F4370" s="3" t="s">
        <v>5133</v>
      </c>
      <c r="G4370" s="4" t="str">
        <f>HYPERLINK("https://diaocthongthai.com/xa-hop-hung-vu-ban/","Xã Hợp Hưng")</f>
        <v>Xã Hợp Hưng</v>
      </c>
    </row>
    <row r="4371" spans="1:7" x14ac:dyDescent="0.25">
      <c r="A4371" s="2">
        <v>4370</v>
      </c>
      <c r="B4371" s="3" t="s">
        <v>26</v>
      </c>
      <c r="C4371" s="4" t="str">
        <f t="shared" si="359"/>
        <v>Nam Định</v>
      </c>
      <c r="D4371" s="3" t="s">
        <v>315</v>
      </c>
      <c r="E4371" s="4" t="str">
        <f t="shared" si="362"/>
        <v>Huyện Vụ Bản</v>
      </c>
      <c r="F4371" s="3" t="s">
        <v>5134</v>
      </c>
      <c r="G4371" s="4" t="str">
        <f>HYPERLINK("https://diaocthongthai.com/xa-dai-an-vu-ban/","Xã Đại An")</f>
        <v>Xã Đại An</v>
      </c>
    </row>
    <row r="4372" spans="1:7" x14ac:dyDescent="0.25">
      <c r="A4372" s="2">
        <v>4371</v>
      </c>
      <c r="B4372" s="3" t="s">
        <v>26</v>
      </c>
      <c r="C4372" s="4" t="str">
        <f t="shared" si="359"/>
        <v>Nam Định</v>
      </c>
      <c r="D4372" s="3" t="s">
        <v>315</v>
      </c>
      <c r="E4372" s="4" t="str">
        <f t="shared" si="362"/>
        <v>Huyện Vụ Bản</v>
      </c>
      <c r="F4372" s="3" t="s">
        <v>5135</v>
      </c>
      <c r="G4372" s="4" t="str">
        <f>HYPERLINK("https://diaocthongthai.com/xa-tan-thanh-vu-ban/","Xã Tân Thành")</f>
        <v>Xã Tân Thành</v>
      </c>
    </row>
    <row r="4373" spans="1:7" x14ac:dyDescent="0.25">
      <c r="A4373" s="2">
        <v>4372</v>
      </c>
      <c r="B4373" s="3" t="s">
        <v>26</v>
      </c>
      <c r="C4373" s="4" t="str">
        <f t="shared" si="359"/>
        <v>Nam Định</v>
      </c>
      <c r="D4373" s="3" t="s">
        <v>315</v>
      </c>
      <c r="E4373" s="4" t="str">
        <f t="shared" si="362"/>
        <v>Huyện Vụ Bản</v>
      </c>
      <c r="F4373" s="3" t="s">
        <v>5136</v>
      </c>
      <c r="G4373" s="4" t="str">
        <f>HYPERLINK("https://diaocthongthai.com/xa-cong-hoa-vu-ban/","Xã Cộng Hòa")</f>
        <v>Xã Cộng Hòa</v>
      </c>
    </row>
    <row r="4374" spans="1:7" x14ac:dyDescent="0.25">
      <c r="A4374" s="2">
        <v>4373</v>
      </c>
      <c r="B4374" s="3" t="s">
        <v>26</v>
      </c>
      <c r="C4374" s="4" t="str">
        <f t="shared" si="359"/>
        <v>Nam Định</v>
      </c>
      <c r="D4374" s="3" t="s">
        <v>315</v>
      </c>
      <c r="E4374" s="4" t="str">
        <f t="shared" si="362"/>
        <v>Huyện Vụ Bản</v>
      </c>
      <c r="F4374" s="3" t="s">
        <v>5137</v>
      </c>
      <c r="G4374" s="4" t="str">
        <f>HYPERLINK("https://diaocthongthai.com/xa-trung-thanh-vu-ban/","Xã Trung Thành")</f>
        <v>Xã Trung Thành</v>
      </c>
    </row>
    <row r="4375" spans="1:7" x14ac:dyDescent="0.25">
      <c r="A4375" s="2">
        <v>4374</v>
      </c>
      <c r="B4375" s="3" t="s">
        <v>26</v>
      </c>
      <c r="C4375" s="4" t="str">
        <f t="shared" si="359"/>
        <v>Nam Định</v>
      </c>
      <c r="D4375" s="3" t="s">
        <v>315</v>
      </c>
      <c r="E4375" s="4" t="str">
        <f t="shared" si="362"/>
        <v>Huyện Vụ Bản</v>
      </c>
      <c r="F4375" s="3" t="s">
        <v>5138</v>
      </c>
      <c r="G4375" s="4" t="str">
        <f>HYPERLINK("https://diaocthongthai.com/xa-quang-trung-vu-ban/","Xã Quang Trung")</f>
        <v>Xã Quang Trung</v>
      </c>
    </row>
    <row r="4376" spans="1:7" x14ac:dyDescent="0.25">
      <c r="A4376" s="2">
        <v>4375</v>
      </c>
      <c r="B4376" s="3" t="s">
        <v>26</v>
      </c>
      <c r="C4376" s="4" t="str">
        <f t="shared" si="359"/>
        <v>Nam Định</v>
      </c>
      <c r="D4376" s="3" t="s">
        <v>315</v>
      </c>
      <c r="E4376" s="4" t="str">
        <f t="shared" si="362"/>
        <v>Huyện Vụ Bản</v>
      </c>
      <c r="F4376" s="3" t="s">
        <v>5139</v>
      </c>
      <c r="G4376" s="4" t="str">
        <f>HYPERLINK("https://diaocthongthai.com/xa-minh-tan-vu-ban/","Xã Minh Tân")</f>
        <v>Xã Minh Tân</v>
      </c>
    </row>
    <row r="4377" spans="1:7" x14ac:dyDescent="0.25">
      <c r="A4377" s="2">
        <v>4376</v>
      </c>
      <c r="B4377" s="3" t="s">
        <v>26</v>
      </c>
      <c r="C4377" s="4" t="str">
        <f t="shared" si="359"/>
        <v>Nam Định</v>
      </c>
      <c r="D4377" s="3" t="s">
        <v>315</v>
      </c>
      <c r="E4377" s="4" t="str">
        <f t="shared" si="362"/>
        <v>Huyện Vụ Bản</v>
      </c>
      <c r="F4377" s="3" t="s">
        <v>5140</v>
      </c>
      <c r="G4377" s="4" t="str">
        <f>HYPERLINK("https://diaocthongthai.com/xa-lien-bao-vu-ban/","Xã Liên Bảo")</f>
        <v>Xã Liên Bảo</v>
      </c>
    </row>
    <row r="4378" spans="1:7" x14ac:dyDescent="0.25">
      <c r="A4378" s="2">
        <v>4377</v>
      </c>
      <c r="B4378" s="3" t="s">
        <v>26</v>
      </c>
      <c r="C4378" s="4" t="str">
        <f t="shared" si="359"/>
        <v>Nam Định</v>
      </c>
      <c r="D4378" s="3" t="s">
        <v>315</v>
      </c>
      <c r="E4378" s="4" t="str">
        <f t="shared" si="362"/>
        <v>Huyện Vụ Bản</v>
      </c>
      <c r="F4378" s="3" t="s">
        <v>5141</v>
      </c>
      <c r="G4378" s="4" t="str">
        <f>HYPERLINK("https://diaocthongthai.com/xa-thanh-loi-vu-ban/","Xã Thành Lợi")</f>
        <v>Xã Thành Lợi</v>
      </c>
    </row>
    <row r="4379" spans="1:7" x14ac:dyDescent="0.25">
      <c r="A4379" s="2">
        <v>4378</v>
      </c>
      <c r="B4379" s="3" t="s">
        <v>26</v>
      </c>
      <c r="C4379" s="4" t="str">
        <f t="shared" si="359"/>
        <v>Nam Định</v>
      </c>
      <c r="D4379" s="3" t="s">
        <v>315</v>
      </c>
      <c r="E4379" s="4" t="str">
        <f t="shared" si="362"/>
        <v>Huyện Vụ Bản</v>
      </c>
      <c r="F4379" s="3" t="s">
        <v>5142</v>
      </c>
      <c r="G4379" s="4" t="str">
        <f>HYPERLINK("https://diaocthongthai.com/xa-kim-thai-vu-ban/","Xã Kim Thái")</f>
        <v>Xã Kim Thái</v>
      </c>
    </row>
    <row r="4380" spans="1:7" x14ac:dyDescent="0.25">
      <c r="A4380" s="2">
        <v>4379</v>
      </c>
      <c r="B4380" s="3" t="s">
        <v>26</v>
      </c>
      <c r="C4380" s="4" t="str">
        <f t="shared" si="359"/>
        <v>Nam Định</v>
      </c>
      <c r="D4380" s="3" t="s">
        <v>315</v>
      </c>
      <c r="E4380" s="4" t="str">
        <f t="shared" si="362"/>
        <v>Huyện Vụ Bản</v>
      </c>
      <c r="F4380" s="3" t="s">
        <v>5143</v>
      </c>
      <c r="G4380" s="4" t="str">
        <f>HYPERLINK("https://diaocthongthai.com/xa-lien-minh-vu-ban/","Xã Liên Minh")</f>
        <v>Xã Liên Minh</v>
      </c>
    </row>
    <row r="4381" spans="1:7" x14ac:dyDescent="0.25">
      <c r="A4381" s="2">
        <v>4380</v>
      </c>
      <c r="B4381" s="3" t="s">
        <v>26</v>
      </c>
      <c r="C4381" s="4" t="str">
        <f t="shared" si="359"/>
        <v>Nam Định</v>
      </c>
      <c r="D4381" s="3" t="s">
        <v>315</v>
      </c>
      <c r="E4381" s="4" t="str">
        <f t="shared" si="362"/>
        <v>Huyện Vụ Bản</v>
      </c>
      <c r="F4381" s="3" t="s">
        <v>5144</v>
      </c>
      <c r="G4381" s="4" t="str">
        <f>HYPERLINK("https://diaocthongthai.com/xa-dai-thang-vu-ban/","Xã Đại Thắng")</f>
        <v>Xã Đại Thắng</v>
      </c>
    </row>
    <row r="4382" spans="1:7" x14ac:dyDescent="0.25">
      <c r="A4382" s="2">
        <v>4381</v>
      </c>
      <c r="B4382" s="3" t="s">
        <v>26</v>
      </c>
      <c r="C4382" s="4" t="str">
        <f t="shared" si="359"/>
        <v>Nam Định</v>
      </c>
      <c r="D4382" s="3" t="s">
        <v>315</v>
      </c>
      <c r="E4382" s="4" t="str">
        <f t="shared" si="362"/>
        <v>Huyện Vụ Bản</v>
      </c>
      <c r="F4382" s="3" t="s">
        <v>5145</v>
      </c>
      <c r="G4382" s="4" t="str">
        <f>HYPERLINK("https://diaocthongthai.com/xa-tam-thanh-vu-ban/","Xã Tam Thanh")</f>
        <v>Xã Tam Thanh</v>
      </c>
    </row>
    <row r="4383" spans="1:7" x14ac:dyDescent="0.25">
      <c r="A4383" s="2">
        <v>4382</v>
      </c>
      <c r="B4383" s="3" t="s">
        <v>26</v>
      </c>
      <c r="C4383" s="4" t="str">
        <f t="shared" si="359"/>
        <v>Nam Định</v>
      </c>
      <c r="D4383" s="3" t="s">
        <v>315</v>
      </c>
      <c r="E4383" s="4" t="str">
        <f t="shared" si="362"/>
        <v>Huyện Vụ Bản</v>
      </c>
      <c r="F4383" s="3" t="s">
        <v>5146</v>
      </c>
      <c r="G4383" s="4" t="str">
        <f>HYPERLINK("https://diaocthongthai.com/xa-vinh-hao-vu-ban/","Xã Vĩnh Hào")</f>
        <v>Xã Vĩnh Hào</v>
      </c>
    </row>
    <row r="4384" spans="1:7" x14ac:dyDescent="0.25">
      <c r="A4384" s="2">
        <v>4383</v>
      </c>
      <c r="B4384" s="3" t="s">
        <v>26</v>
      </c>
      <c r="C4384" s="4" t="str">
        <f t="shared" si="359"/>
        <v>Nam Định</v>
      </c>
      <c r="D4384" s="3" t="s">
        <v>316</v>
      </c>
      <c r="E4384" s="4" t="str">
        <f t="shared" ref="E4384:E4414" si="363">HYPERLINK("https://diaocthongthai.com/ban-do-huyen-y-yen-nam-dinh/","Huyện Ý Yên")</f>
        <v>Huyện Ý Yên</v>
      </c>
      <c r="F4384" s="3" t="s">
        <v>5147</v>
      </c>
      <c r="G4384" s="4" t="str">
        <f>HYPERLINK("https://diaocthongthai.com/thi-tran-lam-y-yen/","Thị trấn Lâm")</f>
        <v>Thị trấn Lâm</v>
      </c>
    </row>
    <row r="4385" spans="1:7" x14ac:dyDescent="0.25">
      <c r="A4385" s="2">
        <v>4384</v>
      </c>
      <c r="B4385" s="3" t="s">
        <v>26</v>
      </c>
      <c r="C4385" s="4" t="str">
        <f t="shared" si="359"/>
        <v>Nam Định</v>
      </c>
      <c r="D4385" s="3" t="s">
        <v>316</v>
      </c>
      <c r="E4385" s="4" t="str">
        <f t="shared" si="363"/>
        <v>Huyện Ý Yên</v>
      </c>
      <c r="F4385" s="3" t="s">
        <v>5148</v>
      </c>
      <c r="G4385" s="4" t="str">
        <f>HYPERLINK("https://diaocthongthai.com/xa-yen-trung-y-yen/","Xã Yên Trung")</f>
        <v>Xã Yên Trung</v>
      </c>
    </row>
    <row r="4386" spans="1:7" x14ac:dyDescent="0.25">
      <c r="A4386" s="2">
        <v>4385</v>
      </c>
      <c r="B4386" s="3" t="s">
        <v>26</v>
      </c>
      <c r="C4386" s="4" t="str">
        <f t="shared" si="359"/>
        <v>Nam Định</v>
      </c>
      <c r="D4386" s="3" t="s">
        <v>316</v>
      </c>
      <c r="E4386" s="4" t="str">
        <f t="shared" si="363"/>
        <v>Huyện Ý Yên</v>
      </c>
      <c r="F4386" s="3" t="s">
        <v>5149</v>
      </c>
      <c r="G4386" s="4" t="str">
        <f>HYPERLINK("https://diaocthongthai.com/xa-yen-thanh-y-yen/","Xã Yên Thành")</f>
        <v>Xã Yên Thành</v>
      </c>
    </row>
    <row r="4387" spans="1:7" x14ac:dyDescent="0.25">
      <c r="A4387" s="2">
        <v>4386</v>
      </c>
      <c r="B4387" s="3" t="s">
        <v>26</v>
      </c>
      <c r="C4387" s="4" t="str">
        <f t="shared" si="359"/>
        <v>Nam Định</v>
      </c>
      <c r="D4387" s="3" t="s">
        <v>316</v>
      </c>
      <c r="E4387" s="4" t="str">
        <f t="shared" si="363"/>
        <v>Huyện Ý Yên</v>
      </c>
      <c r="F4387" s="3" t="s">
        <v>5150</v>
      </c>
      <c r="G4387" s="4" t="str">
        <f>HYPERLINK("https://diaocthongthai.com/xa-yen-tan-y-yen/","Xã Yên Tân")</f>
        <v>Xã Yên Tân</v>
      </c>
    </row>
    <row r="4388" spans="1:7" x14ac:dyDescent="0.25">
      <c r="A4388" s="2">
        <v>4387</v>
      </c>
      <c r="B4388" s="3" t="s">
        <v>26</v>
      </c>
      <c r="C4388" s="4" t="str">
        <f t="shared" si="359"/>
        <v>Nam Định</v>
      </c>
      <c r="D4388" s="3" t="s">
        <v>316</v>
      </c>
      <c r="E4388" s="4" t="str">
        <f t="shared" si="363"/>
        <v>Huyện Ý Yên</v>
      </c>
      <c r="F4388" s="3" t="s">
        <v>5151</v>
      </c>
      <c r="G4388" s="4" t="str">
        <f>HYPERLINK("https://diaocthongthai.com/xa-yen-loi-y-yen/","Xã Yên Lợi")</f>
        <v>Xã Yên Lợi</v>
      </c>
    </row>
    <row r="4389" spans="1:7" x14ac:dyDescent="0.25">
      <c r="A4389" s="2">
        <v>4388</v>
      </c>
      <c r="B4389" s="3" t="s">
        <v>26</v>
      </c>
      <c r="C4389" s="4" t="str">
        <f t="shared" si="359"/>
        <v>Nam Định</v>
      </c>
      <c r="D4389" s="3" t="s">
        <v>316</v>
      </c>
      <c r="E4389" s="4" t="str">
        <f t="shared" si="363"/>
        <v>Huyện Ý Yên</v>
      </c>
      <c r="F4389" s="3" t="s">
        <v>5152</v>
      </c>
      <c r="G4389" s="4" t="str">
        <f>HYPERLINK("https://diaocthongthai.com/xa-yen-tho-y-yen/","Xã Yên Thọ")</f>
        <v>Xã Yên Thọ</v>
      </c>
    </row>
    <row r="4390" spans="1:7" x14ac:dyDescent="0.25">
      <c r="A4390" s="2">
        <v>4389</v>
      </c>
      <c r="B4390" s="3" t="s">
        <v>26</v>
      </c>
      <c r="C4390" s="4" t="str">
        <f t="shared" si="359"/>
        <v>Nam Định</v>
      </c>
      <c r="D4390" s="3" t="s">
        <v>316</v>
      </c>
      <c r="E4390" s="4" t="str">
        <f t="shared" si="363"/>
        <v>Huyện Ý Yên</v>
      </c>
      <c r="F4390" s="3" t="s">
        <v>5153</v>
      </c>
      <c r="G4390" s="4" t="str">
        <f>HYPERLINK("https://diaocthongthai.com/xa-yen-nghia-y-yen/","Xã Yên Nghĩa")</f>
        <v>Xã Yên Nghĩa</v>
      </c>
    </row>
    <row r="4391" spans="1:7" x14ac:dyDescent="0.25">
      <c r="A4391" s="2">
        <v>4390</v>
      </c>
      <c r="B4391" s="3" t="s">
        <v>26</v>
      </c>
      <c r="C4391" s="4" t="str">
        <f t="shared" si="359"/>
        <v>Nam Định</v>
      </c>
      <c r="D4391" s="3" t="s">
        <v>316</v>
      </c>
      <c r="E4391" s="4" t="str">
        <f t="shared" si="363"/>
        <v>Huyện Ý Yên</v>
      </c>
      <c r="F4391" s="3" t="s">
        <v>5154</v>
      </c>
      <c r="G4391" s="4" t="str">
        <f>HYPERLINK("https://diaocthongthai.com/xa-yen-minh-y-yen/","Xã Yên Minh")</f>
        <v>Xã Yên Minh</v>
      </c>
    </row>
    <row r="4392" spans="1:7" x14ac:dyDescent="0.25">
      <c r="A4392" s="2">
        <v>4391</v>
      </c>
      <c r="B4392" s="3" t="s">
        <v>26</v>
      </c>
      <c r="C4392" s="4" t="str">
        <f t="shared" si="359"/>
        <v>Nam Định</v>
      </c>
      <c r="D4392" s="3" t="s">
        <v>316</v>
      </c>
      <c r="E4392" s="4" t="str">
        <f t="shared" si="363"/>
        <v>Huyện Ý Yên</v>
      </c>
      <c r="F4392" s="3" t="s">
        <v>5155</v>
      </c>
      <c r="G4392" s="4" t="str">
        <f>HYPERLINK("https://diaocthongthai.com/xa-yen-phuong-y-yen/","Xã Yên Phương")</f>
        <v>Xã Yên Phương</v>
      </c>
    </row>
    <row r="4393" spans="1:7" x14ac:dyDescent="0.25">
      <c r="A4393" s="2">
        <v>4392</v>
      </c>
      <c r="B4393" s="3" t="s">
        <v>26</v>
      </c>
      <c r="C4393" s="4" t="str">
        <f t="shared" si="359"/>
        <v>Nam Định</v>
      </c>
      <c r="D4393" s="3" t="s">
        <v>316</v>
      </c>
      <c r="E4393" s="4" t="str">
        <f t="shared" si="363"/>
        <v>Huyện Ý Yên</v>
      </c>
      <c r="F4393" s="3" t="s">
        <v>5156</v>
      </c>
      <c r="G4393" s="4" t="str">
        <f>HYPERLINK("https://diaocthongthai.com/xa-yen-chinh-y-yen/","Xã Yên Chính")</f>
        <v>Xã Yên Chính</v>
      </c>
    </row>
    <row r="4394" spans="1:7" x14ac:dyDescent="0.25">
      <c r="A4394" s="2">
        <v>4393</v>
      </c>
      <c r="B4394" s="3" t="s">
        <v>26</v>
      </c>
      <c r="C4394" s="4" t="str">
        <f t="shared" ref="C4394:C4457" si="364">HYPERLINK("https://diaocthongthai.com/ban-do-nam-dinh/","Nam Định")</f>
        <v>Nam Định</v>
      </c>
      <c r="D4394" s="3" t="s">
        <v>316</v>
      </c>
      <c r="E4394" s="4" t="str">
        <f t="shared" si="363"/>
        <v>Huyện Ý Yên</v>
      </c>
      <c r="F4394" s="3" t="s">
        <v>5157</v>
      </c>
      <c r="G4394" s="4" t="str">
        <f>HYPERLINK("https://diaocthongthai.com/xa-yen-binh-y-yen/","Xã Yên Bình")</f>
        <v>Xã Yên Bình</v>
      </c>
    </row>
    <row r="4395" spans="1:7" x14ac:dyDescent="0.25">
      <c r="A4395" s="2">
        <v>4394</v>
      </c>
      <c r="B4395" s="3" t="s">
        <v>26</v>
      </c>
      <c r="C4395" s="4" t="str">
        <f t="shared" si="364"/>
        <v>Nam Định</v>
      </c>
      <c r="D4395" s="3" t="s">
        <v>316</v>
      </c>
      <c r="E4395" s="4" t="str">
        <f t="shared" si="363"/>
        <v>Huyện Ý Yên</v>
      </c>
      <c r="F4395" s="3" t="s">
        <v>5158</v>
      </c>
      <c r="G4395" s="4" t="str">
        <f>HYPERLINK("https://diaocthongthai.com/xa-yen-phu-y-yen/","Xã Yên Phú")</f>
        <v>Xã Yên Phú</v>
      </c>
    </row>
    <row r="4396" spans="1:7" x14ac:dyDescent="0.25">
      <c r="A4396" s="2">
        <v>4395</v>
      </c>
      <c r="B4396" s="3" t="s">
        <v>26</v>
      </c>
      <c r="C4396" s="4" t="str">
        <f t="shared" si="364"/>
        <v>Nam Định</v>
      </c>
      <c r="D4396" s="3" t="s">
        <v>316</v>
      </c>
      <c r="E4396" s="4" t="str">
        <f t="shared" si="363"/>
        <v>Huyện Ý Yên</v>
      </c>
      <c r="F4396" s="3" t="s">
        <v>5159</v>
      </c>
      <c r="G4396" s="4" t="str">
        <f>HYPERLINK("https://diaocthongthai.com/xa-yen-my-y-yen/","Xã Yên Mỹ")</f>
        <v>Xã Yên Mỹ</v>
      </c>
    </row>
    <row r="4397" spans="1:7" x14ac:dyDescent="0.25">
      <c r="A4397" s="2">
        <v>4396</v>
      </c>
      <c r="B4397" s="3" t="s">
        <v>26</v>
      </c>
      <c r="C4397" s="4" t="str">
        <f t="shared" si="364"/>
        <v>Nam Định</v>
      </c>
      <c r="D4397" s="3" t="s">
        <v>316</v>
      </c>
      <c r="E4397" s="4" t="str">
        <f t="shared" si="363"/>
        <v>Huyện Ý Yên</v>
      </c>
      <c r="F4397" s="3" t="s">
        <v>5160</v>
      </c>
      <c r="G4397" s="4" t="str">
        <f>HYPERLINK("https://diaocthongthai.com/xa-yen-duong-y-yen/","Xã Yên Dương")</f>
        <v>Xã Yên Dương</v>
      </c>
    </row>
    <row r="4398" spans="1:7" x14ac:dyDescent="0.25">
      <c r="A4398" s="2">
        <v>4397</v>
      </c>
      <c r="B4398" s="3" t="s">
        <v>26</v>
      </c>
      <c r="C4398" s="4" t="str">
        <f t="shared" si="364"/>
        <v>Nam Định</v>
      </c>
      <c r="D4398" s="3" t="s">
        <v>316</v>
      </c>
      <c r="E4398" s="4" t="str">
        <f t="shared" si="363"/>
        <v>Huyện Ý Yên</v>
      </c>
      <c r="F4398" s="3" t="s">
        <v>5161</v>
      </c>
      <c r="G4398" s="4" t="str">
        <f>HYPERLINK("https://diaocthongthai.com/xa-yen-hung-y-yen/","Xã Yên Hưng")</f>
        <v>Xã Yên Hưng</v>
      </c>
    </row>
    <row r="4399" spans="1:7" x14ac:dyDescent="0.25">
      <c r="A4399" s="2">
        <v>4398</v>
      </c>
      <c r="B4399" s="3" t="s">
        <v>26</v>
      </c>
      <c r="C4399" s="4" t="str">
        <f t="shared" si="364"/>
        <v>Nam Định</v>
      </c>
      <c r="D4399" s="3" t="s">
        <v>316</v>
      </c>
      <c r="E4399" s="4" t="str">
        <f t="shared" si="363"/>
        <v>Huyện Ý Yên</v>
      </c>
      <c r="F4399" s="3" t="s">
        <v>5162</v>
      </c>
      <c r="G4399" s="4" t="str">
        <f>HYPERLINK("https://diaocthongthai.com/xa-yen-khanh-y-yen/","Xã Yên Khánh")</f>
        <v>Xã Yên Khánh</v>
      </c>
    </row>
    <row r="4400" spans="1:7" x14ac:dyDescent="0.25">
      <c r="A4400" s="2">
        <v>4399</v>
      </c>
      <c r="B4400" s="3" t="s">
        <v>26</v>
      </c>
      <c r="C4400" s="4" t="str">
        <f t="shared" si="364"/>
        <v>Nam Định</v>
      </c>
      <c r="D4400" s="3" t="s">
        <v>316</v>
      </c>
      <c r="E4400" s="4" t="str">
        <f t="shared" si="363"/>
        <v>Huyện Ý Yên</v>
      </c>
      <c r="F4400" s="3" t="s">
        <v>5163</v>
      </c>
      <c r="G4400" s="4" t="str">
        <f>HYPERLINK("https://diaocthongthai.com/xa-yen-phong-y-yen/","Xã Yên Phong")</f>
        <v>Xã Yên Phong</v>
      </c>
    </row>
    <row r="4401" spans="1:7" x14ac:dyDescent="0.25">
      <c r="A4401" s="2">
        <v>4400</v>
      </c>
      <c r="B4401" s="3" t="s">
        <v>26</v>
      </c>
      <c r="C4401" s="4" t="str">
        <f t="shared" si="364"/>
        <v>Nam Định</v>
      </c>
      <c r="D4401" s="3" t="s">
        <v>316</v>
      </c>
      <c r="E4401" s="4" t="str">
        <f t="shared" si="363"/>
        <v>Huyện Ý Yên</v>
      </c>
      <c r="F4401" s="3" t="s">
        <v>5164</v>
      </c>
      <c r="G4401" s="4" t="str">
        <f>HYPERLINK("https://diaocthongthai.com/xa-yen-ninh-y-yen/","Xã Yên Ninh")</f>
        <v>Xã Yên Ninh</v>
      </c>
    </row>
    <row r="4402" spans="1:7" x14ac:dyDescent="0.25">
      <c r="A4402" s="2">
        <v>4401</v>
      </c>
      <c r="B4402" s="3" t="s">
        <v>26</v>
      </c>
      <c r="C4402" s="4" t="str">
        <f t="shared" si="364"/>
        <v>Nam Định</v>
      </c>
      <c r="D4402" s="3" t="s">
        <v>316</v>
      </c>
      <c r="E4402" s="4" t="str">
        <f t="shared" si="363"/>
        <v>Huyện Ý Yên</v>
      </c>
      <c r="F4402" s="3" t="s">
        <v>5165</v>
      </c>
      <c r="G4402" s="4" t="str">
        <f>HYPERLINK("https://diaocthongthai.com/xa-yen-luong-y-yen/","Xã Yên Lương")</f>
        <v>Xã Yên Lương</v>
      </c>
    </row>
    <row r="4403" spans="1:7" x14ac:dyDescent="0.25">
      <c r="A4403" s="2">
        <v>4402</v>
      </c>
      <c r="B4403" s="3" t="s">
        <v>26</v>
      </c>
      <c r="C4403" s="4" t="str">
        <f t="shared" si="364"/>
        <v>Nam Định</v>
      </c>
      <c r="D4403" s="3" t="s">
        <v>316</v>
      </c>
      <c r="E4403" s="4" t="str">
        <f t="shared" si="363"/>
        <v>Huyện Ý Yên</v>
      </c>
      <c r="F4403" s="3" t="s">
        <v>5166</v>
      </c>
      <c r="G4403" s="4" t="str">
        <f>HYPERLINK("https://diaocthongthai.com/xa-yen-hong-y-yen/","Xã Yên Hồng")</f>
        <v>Xã Yên Hồng</v>
      </c>
    </row>
    <row r="4404" spans="1:7" x14ac:dyDescent="0.25">
      <c r="A4404" s="2">
        <v>4403</v>
      </c>
      <c r="B4404" s="3" t="s">
        <v>26</v>
      </c>
      <c r="C4404" s="4" t="str">
        <f t="shared" si="364"/>
        <v>Nam Định</v>
      </c>
      <c r="D4404" s="3" t="s">
        <v>316</v>
      </c>
      <c r="E4404" s="4" t="str">
        <f t="shared" si="363"/>
        <v>Huyện Ý Yên</v>
      </c>
      <c r="F4404" s="3" t="s">
        <v>5167</v>
      </c>
      <c r="G4404" s="4" t="str">
        <f>HYPERLINK("https://diaocthongthai.com/xa-yen-quang-y-yen/","Xã Yên Quang")</f>
        <v>Xã Yên Quang</v>
      </c>
    </row>
    <row r="4405" spans="1:7" x14ac:dyDescent="0.25">
      <c r="A4405" s="2">
        <v>4404</v>
      </c>
      <c r="B4405" s="3" t="s">
        <v>26</v>
      </c>
      <c r="C4405" s="4" t="str">
        <f t="shared" si="364"/>
        <v>Nam Định</v>
      </c>
      <c r="D4405" s="3" t="s">
        <v>316</v>
      </c>
      <c r="E4405" s="4" t="str">
        <f t="shared" si="363"/>
        <v>Huyện Ý Yên</v>
      </c>
      <c r="F4405" s="3" t="s">
        <v>5168</v>
      </c>
      <c r="G4405" s="4" t="str">
        <f>HYPERLINK("https://diaocthongthai.com/xa-yen-tien-y-yen/","Xã Yên Tiến")</f>
        <v>Xã Yên Tiến</v>
      </c>
    </row>
    <row r="4406" spans="1:7" x14ac:dyDescent="0.25">
      <c r="A4406" s="2">
        <v>4405</v>
      </c>
      <c r="B4406" s="3" t="s">
        <v>26</v>
      </c>
      <c r="C4406" s="4" t="str">
        <f t="shared" si="364"/>
        <v>Nam Định</v>
      </c>
      <c r="D4406" s="3" t="s">
        <v>316</v>
      </c>
      <c r="E4406" s="4" t="str">
        <f t="shared" si="363"/>
        <v>Huyện Ý Yên</v>
      </c>
      <c r="F4406" s="3" t="s">
        <v>5169</v>
      </c>
      <c r="G4406" s="4" t="str">
        <f>HYPERLINK("https://diaocthongthai.com/xa-yen-thang-y-yen/","Xã Yên Thắng")</f>
        <v>Xã Yên Thắng</v>
      </c>
    </row>
    <row r="4407" spans="1:7" x14ac:dyDescent="0.25">
      <c r="A4407" s="2">
        <v>4406</v>
      </c>
      <c r="B4407" s="3" t="s">
        <v>26</v>
      </c>
      <c r="C4407" s="4" t="str">
        <f t="shared" si="364"/>
        <v>Nam Định</v>
      </c>
      <c r="D4407" s="3" t="s">
        <v>316</v>
      </c>
      <c r="E4407" s="4" t="str">
        <f t="shared" si="363"/>
        <v>Huyện Ý Yên</v>
      </c>
      <c r="F4407" s="3" t="s">
        <v>5170</v>
      </c>
      <c r="G4407" s="4" t="str">
        <f>HYPERLINK("https://diaocthongthai.com/xa-yen-phuc-y-yen/","Xã Yên Phúc")</f>
        <v>Xã Yên Phúc</v>
      </c>
    </row>
    <row r="4408" spans="1:7" x14ac:dyDescent="0.25">
      <c r="A4408" s="2">
        <v>4407</v>
      </c>
      <c r="B4408" s="3" t="s">
        <v>26</v>
      </c>
      <c r="C4408" s="4" t="str">
        <f t="shared" si="364"/>
        <v>Nam Định</v>
      </c>
      <c r="D4408" s="3" t="s">
        <v>316</v>
      </c>
      <c r="E4408" s="4" t="str">
        <f t="shared" si="363"/>
        <v>Huyện Ý Yên</v>
      </c>
      <c r="F4408" s="3" t="s">
        <v>5171</v>
      </c>
      <c r="G4408" s="4" t="str">
        <f>HYPERLINK("https://diaocthongthai.com/xa-yen-cuong-y-yen/","Xã Yên Cường")</f>
        <v>Xã Yên Cường</v>
      </c>
    </row>
    <row r="4409" spans="1:7" x14ac:dyDescent="0.25">
      <c r="A4409" s="2">
        <v>4408</v>
      </c>
      <c r="B4409" s="3" t="s">
        <v>26</v>
      </c>
      <c r="C4409" s="4" t="str">
        <f t="shared" si="364"/>
        <v>Nam Định</v>
      </c>
      <c r="D4409" s="3" t="s">
        <v>316</v>
      </c>
      <c r="E4409" s="4" t="str">
        <f t="shared" si="363"/>
        <v>Huyện Ý Yên</v>
      </c>
      <c r="F4409" s="3" t="s">
        <v>5172</v>
      </c>
      <c r="G4409" s="4" t="str">
        <f>HYPERLINK("https://diaocthongthai.com/xa-yen-loc-y-yen/","Xã Yên Lộc")</f>
        <v>Xã Yên Lộc</v>
      </c>
    </row>
    <row r="4410" spans="1:7" x14ac:dyDescent="0.25">
      <c r="A4410" s="2">
        <v>4409</v>
      </c>
      <c r="B4410" s="3" t="s">
        <v>26</v>
      </c>
      <c r="C4410" s="4" t="str">
        <f t="shared" si="364"/>
        <v>Nam Định</v>
      </c>
      <c r="D4410" s="3" t="s">
        <v>316</v>
      </c>
      <c r="E4410" s="4" t="str">
        <f t="shared" si="363"/>
        <v>Huyện Ý Yên</v>
      </c>
      <c r="F4410" s="3" t="s">
        <v>5173</v>
      </c>
      <c r="G4410" s="4" t="str">
        <f>HYPERLINK("https://diaocthongthai.com/xa-yen-bang-y-yen/","Xã Yên Bằng")</f>
        <v>Xã Yên Bằng</v>
      </c>
    </row>
    <row r="4411" spans="1:7" x14ac:dyDescent="0.25">
      <c r="A4411" s="2">
        <v>4410</v>
      </c>
      <c r="B4411" s="3" t="s">
        <v>26</v>
      </c>
      <c r="C4411" s="4" t="str">
        <f t="shared" si="364"/>
        <v>Nam Định</v>
      </c>
      <c r="D4411" s="3" t="s">
        <v>316</v>
      </c>
      <c r="E4411" s="4" t="str">
        <f t="shared" si="363"/>
        <v>Huyện Ý Yên</v>
      </c>
      <c r="F4411" s="3" t="s">
        <v>5174</v>
      </c>
      <c r="G4411" s="4" t="str">
        <f>HYPERLINK("https://diaocthongthai.com/xa-yen-dong-y-yen/","Xã Yên Đồng")</f>
        <v>Xã Yên Đồng</v>
      </c>
    </row>
    <row r="4412" spans="1:7" x14ac:dyDescent="0.25">
      <c r="A4412" s="2">
        <v>4411</v>
      </c>
      <c r="B4412" s="3" t="s">
        <v>26</v>
      </c>
      <c r="C4412" s="4" t="str">
        <f t="shared" si="364"/>
        <v>Nam Định</v>
      </c>
      <c r="D4412" s="3" t="s">
        <v>316</v>
      </c>
      <c r="E4412" s="4" t="str">
        <f t="shared" si="363"/>
        <v>Huyện Ý Yên</v>
      </c>
      <c r="F4412" s="3" t="s">
        <v>5175</v>
      </c>
      <c r="G4412" s="4" t="str">
        <f>HYPERLINK("https://diaocthongthai.com/xa-yen-khang-y-yen/","Xã Yên Khang")</f>
        <v>Xã Yên Khang</v>
      </c>
    </row>
    <row r="4413" spans="1:7" x14ac:dyDescent="0.25">
      <c r="A4413" s="2">
        <v>4412</v>
      </c>
      <c r="B4413" s="3" t="s">
        <v>26</v>
      </c>
      <c r="C4413" s="4" t="str">
        <f t="shared" si="364"/>
        <v>Nam Định</v>
      </c>
      <c r="D4413" s="3" t="s">
        <v>316</v>
      </c>
      <c r="E4413" s="4" t="str">
        <f t="shared" si="363"/>
        <v>Huyện Ý Yên</v>
      </c>
      <c r="F4413" s="3" t="s">
        <v>5176</v>
      </c>
      <c r="G4413" s="4" t="str">
        <f>HYPERLINK("https://diaocthongthai.com/xa-yen-nhan-y-yen/","Xã Yên Nhân")</f>
        <v>Xã Yên Nhân</v>
      </c>
    </row>
    <row r="4414" spans="1:7" x14ac:dyDescent="0.25">
      <c r="A4414" s="2">
        <v>4413</v>
      </c>
      <c r="B4414" s="3" t="s">
        <v>26</v>
      </c>
      <c r="C4414" s="4" t="str">
        <f t="shared" si="364"/>
        <v>Nam Định</v>
      </c>
      <c r="D4414" s="3" t="s">
        <v>316</v>
      </c>
      <c r="E4414" s="4" t="str">
        <f t="shared" si="363"/>
        <v>Huyện Ý Yên</v>
      </c>
      <c r="F4414" s="3" t="s">
        <v>5177</v>
      </c>
      <c r="G4414" s="4" t="str">
        <f>HYPERLINK("https://diaocthongthai.com/xa-yen-tri-y-yen/","Xã Yên Trị")</f>
        <v>Xã Yên Trị</v>
      </c>
    </row>
    <row r="4415" spans="1:7" x14ac:dyDescent="0.25">
      <c r="A4415" s="2">
        <v>4414</v>
      </c>
      <c r="B4415" s="3" t="s">
        <v>26</v>
      </c>
      <c r="C4415" s="4" t="str">
        <f t="shared" si="364"/>
        <v>Nam Định</v>
      </c>
      <c r="D4415" s="3" t="s">
        <v>317</v>
      </c>
      <c r="E4415" s="4" t="str">
        <f t="shared" ref="E4415:E4438" si="365">HYPERLINK("https://diaocthongthai.com/ban-do-huyen-nghia-hung-nam-dinh/","Huyện Nghĩa Hưng")</f>
        <v>Huyện Nghĩa Hưng</v>
      </c>
      <c r="F4415" s="3" t="s">
        <v>5178</v>
      </c>
      <c r="G4415" s="4" t="str">
        <f>HYPERLINK("https://diaocthongthai.com/thi-tran-lieu-de-nghia-hung/","Thị trấn Liễu Đề")</f>
        <v>Thị trấn Liễu Đề</v>
      </c>
    </row>
    <row r="4416" spans="1:7" x14ac:dyDescent="0.25">
      <c r="A4416" s="2">
        <v>4415</v>
      </c>
      <c r="B4416" s="3" t="s">
        <v>26</v>
      </c>
      <c r="C4416" s="4" t="str">
        <f t="shared" si="364"/>
        <v>Nam Định</v>
      </c>
      <c r="D4416" s="3" t="s">
        <v>317</v>
      </c>
      <c r="E4416" s="4" t="str">
        <f t="shared" si="365"/>
        <v>Huyện Nghĩa Hưng</v>
      </c>
      <c r="F4416" s="3" t="s">
        <v>5179</v>
      </c>
      <c r="G4416" s="4" t="str">
        <f>HYPERLINK("https://diaocthongthai.com/thi-tran-rang-dong-nghia-hung/","Thị trấn Rạng Đông")</f>
        <v>Thị trấn Rạng Đông</v>
      </c>
    </row>
    <row r="4417" spans="1:7" x14ac:dyDescent="0.25">
      <c r="A4417" s="2">
        <v>4416</v>
      </c>
      <c r="B4417" s="3" t="s">
        <v>26</v>
      </c>
      <c r="C4417" s="4" t="str">
        <f t="shared" si="364"/>
        <v>Nam Định</v>
      </c>
      <c r="D4417" s="3" t="s">
        <v>317</v>
      </c>
      <c r="E4417" s="4" t="str">
        <f t="shared" si="365"/>
        <v>Huyện Nghĩa Hưng</v>
      </c>
      <c r="F4417" s="3" t="s">
        <v>5180</v>
      </c>
      <c r="G4417" s="4" t="str">
        <f>HYPERLINK("https://diaocthongthai.com/xa-nghia-dong-nghia-hung/","Xã Nghĩa Đồng")</f>
        <v>Xã Nghĩa Đồng</v>
      </c>
    </row>
    <row r="4418" spans="1:7" x14ac:dyDescent="0.25">
      <c r="A4418" s="2">
        <v>4417</v>
      </c>
      <c r="B4418" s="3" t="s">
        <v>26</v>
      </c>
      <c r="C4418" s="4" t="str">
        <f t="shared" si="364"/>
        <v>Nam Định</v>
      </c>
      <c r="D4418" s="3" t="s">
        <v>317</v>
      </c>
      <c r="E4418" s="4" t="str">
        <f t="shared" si="365"/>
        <v>Huyện Nghĩa Hưng</v>
      </c>
      <c r="F4418" s="3" t="s">
        <v>5181</v>
      </c>
      <c r="G4418" s="4" t="str">
        <f>HYPERLINK("https://diaocthongthai.com/xa-nghia-thinh-nghia-hung/","Xã Nghĩa Thịnh")</f>
        <v>Xã Nghĩa Thịnh</v>
      </c>
    </row>
    <row r="4419" spans="1:7" x14ac:dyDescent="0.25">
      <c r="A4419" s="2">
        <v>4418</v>
      </c>
      <c r="B4419" s="3" t="s">
        <v>26</v>
      </c>
      <c r="C4419" s="4" t="str">
        <f t="shared" si="364"/>
        <v>Nam Định</v>
      </c>
      <c r="D4419" s="3" t="s">
        <v>317</v>
      </c>
      <c r="E4419" s="4" t="str">
        <f t="shared" si="365"/>
        <v>Huyện Nghĩa Hưng</v>
      </c>
      <c r="F4419" s="3" t="s">
        <v>5182</v>
      </c>
      <c r="G4419" s="4" t="str">
        <f>HYPERLINK("https://diaocthongthai.com/xa-nghia-minh-nghia-hung/","Xã Nghĩa Minh")</f>
        <v>Xã Nghĩa Minh</v>
      </c>
    </row>
    <row r="4420" spans="1:7" x14ac:dyDescent="0.25">
      <c r="A4420" s="2">
        <v>4419</v>
      </c>
      <c r="B4420" s="3" t="s">
        <v>26</v>
      </c>
      <c r="C4420" s="4" t="str">
        <f t="shared" si="364"/>
        <v>Nam Định</v>
      </c>
      <c r="D4420" s="3" t="s">
        <v>317</v>
      </c>
      <c r="E4420" s="4" t="str">
        <f t="shared" si="365"/>
        <v>Huyện Nghĩa Hưng</v>
      </c>
      <c r="F4420" s="3" t="s">
        <v>5183</v>
      </c>
      <c r="G4420" s="4" t="str">
        <f>HYPERLINK("https://diaocthongthai.com/xa-nghia-thai-nghia-hung/","Xã Nghĩa Thái")</f>
        <v>Xã Nghĩa Thái</v>
      </c>
    </row>
    <row r="4421" spans="1:7" x14ac:dyDescent="0.25">
      <c r="A4421" s="2">
        <v>4420</v>
      </c>
      <c r="B4421" s="3" t="s">
        <v>26</v>
      </c>
      <c r="C4421" s="4" t="str">
        <f t="shared" si="364"/>
        <v>Nam Định</v>
      </c>
      <c r="D4421" s="3" t="s">
        <v>317</v>
      </c>
      <c r="E4421" s="4" t="str">
        <f t="shared" si="365"/>
        <v>Huyện Nghĩa Hưng</v>
      </c>
      <c r="F4421" s="3" t="s">
        <v>5184</v>
      </c>
      <c r="G4421" s="4" t="str">
        <f>HYPERLINK("https://diaocthongthai.com/xa-hoang-nam-nghia-hung/","Xã Hoàng Nam")</f>
        <v>Xã Hoàng Nam</v>
      </c>
    </row>
    <row r="4422" spans="1:7" x14ac:dyDescent="0.25">
      <c r="A4422" s="2">
        <v>4421</v>
      </c>
      <c r="B4422" s="3" t="s">
        <v>26</v>
      </c>
      <c r="C4422" s="4" t="str">
        <f t="shared" si="364"/>
        <v>Nam Định</v>
      </c>
      <c r="D4422" s="3" t="s">
        <v>317</v>
      </c>
      <c r="E4422" s="4" t="str">
        <f t="shared" si="365"/>
        <v>Huyện Nghĩa Hưng</v>
      </c>
      <c r="F4422" s="3" t="s">
        <v>5185</v>
      </c>
      <c r="G4422" s="4" t="str">
        <f>HYPERLINK("https://diaocthongthai.com/xa-nghia-chau-nghia-hung/","Xã Nghĩa Châu")</f>
        <v>Xã Nghĩa Châu</v>
      </c>
    </row>
    <row r="4423" spans="1:7" x14ac:dyDescent="0.25">
      <c r="A4423" s="2">
        <v>4422</v>
      </c>
      <c r="B4423" s="3" t="s">
        <v>26</v>
      </c>
      <c r="C4423" s="4" t="str">
        <f t="shared" si="364"/>
        <v>Nam Định</v>
      </c>
      <c r="D4423" s="3" t="s">
        <v>317</v>
      </c>
      <c r="E4423" s="4" t="str">
        <f t="shared" si="365"/>
        <v>Huyện Nghĩa Hưng</v>
      </c>
      <c r="F4423" s="3" t="s">
        <v>5186</v>
      </c>
      <c r="G4423" s="4" t="str">
        <f>HYPERLINK("https://diaocthongthai.com/xa-nghia-trung-nghia-hung/","Xã Nghĩa Trung")</f>
        <v>Xã Nghĩa Trung</v>
      </c>
    </row>
    <row r="4424" spans="1:7" x14ac:dyDescent="0.25">
      <c r="A4424" s="2">
        <v>4423</v>
      </c>
      <c r="B4424" s="3" t="s">
        <v>26</v>
      </c>
      <c r="C4424" s="4" t="str">
        <f t="shared" si="364"/>
        <v>Nam Định</v>
      </c>
      <c r="D4424" s="3" t="s">
        <v>317</v>
      </c>
      <c r="E4424" s="4" t="str">
        <f t="shared" si="365"/>
        <v>Huyện Nghĩa Hưng</v>
      </c>
      <c r="F4424" s="3" t="s">
        <v>5187</v>
      </c>
      <c r="G4424" s="4" t="str">
        <f>HYPERLINK("https://diaocthongthai.com/xa-nghia-son-nghia-hung/","Xã Nghĩa Sơn")</f>
        <v>Xã Nghĩa Sơn</v>
      </c>
    </row>
    <row r="4425" spans="1:7" x14ac:dyDescent="0.25">
      <c r="A4425" s="2">
        <v>4424</v>
      </c>
      <c r="B4425" s="3" t="s">
        <v>26</v>
      </c>
      <c r="C4425" s="4" t="str">
        <f t="shared" si="364"/>
        <v>Nam Định</v>
      </c>
      <c r="D4425" s="3" t="s">
        <v>317</v>
      </c>
      <c r="E4425" s="4" t="str">
        <f t="shared" si="365"/>
        <v>Huyện Nghĩa Hưng</v>
      </c>
      <c r="F4425" s="3" t="s">
        <v>5188</v>
      </c>
      <c r="G4425" s="4" t="str">
        <f>HYPERLINK("https://diaocthongthai.com/xa-nghia-lac-nghia-hung/","Xã Nghĩa Lạc")</f>
        <v>Xã Nghĩa Lạc</v>
      </c>
    </row>
    <row r="4426" spans="1:7" x14ac:dyDescent="0.25">
      <c r="A4426" s="2">
        <v>4425</v>
      </c>
      <c r="B4426" s="3" t="s">
        <v>26</v>
      </c>
      <c r="C4426" s="4" t="str">
        <f t="shared" si="364"/>
        <v>Nam Định</v>
      </c>
      <c r="D4426" s="3" t="s">
        <v>317</v>
      </c>
      <c r="E4426" s="4" t="str">
        <f t="shared" si="365"/>
        <v>Huyện Nghĩa Hưng</v>
      </c>
      <c r="F4426" s="3" t="s">
        <v>5189</v>
      </c>
      <c r="G4426" s="4" t="str">
        <f>HYPERLINK("https://diaocthongthai.com/xa-nghia-hong-nghia-hung/","Xã Nghĩa Hồng")</f>
        <v>Xã Nghĩa Hồng</v>
      </c>
    </row>
    <row r="4427" spans="1:7" x14ac:dyDescent="0.25">
      <c r="A4427" s="2">
        <v>4426</v>
      </c>
      <c r="B4427" s="3" t="s">
        <v>26</v>
      </c>
      <c r="C4427" s="4" t="str">
        <f t="shared" si="364"/>
        <v>Nam Định</v>
      </c>
      <c r="D4427" s="3" t="s">
        <v>317</v>
      </c>
      <c r="E4427" s="4" t="str">
        <f t="shared" si="365"/>
        <v>Huyện Nghĩa Hưng</v>
      </c>
      <c r="F4427" s="3" t="s">
        <v>5190</v>
      </c>
      <c r="G4427" s="4" t="str">
        <f>HYPERLINK("https://diaocthongthai.com/xa-nghia-phong-nghia-hung/","Xã Nghĩa Phong")</f>
        <v>Xã Nghĩa Phong</v>
      </c>
    </row>
    <row r="4428" spans="1:7" x14ac:dyDescent="0.25">
      <c r="A4428" s="2">
        <v>4427</v>
      </c>
      <c r="B4428" s="3" t="s">
        <v>26</v>
      </c>
      <c r="C4428" s="4" t="str">
        <f t="shared" si="364"/>
        <v>Nam Định</v>
      </c>
      <c r="D4428" s="3" t="s">
        <v>317</v>
      </c>
      <c r="E4428" s="4" t="str">
        <f t="shared" si="365"/>
        <v>Huyện Nghĩa Hưng</v>
      </c>
      <c r="F4428" s="3" t="s">
        <v>5191</v>
      </c>
      <c r="G4428" s="4" t="str">
        <f>HYPERLINK("https://diaocthongthai.com/xa-nghia-phu-nghia-hung/","Xã Nghĩa Phú")</f>
        <v>Xã Nghĩa Phú</v>
      </c>
    </row>
    <row r="4429" spans="1:7" x14ac:dyDescent="0.25">
      <c r="A4429" s="2">
        <v>4428</v>
      </c>
      <c r="B4429" s="3" t="s">
        <v>26</v>
      </c>
      <c r="C4429" s="4" t="str">
        <f t="shared" si="364"/>
        <v>Nam Định</v>
      </c>
      <c r="D4429" s="3" t="s">
        <v>317</v>
      </c>
      <c r="E4429" s="4" t="str">
        <f t="shared" si="365"/>
        <v>Huyện Nghĩa Hưng</v>
      </c>
      <c r="F4429" s="3" t="s">
        <v>5192</v>
      </c>
      <c r="G4429" s="4" t="str">
        <f>HYPERLINK("https://diaocthongthai.com/xa-nghia-binh-nghia-hung/","Xã Nghĩa Bình")</f>
        <v>Xã Nghĩa Bình</v>
      </c>
    </row>
    <row r="4430" spans="1:7" x14ac:dyDescent="0.25">
      <c r="A4430" s="2">
        <v>4429</v>
      </c>
      <c r="B4430" s="3" t="s">
        <v>26</v>
      </c>
      <c r="C4430" s="4" t="str">
        <f t="shared" si="364"/>
        <v>Nam Định</v>
      </c>
      <c r="D4430" s="3" t="s">
        <v>317</v>
      </c>
      <c r="E4430" s="4" t="str">
        <f t="shared" si="365"/>
        <v>Huyện Nghĩa Hưng</v>
      </c>
      <c r="F4430" s="3" t="s">
        <v>5193</v>
      </c>
      <c r="G4430" s="4" t="str">
        <f>HYPERLINK("https://diaocthongthai.com/thi-tran-quy-nhat-nghia-hung/","Thị trấn Quỹ Nhất")</f>
        <v>Thị trấn Quỹ Nhất</v>
      </c>
    </row>
    <row r="4431" spans="1:7" x14ac:dyDescent="0.25">
      <c r="A4431" s="2">
        <v>4430</v>
      </c>
      <c r="B4431" s="3" t="s">
        <v>26</v>
      </c>
      <c r="C4431" s="4" t="str">
        <f t="shared" si="364"/>
        <v>Nam Định</v>
      </c>
      <c r="D4431" s="3" t="s">
        <v>317</v>
      </c>
      <c r="E4431" s="4" t="str">
        <f t="shared" si="365"/>
        <v>Huyện Nghĩa Hưng</v>
      </c>
      <c r="F4431" s="3" t="s">
        <v>5194</v>
      </c>
      <c r="G4431" s="4" t="str">
        <f>HYPERLINK("https://diaocthongthai.com/xa-nghia-tan-nghia-hung/","Xã Nghĩa Tân")</f>
        <v>Xã Nghĩa Tân</v>
      </c>
    </row>
    <row r="4432" spans="1:7" x14ac:dyDescent="0.25">
      <c r="A4432" s="2">
        <v>4431</v>
      </c>
      <c r="B4432" s="3" t="s">
        <v>26</v>
      </c>
      <c r="C4432" s="4" t="str">
        <f t="shared" si="364"/>
        <v>Nam Định</v>
      </c>
      <c r="D4432" s="3" t="s">
        <v>317</v>
      </c>
      <c r="E4432" s="4" t="str">
        <f t="shared" si="365"/>
        <v>Huyện Nghĩa Hưng</v>
      </c>
      <c r="F4432" s="3" t="s">
        <v>5195</v>
      </c>
      <c r="G4432" s="4" t="str">
        <f>HYPERLINK("https://diaocthongthai.com/xa-nghia-hung-nghia-hung/","Xã Nghĩa Hùng")</f>
        <v>Xã Nghĩa Hùng</v>
      </c>
    </row>
    <row r="4433" spans="1:7" x14ac:dyDescent="0.25">
      <c r="A4433" s="2">
        <v>4432</v>
      </c>
      <c r="B4433" s="3" t="s">
        <v>26</v>
      </c>
      <c r="C4433" s="4" t="str">
        <f t="shared" si="364"/>
        <v>Nam Định</v>
      </c>
      <c r="D4433" s="3" t="s">
        <v>317</v>
      </c>
      <c r="E4433" s="4" t="str">
        <f t="shared" si="365"/>
        <v>Huyện Nghĩa Hưng</v>
      </c>
      <c r="F4433" s="3" t="s">
        <v>5196</v>
      </c>
      <c r="G4433" s="4" t="str">
        <f>HYPERLINK("https://diaocthongthai.com/xa-nghia-lam-nghia-hung/","Xã Nghĩa Lâm")</f>
        <v>Xã Nghĩa Lâm</v>
      </c>
    </row>
    <row r="4434" spans="1:7" x14ac:dyDescent="0.25">
      <c r="A4434" s="2">
        <v>4433</v>
      </c>
      <c r="B4434" s="3" t="s">
        <v>26</v>
      </c>
      <c r="C4434" s="4" t="str">
        <f t="shared" si="364"/>
        <v>Nam Định</v>
      </c>
      <c r="D4434" s="3" t="s">
        <v>317</v>
      </c>
      <c r="E4434" s="4" t="str">
        <f t="shared" si="365"/>
        <v>Huyện Nghĩa Hưng</v>
      </c>
      <c r="F4434" s="3" t="s">
        <v>5197</v>
      </c>
      <c r="G4434" s="4" t="str">
        <f>HYPERLINK("https://diaocthongthai.com/xa-nghia-thanh-nghia-hung/","Xã Nghĩa Thành")</f>
        <v>Xã Nghĩa Thành</v>
      </c>
    </row>
    <row r="4435" spans="1:7" x14ac:dyDescent="0.25">
      <c r="A4435" s="2">
        <v>4434</v>
      </c>
      <c r="B4435" s="3" t="s">
        <v>26</v>
      </c>
      <c r="C4435" s="4" t="str">
        <f t="shared" si="364"/>
        <v>Nam Định</v>
      </c>
      <c r="D4435" s="3" t="s">
        <v>317</v>
      </c>
      <c r="E4435" s="4" t="str">
        <f t="shared" si="365"/>
        <v>Huyện Nghĩa Hưng</v>
      </c>
      <c r="F4435" s="3" t="s">
        <v>5198</v>
      </c>
      <c r="G4435" s="4" t="str">
        <f>HYPERLINK("https://diaocthongthai.com/xa-phuc-thang-nghia-hung/","Xã Phúc Thắng")</f>
        <v>Xã Phúc Thắng</v>
      </c>
    </row>
    <row r="4436" spans="1:7" x14ac:dyDescent="0.25">
      <c r="A4436" s="2">
        <v>4435</v>
      </c>
      <c r="B4436" s="3" t="s">
        <v>26</v>
      </c>
      <c r="C4436" s="4" t="str">
        <f t="shared" si="364"/>
        <v>Nam Định</v>
      </c>
      <c r="D4436" s="3" t="s">
        <v>317</v>
      </c>
      <c r="E4436" s="4" t="str">
        <f t="shared" si="365"/>
        <v>Huyện Nghĩa Hưng</v>
      </c>
      <c r="F4436" s="3" t="s">
        <v>5199</v>
      </c>
      <c r="G4436" s="4" t="str">
        <f>HYPERLINK("https://diaocthongthai.com/xa-nghia-loi-nghia-hung/","Xã Nghĩa Lợi")</f>
        <v>Xã Nghĩa Lợi</v>
      </c>
    </row>
    <row r="4437" spans="1:7" x14ac:dyDescent="0.25">
      <c r="A4437" s="2">
        <v>4436</v>
      </c>
      <c r="B4437" s="3" t="s">
        <v>26</v>
      </c>
      <c r="C4437" s="4" t="str">
        <f t="shared" si="364"/>
        <v>Nam Định</v>
      </c>
      <c r="D4437" s="3" t="s">
        <v>317</v>
      </c>
      <c r="E4437" s="4" t="str">
        <f t="shared" si="365"/>
        <v>Huyện Nghĩa Hưng</v>
      </c>
      <c r="F4437" s="3" t="s">
        <v>5200</v>
      </c>
      <c r="G4437" s="4" t="str">
        <f>HYPERLINK("https://diaocthongthai.com/xa-nghia-hai-nghia-hung/","Xã Nghĩa Hải")</f>
        <v>Xã Nghĩa Hải</v>
      </c>
    </row>
    <row r="4438" spans="1:7" x14ac:dyDescent="0.25">
      <c r="A4438" s="2">
        <v>4437</v>
      </c>
      <c r="B4438" s="3" t="s">
        <v>26</v>
      </c>
      <c r="C4438" s="4" t="str">
        <f t="shared" si="364"/>
        <v>Nam Định</v>
      </c>
      <c r="D4438" s="3" t="s">
        <v>317</v>
      </c>
      <c r="E4438" s="4" t="str">
        <f t="shared" si="365"/>
        <v>Huyện Nghĩa Hưng</v>
      </c>
      <c r="F4438" s="3" t="s">
        <v>5201</v>
      </c>
      <c r="G4438" s="4" t="str">
        <f>HYPERLINK("https://diaocthongthai.com/xa-nam-dien-nghia-hung/","Xã Nam Điền")</f>
        <v>Xã Nam Điền</v>
      </c>
    </row>
    <row r="4439" spans="1:7" x14ac:dyDescent="0.25">
      <c r="A4439" s="2">
        <v>4438</v>
      </c>
      <c r="B4439" s="3" t="s">
        <v>26</v>
      </c>
      <c r="C4439" s="4" t="str">
        <f t="shared" si="364"/>
        <v>Nam Định</v>
      </c>
      <c r="D4439" s="3" t="s">
        <v>318</v>
      </c>
      <c r="E4439" s="4" t="str">
        <f t="shared" ref="E4439:E4458" si="366">HYPERLINK("https://diaocthongthai.com/ban-do-huyen-nam-truc-nam-dinh/","Huyện Nam Trực")</f>
        <v>Huyện Nam Trực</v>
      </c>
      <c r="F4439" s="3" t="s">
        <v>5202</v>
      </c>
      <c r="G4439" s="4" t="str">
        <f>HYPERLINK("https://diaocthongthai.com/thi-tran-nam-giang-nam-truc/","Thị trấn Nam Giang")</f>
        <v>Thị trấn Nam Giang</v>
      </c>
    </row>
    <row r="4440" spans="1:7" x14ac:dyDescent="0.25">
      <c r="A4440" s="2">
        <v>4439</v>
      </c>
      <c r="B4440" s="3" t="s">
        <v>26</v>
      </c>
      <c r="C4440" s="4" t="str">
        <f t="shared" si="364"/>
        <v>Nam Định</v>
      </c>
      <c r="D4440" s="3" t="s">
        <v>318</v>
      </c>
      <c r="E4440" s="4" t="str">
        <f t="shared" si="366"/>
        <v>Huyện Nam Trực</v>
      </c>
      <c r="F4440" s="3" t="s">
        <v>5203</v>
      </c>
      <c r="G4440" s="4" t="str">
        <f>HYPERLINK("https://diaocthongthai.com/xa-nam-my-nam-truc/","Xã Nam Mỹ")</f>
        <v>Xã Nam Mỹ</v>
      </c>
    </row>
    <row r="4441" spans="1:7" x14ac:dyDescent="0.25">
      <c r="A4441" s="2">
        <v>4440</v>
      </c>
      <c r="B4441" s="3" t="s">
        <v>26</v>
      </c>
      <c r="C4441" s="4" t="str">
        <f t="shared" si="364"/>
        <v>Nam Định</v>
      </c>
      <c r="D4441" s="3" t="s">
        <v>318</v>
      </c>
      <c r="E4441" s="4" t="str">
        <f t="shared" si="366"/>
        <v>Huyện Nam Trực</v>
      </c>
      <c r="F4441" s="3" t="s">
        <v>5204</v>
      </c>
      <c r="G4441" s="4" t="str">
        <f>HYPERLINK("https://diaocthongthai.com/xa-dien-xa-nam-truc/","Xã Điền Xá")</f>
        <v>Xã Điền Xá</v>
      </c>
    </row>
    <row r="4442" spans="1:7" x14ac:dyDescent="0.25">
      <c r="A4442" s="2">
        <v>4441</v>
      </c>
      <c r="B4442" s="3" t="s">
        <v>26</v>
      </c>
      <c r="C4442" s="4" t="str">
        <f t="shared" si="364"/>
        <v>Nam Định</v>
      </c>
      <c r="D4442" s="3" t="s">
        <v>318</v>
      </c>
      <c r="E4442" s="4" t="str">
        <f t="shared" si="366"/>
        <v>Huyện Nam Trực</v>
      </c>
      <c r="F4442" s="3" t="s">
        <v>5205</v>
      </c>
      <c r="G4442" s="4" t="str">
        <f>HYPERLINK("https://diaocthongthai.com/xa-nghia-an-nam-truc/","Xã Nghĩa An")</f>
        <v>Xã Nghĩa An</v>
      </c>
    </row>
    <row r="4443" spans="1:7" x14ac:dyDescent="0.25">
      <c r="A4443" s="2">
        <v>4442</v>
      </c>
      <c r="B4443" s="3" t="s">
        <v>26</v>
      </c>
      <c r="C4443" s="4" t="str">
        <f t="shared" si="364"/>
        <v>Nam Định</v>
      </c>
      <c r="D4443" s="3" t="s">
        <v>318</v>
      </c>
      <c r="E4443" s="4" t="str">
        <f t="shared" si="366"/>
        <v>Huyện Nam Trực</v>
      </c>
      <c r="F4443" s="3" t="s">
        <v>5206</v>
      </c>
      <c r="G4443" s="4" t="str">
        <f>HYPERLINK("https://diaocthongthai.com/xa-nam-thang-nam-truc/","Xã Nam Thắng")</f>
        <v>Xã Nam Thắng</v>
      </c>
    </row>
    <row r="4444" spans="1:7" x14ac:dyDescent="0.25">
      <c r="A4444" s="2">
        <v>4443</v>
      </c>
      <c r="B4444" s="3" t="s">
        <v>26</v>
      </c>
      <c r="C4444" s="4" t="str">
        <f t="shared" si="364"/>
        <v>Nam Định</v>
      </c>
      <c r="D4444" s="3" t="s">
        <v>318</v>
      </c>
      <c r="E4444" s="4" t="str">
        <f t="shared" si="366"/>
        <v>Huyện Nam Trực</v>
      </c>
      <c r="F4444" s="3" t="s">
        <v>5207</v>
      </c>
      <c r="G4444" s="4" t="str">
        <f>HYPERLINK("https://diaocthongthai.com/xa-nam-toan-nam-truc/","Xã Nam Toàn")</f>
        <v>Xã Nam Toàn</v>
      </c>
    </row>
    <row r="4445" spans="1:7" x14ac:dyDescent="0.25">
      <c r="A4445" s="2">
        <v>4444</v>
      </c>
      <c r="B4445" s="3" t="s">
        <v>26</v>
      </c>
      <c r="C4445" s="4" t="str">
        <f t="shared" si="364"/>
        <v>Nam Định</v>
      </c>
      <c r="D4445" s="3" t="s">
        <v>318</v>
      </c>
      <c r="E4445" s="4" t="str">
        <f t="shared" si="366"/>
        <v>Huyện Nam Trực</v>
      </c>
      <c r="F4445" s="3" t="s">
        <v>5208</v>
      </c>
      <c r="G4445" s="4" t="str">
        <f>HYPERLINK("https://diaocthongthai.com/xa-hong-quang-nam-truc/","Xã Hồng Quang")</f>
        <v>Xã Hồng Quang</v>
      </c>
    </row>
    <row r="4446" spans="1:7" x14ac:dyDescent="0.25">
      <c r="A4446" s="2">
        <v>4445</v>
      </c>
      <c r="B4446" s="3" t="s">
        <v>26</v>
      </c>
      <c r="C4446" s="4" t="str">
        <f t="shared" si="364"/>
        <v>Nam Định</v>
      </c>
      <c r="D4446" s="3" t="s">
        <v>318</v>
      </c>
      <c r="E4446" s="4" t="str">
        <f t="shared" si="366"/>
        <v>Huyện Nam Trực</v>
      </c>
      <c r="F4446" s="3" t="s">
        <v>5209</v>
      </c>
      <c r="G4446" s="4" t="str">
        <f>HYPERLINK("https://diaocthongthai.com/xa-tan-thinh-nam-truc/","Xã Tân Thịnh")</f>
        <v>Xã Tân Thịnh</v>
      </c>
    </row>
    <row r="4447" spans="1:7" x14ac:dyDescent="0.25">
      <c r="A4447" s="2">
        <v>4446</v>
      </c>
      <c r="B4447" s="3" t="s">
        <v>26</v>
      </c>
      <c r="C4447" s="4" t="str">
        <f t="shared" si="364"/>
        <v>Nam Định</v>
      </c>
      <c r="D4447" s="3" t="s">
        <v>318</v>
      </c>
      <c r="E4447" s="4" t="str">
        <f t="shared" si="366"/>
        <v>Huyện Nam Trực</v>
      </c>
      <c r="F4447" s="3" t="s">
        <v>5210</v>
      </c>
      <c r="G4447" s="4" t="str">
        <f>HYPERLINK("https://diaocthongthai.com/xa-nam-cuong-nam-truc/","Xã Nam Cường")</f>
        <v>Xã Nam Cường</v>
      </c>
    </row>
    <row r="4448" spans="1:7" x14ac:dyDescent="0.25">
      <c r="A4448" s="2">
        <v>4447</v>
      </c>
      <c r="B4448" s="3" t="s">
        <v>26</v>
      </c>
      <c r="C4448" s="4" t="str">
        <f t="shared" si="364"/>
        <v>Nam Định</v>
      </c>
      <c r="D4448" s="3" t="s">
        <v>318</v>
      </c>
      <c r="E4448" s="4" t="str">
        <f t="shared" si="366"/>
        <v>Huyện Nam Trực</v>
      </c>
      <c r="F4448" s="3" t="s">
        <v>5211</v>
      </c>
      <c r="G4448" s="4" t="str">
        <f>HYPERLINK("https://diaocthongthai.com/xa-nam-hong-nam-truc/","Xã Nam Hồng")</f>
        <v>Xã Nam Hồng</v>
      </c>
    </row>
    <row r="4449" spans="1:7" x14ac:dyDescent="0.25">
      <c r="A4449" s="2">
        <v>4448</v>
      </c>
      <c r="B4449" s="3" t="s">
        <v>26</v>
      </c>
      <c r="C4449" s="4" t="str">
        <f t="shared" si="364"/>
        <v>Nam Định</v>
      </c>
      <c r="D4449" s="3" t="s">
        <v>318</v>
      </c>
      <c r="E4449" s="4" t="str">
        <f t="shared" si="366"/>
        <v>Huyện Nam Trực</v>
      </c>
      <c r="F4449" s="3" t="s">
        <v>5212</v>
      </c>
      <c r="G4449" s="4" t="str">
        <f>HYPERLINK("https://diaocthongthai.com/xa-nam-hung-nam-truc/","Xã Nam Hùng")</f>
        <v>Xã Nam Hùng</v>
      </c>
    </row>
    <row r="4450" spans="1:7" x14ac:dyDescent="0.25">
      <c r="A4450" s="2">
        <v>4449</v>
      </c>
      <c r="B4450" s="3" t="s">
        <v>26</v>
      </c>
      <c r="C4450" s="4" t="str">
        <f t="shared" si="364"/>
        <v>Nam Định</v>
      </c>
      <c r="D4450" s="3" t="s">
        <v>318</v>
      </c>
      <c r="E4450" s="4" t="str">
        <f t="shared" si="366"/>
        <v>Huyện Nam Trực</v>
      </c>
      <c r="F4450" s="3" t="s">
        <v>5213</v>
      </c>
      <c r="G4450" s="4" t="str">
        <f>HYPERLINK("https://diaocthongthai.com/xa-nam-hoa-nam-truc/","Xã Nam Hoa")</f>
        <v>Xã Nam Hoa</v>
      </c>
    </row>
    <row r="4451" spans="1:7" x14ac:dyDescent="0.25">
      <c r="A4451" s="2">
        <v>4450</v>
      </c>
      <c r="B4451" s="3" t="s">
        <v>26</v>
      </c>
      <c r="C4451" s="4" t="str">
        <f t="shared" si="364"/>
        <v>Nam Định</v>
      </c>
      <c r="D4451" s="3" t="s">
        <v>318</v>
      </c>
      <c r="E4451" s="4" t="str">
        <f t="shared" si="366"/>
        <v>Huyện Nam Trực</v>
      </c>
      <c r="F4451" s="3" t="s">
        <v>5214</v>
      </c>
      <c r="G4451" s="4" t="str">
        <f>HYPERLINK("https://diaocthongthai.com/xa-nam-duong-nam-truc/","Xã Nam Dương")</f>
        <v>Xã Nam Dương</v>
      </c>
    </row>
    <row r="4452" spans="1:7" x14ac:dyDescent="0.25">
      <c r="A4452" s="2">
        <v>4451</v>
      </c>
      <c r="B4452" s="3" t="s">
        <v>26</v>
      </c>
      <c r="C4452" s="4" t="str">
        <f t="shared" si="364"/>
        <v>Nam Định</v>
      </c>
      <c r="D4452" s="3" t="s">
        <v>318</v>
      </c>
      <c r="E4452" s="4" t="str">
        <f t="shared" si="366"/>
        <v>Huyện Nam Trực</v>
      </c>
      <c r="F4452" s="3" t="s">
        <v>5215</v>
      </c>
      <c r="G4452" s="4" t="str">
        <f>HYPERLINK("https://diaocthongthai.com/xa-nam-thanh-nam-truc/","Xã Nam Thanh")</f>
        <v>Xã Nam Thanh</v>
      </c>
    </row>
    <row r="4453" spans="1:7" x14ac:dyDescent="0.25">
      <c r="A4453" s="2">
        <v>4452</v>
      </c>
      <c r="B4453" s="3" t="s">
        <v>26</v>
      </c>
      <c r="C4453" s="4" t="str">
        <f t="shared" si="364"/>
        <v>Nam Định</v>
      </c>
      <c r="D4453" s="3" t="s">
        <v>318</v>
      </c>
      <c r="E4453" s="4" t="str">
        <f t="shared" si="366"/>
        <v>Huyện Nam Trực</v>
      </c>
      <c r="F4453" s="3" t="s">
        <v>5216</v>
      </c>
      <c r="G4453" s="4" t="str">
        <f>HYPERLINK("https://diaocthongthai.com/xa-nam-loi-nam-truc/","Xã Nam Lợi")</f>
        <v>Xã Nam Lợi</v>
      </c>
    </row>
    <row r="4454" spans="1:7" x14ac:dyDescent="0.25">
      <c r="A4454" s="2">
        <v>4453</v>
      </c>
      <c r="B4454" s="3" t="s">
        <v>26</v>
      </c>
      <c r="C4454" s="4" t="str">
        <f t="shared" si="364"/>
        <v>Nam Định</v>
      </c>
      <c r="D4454" s="3" t="s">
        <v>318</v>
      </c>
      <c r="E4454" s="4" t="str">
        <f t="shared" si="366"/>
        <v>Huyện Nam Trực</v>
      </c>
      <c r="F4454" s="3" t="s">
        <v>5217</v>
      </c>
      <c r="G4454" s="4" t="str">
        <f>HYPERLINK("https://diaocthongthai.com/xa-binh-minh-nam-truc/","Xã Bình Minh")</f>
        <v>Xã Bình Minh</v>
      </c>
    </row>
    <row r="4455" spans="1:7" x14ac:dyDescent="0.25">
      <c r="A4455" s="2">
        <v>4454</v>
      </c>
      <c r="B4455" s="3" t="s">
        <v>26</v>
      </c>
      <c r="C4455" s="4" t="str">
        <f t="shared" si="364"/>
        <v>Nam Định</v>
      </c>
      <c r="D4455" s="3" t="s">
        <v>318</v>
      </c>
      <c r="E4455" s="4" t="str">
        <f t="shared" si="366"/>
        <v>Huyện Nam Trực</v>
      </c>
      <c r="F4455" s="3" t="s">
        <v>5218</v>
      </c>
      <c r="G4455" s="4" t="str">
        <f>HYPERLINK("https://diaocthongthai.com/xa-dong-son-nam-truc/","Xã Đồng Sơn")</f>
        <v>Xã Đồng Sơn</v>
      </c>
    </row>
    <row r="4456" spans="1:7" x14ac:dyDescent="0.25">
      <c r="A4456" s="2">
        <v>4455</v>
      </c>
      <c r="B4456" s="3" t="s">
        <v>26</v>
      </c>
      <c r="C4456" s="4" t="str">
        <f t="shared" si="364"/>
        <v>Nam Định</v>
      </c>
      <c r="D4456" s="3" t="s">
        <v>318</v>
      </c>
      <c r="E4456" s="4" t="str">
        <f t="shared" si="366"/>
        <v>Huyện Nam Trực</v>
      </c>
      <c r="F4456" s="3" t="s">
        <v>5219</v>
      </c>
      <c r="G4456" s="4" t="str">
        <f>HYPERLINK("https://diaocthongthai.com/xa-nam-tien-nam-truc/","Xã Nam Tiến")</f>
        <v>Xã Nam Tiến</v>
      </c>
    </row>
    <row r="4457" spans="1:7" x14ac:dyDescent="0.25">
      <c r="A4457" s="2">
        <v>4456</v>
      </c>
      <c r="B4457" s="3" t="s">
        <v>26</v>
      </c>
      <c r="C4457" s="4" t="str">
        <f t="shared" si="364"/>
        <v>Nam Định</v>
      </c>
      <c r="D4457" s="3" t="s">
        <v>318</v>
      </c>
      <c r="E4457" s="4" t="str">
        <f t="shared" si="366"/>
        <v>Huyện Nam Trực</v>
      </c>
      <c r="F4457" s="3" t="s">
        <v>5220</v>
      </c>
      <c r="G4457" s="4" t="str">
        <f>HYPERLINK("https://diaocthongthai.com/xa-nam-hai-nam-truc/","Xã Nam Hải")</f>
        <v>Xã Nam Hải</v>
      </c>
    </row>
    <row r="4458" spans="1:7" x14ac:dyDescent="0.25">
      <c r="A4458" s="2">
        <v>4457</v>
      </c>
      <c r="B4458" s="3" t="s">
        <v>26</v>
      </c>
      <c r="C4458" s="4" t="str">
        <f t="shared" ref="C4458:C4521" si="367">HYPERLINK("https://diaocthongthai.com/ban-do-nam-dinh/","Nam Định")</f>
        <v>Nam Định</v>
      </c>
      <c r="D4458" s="3" t="s">
        <v>318</v>
      </c>
      <c r="E4458" s="4" t="str">
        <f t="shared" si="366"/>
        <v>Huyện Nam Trực</v>
      </c>
      <c r="F4458" s="3" t="s">
        <v>5221</v>
      </c>
      <c r="G4458" s="4" t="str">
        <f>HYPERLINK("https://diaocthongthai.com/xa-nam-thai-nam-truc/","Xã Nam Thái")</f>
        <v>Xã Nam Thái</v>
      </c>
    </row>
    <row r="4459" spans="1:7" x14ac:dyDescent="0.25">
      <c r="A4459" s="2">
        <v>4458</v>
      </c>
      <c r="B4459" s="3" t="s">
        <v>26</v>
      </c>
      <c r="C4459" s="4" t="str">
        <f t="shared" si="367"/>
        <v>Nam Định</v>
      </c>
      <c r="D4459" s="3" t="s">
        <v>319</v>
      </c>
      <c r="E4459" s="4" t="str">
        <f t="shared" ref="E4459:E4479" si="368">HYPERLINK("https://diaocthongthai.com/ban-do-huyen-truc-ninh-nam-dinh/","Huyện Trực Ninh")</f>
        <v>Huyện Trực Ninh</v>
      </c>
      <c r="F4459" s="3" t="s">
        <v>5222</v>
      </c>
      <c r="G4459" s="4" t="str">
        <f>HYPERLINK("https://diaocthongthai.com/thi-tran-co-le-truc-ninh/","Thị trấn Cổ Lễ")</f>
        <v>Thị trấn Cổ Lễ</v>
      </c>
    </row>
    <row r="4460" spans="1:7" x14ac:dyDescent="0.25">
      <c r="A4460" s="2">
        <v>4459</v>
      </c>
      <c r="B4460" s="3" t="s">
        <v>26</v>
      </c>
      <c r="C4460" s="4" t="str">
        <f t="shared" si="367"/>
        <v>Nam Định</v>
      </c>
      <c r="D4460" s="3" t="s">
        <v>319</v>
      </c>
      <c r="E4460" s="4" t="str">
        <f t="shared" si="368"/>
        <v>Huyện Trực Ninh</v>
      </c>
      <c r="F4460" s="3" t="s">
        <v>5223</v>
      </c>
      <c r="G4460" s="4" t="str">
        <f>HYPERLINK("https://diaocthongthai.com/xa-phuong-dinh-truc-ninh/","Xã Phương Định")</f>
        <v>Xã Phương Định</v>
      </c>
    </row>
    <row r="4461" spans="1:7" x14ac:dyDescent="0.25">
      <c r="A4461" s="2">
        <v>4460</v>
      </c>
      <c r="B4461" s="3" t="s">
        <v>26</v>
      </c>
      <c r="C4461" s="4" t="str">
        <f t="shared" si="367"/>
        <v>Nam Định</v>
      </c>
      <c r="D4461" s="3" t="s">
        <v>319</v>
      </c>
      <c r="E4461" s="4" t="str">
        <f t="shared" si="368"/>
        <v>Huyện Trực Ninh</v>
      </c>
      <c r="F4461" s="3" t="s">
        <v>5224</v>
      </c>
      <c r="G4461" s="4" t="str">
        <f>HYPERLINK("https://diaocthongthai.com/xa-truc-chinh-truc-ninh/","Xã Trực Chính")</f>
        <v>Xã Trực Chính</v>
      </c>
    </row>
    <row r="4462" spans="1:7" x14ac:dyDescent="0.25">
      <c r="A4462" s="2">
        <v>4461</v>
      </c>
      <c r="B4462" s="3" t="s">
        <v>26</v>
      </c>
      <c r="C4462" s="4" t="str">
        <f t="shared" si="367"/>
        <v>Nam Định</v>
      </c>
      <c r="D4462" s="3" t="s">
        <v>319</v>
      </c>
      <c r="E4462" s="4" t="str">
        <f t="shared" si="368"/>
        <v>Huyện Trực Ninh</v>
      </c>
      <c r="F4462" s="3" t="s">
        <v>5225</v>
      </c>
      <c r="G4462" s="4" t="str">
        <f>HYPERLINK("https://diaocthongthai.com/xa-trung-dong-truc-ninh/","Xã Trung Đông")</f>
        <v>Xã Trung Đông</v>
      </c>
    </row>
    <row r="4463" spans="1:7" x14ac:dyDescent="0.25">
      <c r="A4463" s="2">
        <v>4462</v>
      </c>
      <c r="B4463" s="3" t="s">
        <v>26</v>
      </c>
      <c r="C4463" s="4" t="str">
        <f t="shared" si="367"/>
        <v>Nam Định</v>
      </c>
      <c r="D4463" s="3" t="s">
        <v>319</v>
      </c>
      <c r="E4463" s="4" t="str">
        <f t="shared" si="368"/>
        <v>Huyện Trực Ninh</v>
      </c>
      <c r="F4463" s="3" t="s">
        <v>5226</v>
      </c>
      <c r="G4463" s="4" t="str">
        <f>HYPERLINK("https://diaocthongthai.com/xa-liem-hai-truc-ninh/","Xã Liêm Hải")</f>
        <v>Xã Liêm Hải</v>
      </c>
    </row>
    <row r="4464" spans="1:7" x14ac:dyDescent="0.25">
      <c r="A4464" s="2">
        <v>4463</v>
      </c>
      <c r="B4464" s="3" t="s">
        <v>26</v>
      </c>
      <c r="C4464" s="4" t="str">
        <f t="shared" si="367"/>
        <v>Nam Định</v>
      </c>
      <c r="D4464" s="3" t="s">
        <v>319</v>
      </c>
      <c r="E4464" s="4" t="str">
        <f t="shared" si="368"/>
        <v>Huyện Trực Ninh</v>
      </c>
      <c r="F4464" s="3" t="s">
        <v>5227</v>
      </c>
      <c r="G4464" s="4" t="str">
        <f>HYPERLINK("https://diaocthongthai.com/xa-truc-tuan-truc-ninh/","Xã Trực Tuấn")</f>
        <v>Xã Trực Tuấn</v>
      </c>
    </row>
    <row r="4465" spans="1:7" x14ac:dyDescent="0.25">
      <c r="A4465" s="2">
        <v>4464</v>
      </c>
      <c r="B4465" s="3" t="s">
        <v>26</v>
      </c>
      <c r="C4465" s="4" t="str">
        <f t="shared" si="367"/>
        <v>Nam Định</v>
      </c>
      <c r="D4465" s="3" t="s">
        <v>319</v>
      </c>
      <c r="E4465" s="4" t="str">
        <f t="shared" si="368"/>
        <v>Huyện Trực Ninh</v>
      </c>
      <c r="F4465" s="3" t="s">
        <v>5228</v>
      </c>
      <c r="G4465" s="4" t="str">
        <f>HYPERLINK("https://diaocthongthai.com/xa-viet-hung-truc-ninh/","Xã Việt Hùng")</f>
        <v>Xã Việt Hùng</v>
      </c>
    </row>
    <row r="4466" spans="1:7" x14ac:dyDescent="0.25">
      <c r="A4466" s="2">
        <v>4465</v>
      </c>
      <c r="B4466" s="3" t="s">
        <v>26</v>
      </c>
      <c r="C4466" s="4" t="str">
        <f t="shared" si="367"/>
        <v>Nam Định</v>
      </c>
      <c r="D4466" s="3" t="s">
        <v>319</v>
      </c>
      <c r="E4466" s="4" t="str">
        <f t="shared" si="368"/>
        <v>Huyện Trực Ninh</v>
      </c>
      <c r="F4466" s="3" t="s">
        <v>5229</v>
      </c>
      <c r="G4466" s="4" t="str">
        <f>HYPERLINK("https://diaocthongthai.com/xa-truc-dao-truc-ninh/","Xã Trực Đạo")</f>
        <v>Xã Trực Đạo</v>
      </c>
    </row>
    <row r="4467" spans="1:7" x14ac:dyDescent="0.25">
      <c r="A4467" s="2">
        <v>4466</v>
      </c>
      <c r="B4467" s="3" t="s">
        <v>26</v>
      </c>
      <c r="C4467" s="4" t="str">
        <f t="shared" si="367"/>
        <v>Nam Định</v>
      </c>
      <c r="D4467" s="3" t="s">
        <v>319</v>
      </c>
      <c r="E4467" s="4" t="str">
        <f t="shared" si="368"/>
        <v>Huyện Trực Ninh</v>
      </c>
      <c r="F4467" s="3" t="s">
        <v>5230</v>
      </c>
      <c r="G4467" s="4" t="str">
        <f>HYPERLINK("https://diaocthongthai.com/xa-truc-hung-2-truc-ninh/","Xã Trực Hưng")</f>
        <v>Xã Trực Hưng</v>
      </c>
    </row>
    <row r="4468" spans="1:7" x14ac:dyDescent="0.25">
      <c r="A4468" s="2">
        <v>4467</v>
      </c>
      <c r="B4468" s="3" t="s">
        <v>26</v>
      </c>
      <c r="C4468" s="4" t="str">
        <f t="shared" si="367"/>
        <v>Nam Định</v>
      </c>
      <c r="D4468" s="3" t="s">
        <v>319</v>
      </c>
      <c r="E4468" s="4" t="str">
        <f t="shared" si="368"/>
        <v>Huyện Trực Ninh</v>
      </c>
      <c r="F4468" s="3" t="s">
        <v>5231</v>
      </c>
      <c r="G4468" s="4" t="str">
        <f>HYPERLINK("https://diaocthongthai.com/xa-truc-noi-truc-ninh/","Xã Trực Nội")</f>
        <v>Xã Trực Nội</v>
      </c>
    </row>
    <row r="4469" spans="1:7" x14ac:dyDescent="0.25">
      <c r="A4469" s="2">
        <v>4468</v>
      </c>
      <c r="B4469" s="3" t="s">
        <v>26</v>
      </c>
      <c r="C4469" s="4" t="str">
        <f t="shared" si="367"/>
        <v>Nam Định</v>
      </c>
      <c r="D4469" s="3" t="s">
        <v>319</v>
      </c>
      <c r="E4469" s="4" t="str">
        <f t="shared" si="368"/>
        <v>Huyện Trực Ninh</v>
      </c>
      <c r="F4469" s="3" t="s">
        <v>5232</v>
      </c>
      <c r="G4469" s="4" t="str">
        <f>HYPERLINK("https://diaocthongthai.com/thi-tran-cat-thanh-truc-ninh/","Thị trấn Cát Thành")</f>
        <v>Thị trấn Cát Thành</v>
      </c>
    </row>
    <row r="4470" spans="1:7" x14ac:dyDescent="0.25">
      <c r="A4470" s="2">
        <v>4469</v>
      </c>
      <c r="B4470" s="3" t="s">
        <v>26</v>
      </c>
      <c r="C4470" s="4" t="str">
        <f t="shared" si="367"/>
        <v>Nam Định</v>
      </c>
      <c r="D4470" s="3" t="s">
        <v>319</v>
      </c>
      <c r="E4470" s="4" t="str">
        <f t="shared" si="368"/>
        <v>Huyện Trực Ninh</v>
      </c>
      <c r="F4470" s="3" t="s">
        <v>5233</v>
      </c>
      <c r="G4470" s="4" t="str">
        <f>HYPERLINK("https://diaocthongthai.com/xa-truc-thanh-truc-ninh/","Xã Trực Thanh")</f>
        <v>Xã Trực Thanh</v>
      </c>
    </row>
    <row r="4471" spans="1:7" x14ac:dyDescent="0.25">
      <c r="A4471" s="2">
        <v>4470</v>
      </c>
      <c r="B4471" s="3" t="s">
        <v>26</v>
      </c>
      <c r="C4471" s="4" t="str">
        <f t="shared" si="367"/>
        <v>Nam Định</v>
      </c>
      <c r="D4471" s="3" t="s">
        <v>319</v>
      </c>
      <c r="E4471" s="4" t="str">
        <f t="shared" si="368"/>
        <v>Huyện Trực Ninh</v>
      </c>
      <c r="F4471" s="3" t="s">
        <v>5234</v>
      </c>
      <c r="G4471" s="4" t="str">
        <f>HYPERLINK("https://diaocthongthai.com/xa-truc-khang-truc-ninh/","Xã Trực Khang")</f>
        <v>Xã Trực Khang</v>
      </c>
    </row>
    <row r="4472" spans="1:7" x14ac:dyDescent="0.25">
      <c r="A4472" s="2">
        <v>4471</v>
      </c>
      <c r="B4472" s="3" t="s">
        <v>26</v>
      </c>
      <c r="C4472" s="4" t="str">
        <f t="shared" si="367"/>
        <v>Nam Định</v>
      </c>
      <c r="D4472" s="3" t="s">
        <v>319</v>
      </c>
      <c r="E4472" s="4" t="str">
        <f t="shared" si="368"/>
        <v>Huyện Trực Ninh</v>
      </c>
      <c r="F4472" s="3" t="s">
        <v>5235</v>
      </c>
      <c r="G4472" s="4" t="str">
        <f>HYPERLINK("https://diaocthongthai.com/xa-truc-thuan-truc-ninh/","Xã Trực Thuận")</f>
        <v>Xã Trực Thuận</v>
      </c>
    </row>
    <row r="4473" spans="1:7" x14ac:dyDescent="0.25">
      <c r="A4473" s="2">
        <v>4472</v>
      </c>
      <c r="B4473" s="3" t="s">
        <v>26</v>
      </c>
      <c r="C4473" s="4" t="str">
        <f t="shared" si="367"/>
        <v>Nam Định</v>
      </c>
      <c r="D4473" s="3" t="s">
        <v>319</v>
      </c>
      <c r="E4473" s="4" t="str">
        <f t="shared" si="368"/>
        <v>Huyện Trực Ninh</v>
      </c>
      <c r="F4473" s="3" t="s">
        <v>5236</v>
      </c>
      <c r="G4473" s="4" t="str">
        <f>HYPERLINK("https://diaocthongthai.com/xa-truc-my-truc-ninh/","Xã Trực Mỹ")</f>
        <v>Xã Trực Mỹ</v>
      </c>
    </row>
    <row r="4474" spans="1:7" x14ac:dyDescent="0.25">
      <c r="A4474" s="2">
        <v>4473</v>
      </c>
      <c r="B4474" s="3" t="s">
        <v>26</v>
      </c>
      <c r="C4474" s="4" t="str">
        <f t="shared" si="367"/>
        <v>Nam Định</v>
      </c>
      <c r="D4474" s="3" t="s">
        <v>319</v>
      </c>
      <c r="E4474" s="4" t="str">
        <f t="shared" si="368"/>
        <v>Huyện Trực Ninh</v>
      </c>
      <c r="F4474" s="3" t="s">
        <v>5237</v>
      </c>
      <c r="G4474" s="4" t="str">
        <f>HYPERLINK("https://diaocthongthai.com/xa-truc-dai-truc-ninh/","Xã Trực Đại")</f>
        <v>Xã Trực Đại</v>
      </c>
    </row>
    <row r="4475" spans="1:7" x14ac:dyDescent="0.25">
      <c r="A4475" s="2">
        <v>4474</v>
      </c>
      <c r="B4475" s="3" t="s">
        <v>26</v>
      </c>
      <c r="C4475" s="4" t="str">
        <f t="shared" si="367"/>
        <v>Nam Định</v>
      </c>
      <c r="D4475" s="3" t="s">
        <v>319</v>
      </c>
      <c r="E4475" s="4" t="str">
        <f t="shared" si="368"/>
        <v>Huyện Trực Ninh</v>
      </c>
      <c r="F4475" s="3" t="s">
        <v>5238</v>
      </c>
      <c r="G4475" s="4" t="str">
        <f>HYPERLINK("https://diaocthongthai.com/xa-truc-cuong-truc-ninh/","Xã Trực Cường")</f>
        <v>Xã Trực Cường</v>
      </c>
    </row>
    <row r="4476" spans="1:7" x14ac:dyDescent="0.25">
      <c r="A4476" s="2">
        <v>4475</v>
      </c>
      <c r="B4476" s="3" t="s">
        <v>26</v>
      </c>
      <c r="C4476" s="4" t="str">
        <f t="shared" si="367"/>
        <v>Nam Định</v>
      </c>
      <c r="D4476" s="3" t="s">
        <v>319</v>
      </c>
      <c r="E4476" s="4" t="str">
        <f t="shared" si="368"/>
        <v>Huyện Trực Ninh</v>
      </c>
      <c r="F4476" s="3" t="s">
        <v>5239</v>
      </c>
      <c r="G4476" s="4" t="str">
        <f>HYPERLINK("https://diaocthongthai.com/thi-tran-ninh-cuong-truc-ninh/","Thị trấn Ninh Cường")</f>
        <v>Thị trấn Ninh Cường</v>
      </c>
    </row>
    <row r="4477" spans="1:7" x14ac:dyDescent="0.25">
      <c r="A4477" s="2">
        <v>4476</v>
      </c>
      <c r="B4477" s="3" t="s">
        <v>26</v>
      </c>
      <c r="C4477" s="4" t="str">
        <f t="shared" si="367"/>
        <v>Nam Định</v>
      </c>
      <c r="D4477" s="3" t="s">
        <v>319</v>
      </c>
      <c r="E4477" s="4" t="str">
        <f t="shared" si="368"/>
        <v>Huyện Trực Ninh</v>
      </c>
      <c r="F4477" s="3" t="s">
        <v>5240</v>
      </c>
      <c r="G4477" s="4" t="str">
        <f>HYPERLINK("https://diaocthongthai.com/xa-truc-thai-truc-ninh/","Xã Trực Thái")</f>
        <v>Xã Trực Thái</v>
      </c>
    </row>
    <row r="4478" spans="1:7" x14ac:dyDescent="0.25">
      <c r="A4478" s="2">
        <v>4477</v>
      </c>
      <c r="B4478" s="3" t="s">
        <v>26</v>
      </c>
      <c r="C4478" s="4" t="str">
        <f t="shared" si="367"/>
        <v>Nam Định</v>
      </c>
      <c r="D4478" s="3" t="s">
        <v>319</v>
      </c>
      <c r="E4478" s="4" t="str">
        <f t="shared" si="368"/>
        <v>Huyện Trực Ninh</v>
      </c>
      <c r="F4478" s="3" t="s">
        <v>5241</v>
      </c>
      <c r="G4478" s="4" t="str">
        <f>HYPERLINK("https://diaocthongthai.com/xa-truc-hung-1-truc-ninh/","Xã Trực Hùng")</f>
        <v>Xã Trực Hùng</v>
      </c>
    </row>
    <row r="4479" spans="1:7" x14ac:dyDescent="0.25">
      <c r="A4479" s="2">
        <v>4478</v>
      </c>
      <c r="B4479" s="3" t="s">
        <v>26</v>
      </c>
      <c r="C4479" s="4" t="str">
        <f t="shared" si="367"/>
        <v>Nam Định</v>
      </c>
      <c r="D4479" s="3" t="s">
        <v>319</v>
      </c>
      <c r="E4479" s="4" t="str">
        <f t="shared" si="368"/>
        <v>Huyện Trực Ninh</v>
      </c>
      <c r="F4479" s="3" t="s">
        <v>5242</v>
      </c>
      <c r="G4479" s="4" t="str">
        <f>HYPERLINK("https://diaocthongthai.com/xa-truc-thang-truc-ninh/","Xã Trực Thắng")</f>
        <v>Xã Trực Thắng</v>
      </c>
    </row>
    <row r="4480" spans="1:7" x14ac:dyDescent="0.25">
      <c r="A4480" s="2">
        <v>4479</v>
      </c>
      <c r="B4480" s="3" t="s">
        <v>26</v>
      </c>
      <c r="C4480" s="4" t="str">
        <f t="shared" si="367"/>
        <v>Nam Định</v>
      </c>
      <c r="D4480" s="3" t="s">
        <v>320</v>
      </c>
      <c r="E4480" s="4" t="str">
        <f t="shared" ref="E4480:E4499" si="369">HYPERLINK("https://diaocthongthai.com/ban-do-huyen-xuan-truong-nam-dinh/","Huyện Xuân Trường")</f>
        <v>Huyện Xuân Trường</v>
      </c>
      <c r="F4480" s="3" t="s">
        <v>5243</v>
      </c>
      <c r="G4480" s="4" t="str">
        <f>HYPERLINK("https://diaocthongthai.com/thi-tran-xuan-truong-xuan-truong/","Thị trấn Xuân Trường")</f>
        <v>Thị trấn Xuân Trường</v>
      </c>
    </row>
    <row r="4481" spans="1:7" x14ac:dyDescent="0.25">
      <c r="A4481" s="2">
        <v>4480</v>
      </c>
      <c r="B4481" s="3" t="s">
        <v>26</v>
      </c>
      <c r="C4481" s="4" t="str">
        <f t="shared" si="367"/>
        <v>Nam Định</v>
      </c>
      <c r="D4481" s="3" t="s">
        <v>320</v>
      </c>
      <c r="E4481" s="4" t="str">
        <f t="shared" si="369"/>
        <v>Huyện Xuân Trường</v>
      </c>
      <c r="F4481" s="3" t="s">
        <v>5244</v>
      </c>
      <c r="G4481" s="4" t="str">
        <f>HYPERLINK("https://diaocthongthai.com/xa-xuan-chau-xuan-truong/","Xã Xuân Châu")</f>
        <v>Xã Xuân Châu</v>
      </c>
    </row>
    <row r="4482" spans="1:7" x14ac:dyDescent="0.25">
      <c r="A4482" s="2">
        <v>4481</v>
      </c>
      <c r="B4482" s="3" t="s">
        <v>26</v>
      </c>
      <c r="C4482" s="4" t="str">
        <f t="shared" si="367"/>
        <v>Nam Định</v>
      </c>
      <c r="D4482" s="3" t="s">
        <v>320</v>
      </c>
      <c r="E4482" s="4" t="str">
        <f t="shared" si="369"/>
        <v>Huyện Xuân Trường</v>
      </c>
      <c r="F4482" s="3" t="s">
        <v>5245</v>
      </c>
      <c r="G4482" s="4" t="str">
        <f>HYPERLINK("https://diaocthongthai.com/xa-xuan-hong-xuan-truong/","Xã Xuân Hồng")</f>
        <v>Xã Xuân Hồng</v>
      </c>
    </row>
    <row r="4483" spans="1:7" x14ac:dyDescent="0.25">
      <c r="A4483" s="2">
        <v>4482</v>
      </c>
      <c r="B4483" s="3" t="s">
        <v>26</v>
      </c>
      <c r="C4483" s="4" t="str">
        <f t="shared" si="367"/>
        <v>Nam Định</v>
      </c>
      <c r="D4483" s="3" t="s">
        <v>320</v>
      </c>
      <c r="E4483" s="4" t="str">
        <f t="shared" si="369"/>
        <v>Huyện Xuân Trường</v>
      </c>
      <c r="F4483" s="3" t="s">
        <v>5246</v>
      </c>
      <c r="G4483" s="4" t="str">
        <f>HYPERLINK("https://diaocthongthai.com/xa-xuan-thanh-xuan-truong/","Xã Xuân Thành")</f>
        <v>Xã Xuân Thành</v>
      </c>
    </row>
    <row r="4484" spans="1:7" x14ac:dyDescent="0.25">
      <c r="A4484" s="2">
        <v>4483</v>
      </c>
      <c r="B4484" s="3" t="s">
        <v>26</v>
      </c>
      <c r="C4484" s="4" t="str">
        <f t="shared" si="367"/>
        <v>Nam Định</v>
      </c>
      <c r="D4484" s="3" t="s">
        <v>320</v>
      </c>
      <c r="E4484" s="4" t="str">
        <f t="shared" si="369"/>
        <v>Huyện Xuân Trường</v>
      </c>
      <c r="F4484" s="3" t="s">
        <v>5247</v>
      </c>
      <c r="G4484" s="4" t="str">
        <f>HYPERLINK("https://diaocthongthai.com/xa-xuan-thuong-xuan-truong/","Xã Xuân Thượng")</f>
        <v>Xã Xuân Thượng</v>
      </c>
    </row>
    <row r="4485" spans="1:7" x14ac:dyDescent="0.25">
      <c r="A4485" s="2">
        <v>4484</v>
      </c>
      <c r="B4485" s="3" t="s">
        <v>26</v>
      </c>
      <c r="C4485" s="4" t="str">
        <f t="shared" si="367"/>
        <v>Nam Định</v>
      </c>
      <c r="D4485" s="3" t="s">
        <v>320</v>
      </c>
      <c r="E4485" s="4" t="str">
        <f t="shared" si="369"/>
        <v>Huyện Xuân Trường</v>
      </c>
      <c r="F4485" s="3" t="s">
        <v>5248</v>
      </c>
      <c r="G4485" s="4" t="str">
        <f>HYPERLINK("https://diaocthongthai.com/xa-xuan-phong-xuan-truong/","Xã Xuân Phong")</f>
        <v>Xã Xuân Phong</v>
      </c>
    </row>
    <row r="4486" spans="1:7" x14ac:dyDescent="0.25">
      <c r="A4486" s="2">
        <v>4485</v>
      </c>
      <c r="B4486" s="3" t="s">
        <v>26</v>
      </c>
      <c r="C4486" s="4" t="str">
        <f t="shared" si="367"/>
        <v>Nam Định</v>
      </c>
      <c r="D4486" s="3" t="s">
        <v>320</v>
      </c>
      <c r="E4486" s="4" t="str">
        <f t="shared" si="369"/>
        <v>Huyện Xuân Trường</v>
      </c>
      <c r="F4486" s="3" t="s">
        <v>5249</v>
      </c>
      <c r="G4486" s="4" t="str">
        <f>HYPERLINK("https://diaocthongthai.com/xa-xuan-dai-xuan-truong/","Xã Xuân Đài")</f>
        <v>Xã Xuân Đài</v>
      </c>
    </row>
    <row r="4487" spans="1:7" x14ac:dyDescent="0.25">
      <c r="A4487" s="2">
        <v>4486</v>
      </c>
      <c r="B4487" s="3" t="s">
        <v>26</v>
      </c>
      <c r="C4487" s="4" t="str">
        <f t="shared" si="367"/>
        <v>Nam Định</v>
      </c>
      <c r="D4487" s="3" t="s">
        <v>320</v>
      </c>
      <c r="E4487" s="4" t="str">
        <f t="shared" si="369"/>
        <v>Huyện Xuân Trường</v>
      </c>
      <c r="F4487" s="3" t="s">
        <v>5250</v>
      </c>
      <c r="G4487" s="4" t="str">
        <f>HYPERLINK("https://diaocthongthai.com/xa-xuan-tan-xuan-truong/","Xã Xuân Tân")</f>
        <v>Xã Xuân Tân</v>
      </c>
    </row>
    <row r="4488" spans="1:7" x14ac:dyDescent="0.25">
      <c r="A4488" s="2">
        <v>4487</v>
      </c>
      <c r="B4488" s="3" t="s">
        <v>26</v>
      </c>
      <c r="C4488" s="4" t="str">
        <f t="shared" si="367"/>
        <v>Nam Định</v>
      </c>
      <c r="D4488" s="3" t="s">
        <v>320</v>
      </c>
      <c r="E4488" s="4" t="str">
        <f t="shared" si="369"/>
        <v>Huyện Xuân Trường</v>
      </c>
      <c r="F4488" s="3" t="s">
        <v>5251</v>
      </c>
      <c r="G4488" s="4" t="str">
        <f>HYPERLINK("https://diaocthongthai.com/xa-xuan-thuy-xuan-truong/","Xã Xuân Thủy")</f>
        <v>Xã Xuân Thủy</v>
      </c>
    </row>
    <row r="4489" spans="1:7" x14ac:dyDescent="0.25">
      <c r="A4489" s="2">
        <v>4488</v>
      </c>
      <c r="B4489" s="3" t="s">
        <v>26</v>
      </c>
      <c r="C4489" s="4" t="str">
        <f t="shared" si="367"/>
        <v>Nam Định</v>
      </c>
      <c r="D4489" s="3" t="s">
        <v>320</v>
      </c>
      <c r="E4489" s="4" t="str">
        <f t="shared" si="369"/>
        <v>Huyện Xuân Trường</v>
      </c>
      <c r="F4489" s="3" t="s">
        <v>5252</v>
      </c>
      <c r="G4489" s="4" t="str">
        <f>HYPERLINK("https://diaocthongthai.com/xa-xuan-ngoc-xuan-truong/","Xã Xuân Ngọc")</f>
        <v>Xã Xuân Ngọc</v>
      </c>
    </row>
    <row r="4490" spans="1:7" x14ac:dyDescent="0.25">
      <c r="A4490" s="2">
        <v>4489</v>
      </c>
      <c r="B4490" s="3" t="s">
        <v>26</v>
      </c>
      <c r="C4490" s="4" t="str">
        <f t="shared" si="367"/>
        <v>Nam Định</v>
      </c>
      <c r="D4490" s="3" t="s">
        <v>320</v>
      </c>
      <c r="E4490" s="4" t="str">
        <f t="shared" si="369"/>
        <v>Huyện Xuân Trường</v>
      </c>
      <c r="F4490" s="3" t="s">
        <v>5253</v>
      </c>
      <c r="G4490" s="4" t="str">
        <f>HYPERLINK("https://diaocthongthai.com/xa-xuan-bac-xuan-truong/","Xã Xuân Bắc")</f>
        <v>Xã Xuân Bắc</v>
      </c>
    </row>
    <row r="4491" spans="1:7" x14ac:dyDescent="0.25">
      <c r="A4491" s="2">
        <v>4490</v>
      </c>
      <c r="B4491" s="3" t="s">
        <v>26</v>
      </c>
      <c r="C4491" s="4" t="str">
        <f t="shared" si="367"/>
        <v>Nam Định</v>
      </c>
      <c r="D4491" s="3" t="s">
        <v>320</v>
      </c>
      <c r="E4491" s="4" t="str">
        <f t="shared" si="369"/>
        <v>Huyện Xuân Trường</v>
      </c>
      <c r="F4491" s="3" t="s">
        <v>5254</v>
      </c>
      <c r="G4491" s="4" t="str">
        <f>HYPERLINK("https://diaocthongthai.com/xa-xuan-phuong-xuan-truong/","Xã Xuân Phương")</f>
        <v>Xã Xuân Phương</v>
      </c>
    </row>
    <row r="4492" spans="1:7" x14ac:dyDescent="0.25">
      <c r="A4492" s="2">
        <v>4491</v>
      </c>
      <c r="B4492" s="3" t="s">
        <v>26</v>
      </c>
      <c r="C4492" s="4" t="str">
        <f t="shared" si="367"/>
        <v>Nam Định</v>
      </c>
      <c r="D4492" s="3" t="s">
        <v>320</v>
      </c>
      <c r="E4492" s="4" t="str">
        <f t="shared" si="369"/>
        <v>Huyện Xuân Trường</v>
      </c>
      <c r="F4492" s="3" t="s">
        <v>5255</v>
      </c>
      <c r="G4492" s="4" t="str">
        <f>HYPERLINK("https://diaocthongthai.com/xa-tho-nghiep-xuan-truong/","Xã Thọ Nghiệp")</f>
        <v>Xã Thọ Nghiệp</v>
      </c>
    </row>
    <row r="4493" spans="1:7" x14ac:dyDescent="0.25">
      <c r="A4493" s="2">
        <v>4492</v>
      </c>
      <c r="B4493" s="3" t="s">
        <v>26</v>
      </c>
      <c r="C4493" s="4" t="str">
        <f t="shared" si="367"/>
        <v>Nam Định</v>
      </c>
      <c r="D4493" s="3" t="s">
        <v>320</v>
      </c>
      <c r="E4493" s="4" t="str">
        <f t="shared" si="369"/>
        <v>Huyện Xuân Trường</v>
      </c>
      <c r="F4493" s="3" t="s">
        <v>5256</v>
      </c>
      <c r="G4493" s="4" t="str">
        <f>HYPERLINK("https://diaocthongthai.com/xa-xuan-phu-xuan-truong/","Xã Xuân Phú")</f>
        <v>Xã Xuân Phú</v>
      </c>
    </row>
    <row r="4494" spans="1:7" x14ac:dyDescent="0.25">
      <c r="A4494" s="2">
        <v>4493</v>
      </c>
      <c r="B4494" s="3" t="s">
        <v>26</v>
      </c>
      <c r="C4494" s="4" t="str">
        <f t="shared" si="367"/>
        <v>Nam Định</v>
      </c>
      <c r="D4494" s="3" t="s">
        <v>320</v>
      </c>
      <c r="E4494" s="4" t="str">
        <f t="shared" si="369"/>
        <v>Huyện Xuân Trường</v>
      </c>
      <c r="F4494" s="3" t="s">
        <v>5257</v>
      </c>
      <c r="G4494" s="4" t="str">
        <f>HYPERLINK("https://diaocthongthai.com/xa-xuan-trung-xuan-truong/","Xã Xuân Trung")</f>
        <v>Xã Xuân Trung</v>
      </c>
    </row>
    <row r="4495" spans="1:7" x14ac:dyDescent="0.25">
      <c r="A4495" s="2">
        <v>4494</v>
      </c>
      <c r="B4495" s="3" t="s">
        <v>26</v>
      </c>
      <c r="C4495" s="4" t="str">
        <f t="shared" si="367"/>
        <v>Nam Định</v>
      </c>
      <c r="D4495" s="3" t="s">
        <v>320</v>
      </c>
      <c r="E4495" s="4" t="str">
        <f t="shared" si="369"/>
        <v>Huyện Xuân Trường</v>
      </c>
      <c r="F4495" s="3" t="s">
        <v>5258</v>
      </c>
      <c r="G4495" s="4" t="str">
        <f>HYPERLINK("https://diaocthongthai.com/xa-xuan-vinh-xuan-truong/","Xã Xuân Vinh")</f>
        <v>Xã Xuân Vinh</v>
      </c>
    </row>
    <row r="4496" spans="1:7" x14ac:dyDescent="0.25">
      <c r="A4496" s="2">
        <v>4495</v>
      </c>
      <c r="B4496" s="3" t="s">
        <v>26</v>
      </c>
      <c r="C4496" s="4" t="str">
        <f t="shared" si="367"/>
        <v>Nam Định</v>
      </c>
      <c r="D4496" s="3" t="s">
        <v>320</v>
      </c>
      <c r="E4496" s="4" t="str">
        <f t="shared" si="369"/>
        <v>Huyện Xuân Trường</v>
      </c>
      <c r="F4496" s="3" t="s">
        <v>5259</v>
      </c>
      <c r="G4496" s="4" t="str">
        <f>HYPERLINK("https://diaocthongthai.com/xa-xuan-kien-xuan-truong/","Xã Xuân Kiên")</f>
        <v>Xã Xuân Kiên</v>
      </c>
    </row>
    <row r="4497" spans="1:7" x14ac:dyDescent="0.25">
      <c r="A4497" s="2">
        <v>4496</v>
      </c>
      <c r="B4497" s="3" t="s">
        <v>26</v>
      </c>
      <c r="C4497" s="4" t="str">
        <f t="shared" si="367"/>
        <v>Nam Định</v>
      </c>
      <c r="D4497" s="3" t="s">
        <v>320</v>
      </c>
      <c r="E4497" s="4" t="str">
        <f t="shared" si="369"/>
        <v>Huyện Xuân Trường</v>
      </c>
      <c r="F4497" s="3" t="s">
        <v>5260</v>
      </c>
      <c r="G4497" s="4" t="str">
        <f>HYPERLINK("https://diaocthongthai.com/xa-xuan-tien-xuan-truong/","Xã Xuân Tiến")</f>
        <v>Xã Xuân Tiến</v>
      </c>
    </row>
    <row r="4498" spans="1:7" x14ac:dyDescent="0.25">
      <c r="A4498" s="2">
        <v>4497</v>
      </c>
      <c r="B4498" s="3" t="s">
        <v>26</v>
      </c>
      <c r="C4498" s="4" t="str">
        <f t="shared" si="367"/>
        <v>Nam Định</v>
      </c>
      <c r="D4498" s="3" t="s">
        <v>320</v>
      </c>
      <c r="E4498" s="4" t="str">
        <f t="shared" si="369"/>
        <v>Huyện Xuân Trường</v>
      </c>
      <c r="F4498" s="3" t="s">
        <v>5261</v>
      </c>
      <c r="G4498" s="4" t="str">
        <f>HYPERLINK("https://diaocthongthai.com/xa-xuan-ninh-xuan-truong/","Xã Xuân Ninh")</f>
        <v>Xã Xuân Ninh</v>
      </c>
    </row>
    <row r="4499" spans="1:7" x14ac:dyDescent="0.25">
      <c r="A4499" s="2">
        <v>4498</v>
      </c>
      <c r="B4499" s="3" t="s">
        <v>26</v>
      </c>
      <c r="C4499" s="4" t="str">
        <f t="shared" si="367"/>
        <v>Nam Định</v>
      </c>
      <c r="D4499" s="3" t="s">
        <v>320</v>
      </c>
      <c r="E4499" s="4" t="str">
        <f t="shared" si="369"/>
        <v>Huyện Xuân Trường</v>
      </c>
      <c r="F4499" s="3" t="s">
        <v>5262</v>
      </c>
      <c r="G4499" s="4" t="str">
        <f>HYPERLINK("https://diaocthongthai.com/xa-xuan-hoa-xuan-truong/","Xã Xuân Hòa")</f>
        <v>Xã Xuân Hòa</v>
      </c>
    </row>
    <row r="4500" spans="1:7" x14ac:dyDescent="0.25">
      <c r="A4500" s="2">
        <v>4499</v>
      </c>
      <c r="B4500" s="3" t="s">
        <v>26</v>
      </c>
      <c r="C4500" s="4" t="str">
        <f t="shared" si="367"/>
        <v>Nam Định</v>
      </c>
      <c r="D4500" s="3" t="s">
        <v>321</v>
      </c>
      <c r="E4500" s="4" t="str">
        <f t="shared" ref="E4500:E4521" si="370">HYPERLINK("https://diaocthongthai.com/ban-do-huyen-giao-thuy-nam-dinh/","Huyện Giao Thủy")</f>
        <v>Huyện Giao Thủy</v>
      </c>
      <c r="F4500" s="3" t="s">
        <v>5263</v>
      </c>
      <c r="G4500" s="4" t="str">
        <f>HYPERLINK("https://diaocthongthai.com/thi-tran-ngo-dong-giao-thuy/","Thị trấn Ngô Đồng")</f>
        <v>Thị trấn Ngô Đồng</v>
      </c>
    </row>
    <row r="4501" spans="1:7" x14ac:dyDescent="0.25">
      <c r="A4501" s="2">
        <v>4500</v>
      </c>
      <c r="B4501" s="3" t="s">
        <v>26</v>
      </c>
      <c r="C4501" s="4" t="str">
        <f t="shared" si="367"/>
        <v>Nam Định</v>
      </c>
      <c r="D4501" s="3" t="s">
        <v>321</v>
      </c>
      <c r="E4501" s="4" t="str">
        <f t="shared" si="370"/>
        <v>Huyện Giao Thủy</v>
      </c>
      <c r="F4501" s="3" t="s">
        <v>5264</v>
      </c>
      <c r="G4501" s="4" t="str">
        <f>HYPERLINK("https://diaocthongthai.com/thi-tran-quat-lam-giao-thuy/","Thị trấn Quất Lâm")</f>
        <v>Thị trấn Quất Lâm</v>
      </c>
    </row>
    <row r="4502" spans="1:7" x14ac:dyDescent="0.25">
      <c r="A4502" s="2">
        <v>4501</v>
      </c>
      <c r="B4502" s="3" t="s">
        <v>26</v>
      </c>
      <c r="C4502" s="4" t="str">
        <f t="shared" si="367"/>
        <v>Nam Định</v>
      </c>
      <c r="D4502" s="3" t="s">
        <v>321</v>
      </c>
      <c r="E4502" s="4" t="str">
        <f t="shared" si="370"/>
        <v>Huyện Giao Thủy</v>
      </c>
      <c r="F4502" s="3" t="s">
        <v>5265</v>
      </c>
      <c r="G4502" s="4" t="str">
        <f>HYPERLINK("https://diaocthongthai.com/xa-giao-huong-giao-thuy/","Xã Giao Hương")</f>
        <v>Xã Giao Hương</v>
      </c>
    </row>
    <row r="4503" spans="1:7" x14ac:dyDescent="0.25">
      <c r="A4503" s="2">
        <v>4502</v>
      </c>
      <c r="B4503" s="3" t="s">
        <v>26</v>
      </c>
      <c r="C4503" s="4" t="str">
        <f t="shared" si="367"/>
        <v>Nam Định</v>
      </c>
      <c r="D4503" s="3" t="s">
        <v>321</v>
      </c>
      <c r="E4503" s="4" t="str">
        <f t="shared" si="370"/>
        <v>Huyện Giao Thủy</v>
      </c>
      <c r="F4503" s="3" t="s">
        <v>5266</v>
      </c>
      <c r="G4503" s="4" t="str">
        <f>HYPERLINK("https://diaocthongthai.com/xa-hong-thuan-giao-thuy/","Xã Hồng Thuận")</f>
        <v>Xã Hồng Thuận</v>
      </c>
    </row>
    <row r="4504" spans="1:7" x14ac:dyDescent="0.25">
      <c r="A4504" s="2">
        <v>4503</v>
      </c>
      <c r="B4504" s="3" t="s">
        <v>26</v>
      </c>
      <c r="C4504" s="4" t="str">
        <f t="shared" si="367"/>
        <v>Nam Định</v>
      </c>
      <c r="D4504" s="3" t="s">
        <v>321</v>
      </c>
      <c r="E4504" s="4" t="str">
        <f t="shared" si="370"/>
        <v>Huyện Giao Thủy</v>
      </c>
      <c r="F4504" s="3" t="s">
        <v>5267</v>
      </c>
      <c r="G4504" s="4" t="str">
        <f>HYPERLINK("https://diaocthongthai.com/xa-giao-thien-giao-thuy/","Xã Giao Thiện")</f>
        <v>Xã Giao Thiện</v>
      </c>
    </row>
    <row r="4505" spans="1:7" x14ac:dyDescent="0.25">
      <c r="A4505" s="2">
        <v>4504</v>
      </c>
      <c r="B4505" s="3" t="s">
        <v>26</v>
      </c>
      <c r="C4505" s="4" t="str">
        <f t="shared" si="367"/>
        <v>Nam Định</v>
      </c>
      <c r="D4505" s="3" t="s">
        <v>321</v>
      </c>
      <c r="E4505" s="4" t="str">
        <f t="shared" si="370"/>
        <v>Huyện Giao Thủy</v>
      </c>
      <c r="F4505" s="3" t="s">
        <v>5268</v>
      </c>
      <c r="G4505" s="4" t="str">
        <f>HYPERLINK("https://diaocthongthai.com/xa-giao-thanh-giao-thuy/","Xã Giao Thanh")</f>
        <v>Xã Giao Thanh</v>
      </c>
    </row>
    <row r="4506" spans="1:7" x14ac:dyDescent="0.25">
      <c r="A4506" s="2">
        <v>4505</v>
      </c>
      <c r="B4506" s="3" t="s">
        <v>26</v>
      </c>
      <c r="C4506" s="4" t="str">
        <f t="shared" si="367"/>
        <v>Nam Định</v>
      </c>
      <c r="D4506" s="3" t="s">
        <v>321</v>
      </c>
      <c r="E4506" s="4" t="str">
        <f t="shared" si="370"/>
        <v>Huyện Giao Thủy</v>
      </c>
      <c r="F4506" s="3" t="s">
        <v>5269</v>
      </c>
      <c r="G4506" s="4" t="str">
        <f>HYPERLINK("https://diaocthongthai.com/xa-hoanh-son-giao-thuy/","Xã Hoành Sơn")</f>
        <v>Xã Hoành Sơn</v>
      </c>
    </row>
    <row r="4507" spans="1:7" x14ac:dyDescent="0.25">
      <c r="A4507" s="2">
        <v>4506</v>
      </c>
      <c r="B4507" s="3" t="s">
        <v>26</v>
      </c>
      <c r="C4507" s="4" t="str">
        <f t="shared" si="367"/>
        <v>Nam Định</v>
      </c>
      <c r="D4507" s="3" t="s">
        <v>321</v>
      </c>
      <c r="E4507" s="4" t="str">
        <f t="shared" si="370"/>
        <v>Huyện Giao Thủy</v>
      </c>
      <c r="F4507" s="3" t="s">
        <v>5270</v>
      </c>
      <c r="G4507" s="4" t="str">
        <f>HYPERLINK("https://diaocthongthai.com/xa-binh-hoa-giao-thuy/","Xã Bình Hòa")</f>
        <v>Xã Bình Hòa</v>
      </c>
    </row>
    <row r="4508" spans="1:7" x14ac:dyDescent="0.25">
      <c r="A4508" s="2">
        <v>4507</v>
      </c>
      <c r="B4508" s="3" t="s">
        <v>26</v>
      </c>
      <c r="C4508" s="4" t="str">
        <f t="shared" si="367"/>
        <v>Nam Định</v>
      </c>
      <c r="D4508" s="3" t="s">
        <v>321</v>
      </c>
      <c r="E4508" s="4" t="str">
        <f t="shared" si="370"/>
        <v>Huyện Giao Thủy</v>
      </c>
      <c r="F4508" s="3" t="s">
        <v>5271</v>
      </c>
      <c r="G4508" s="4" t="str">
        <f>HYPERLINK("https://diaocthongthai.com/xa-giao-tien-giao-thuy/","Xã Giao Tiến")</f>
        <v>Xã Giao Tiến</v>
      </c>
    </row>
    <row r="4509" spans="1:7" x14ac:dyDescent="0.25">
      <c r="A4509" s="2">
        <v>4508</v>
      </c>
      <c r="B4509" s="3" t="s">
        <v>26</v>
      </c>
      <c r="C4509" s="4" t="str">
        <f t="shared" si="367"/>
        <v>Nam Định</v>
      </c>
      <c r="D4509" s="3" t="s">
        <v>321</v>
      </c>
      <c r="E4509" s="4" t="str">
        <f t="shared" si="370"/>
        <v>Huyện Giao Thủy</v>
      </c>
      <c r="F4509" s="3" t="s">
        <v>5272</v>
      </c>
      <c r="G4509" s="4" t="str">
        <f>HYPERLINK("https://diaocthongthai.com/xa-giao-ha-giao-thuy/","Xã Giao Hà")</f>
        <v>Xã Giao Hà</v>
      </c>
    </row>
    <row r="4510" spans="1:7" x14ac:dyDescent="0.25">
      <c r="A4510" s="2">
        <v>4509</v>
      </c>
      <c r="B4510" s="3" t="s">
        <v>26</v>
      </c>
      <c r="C4510" s="4" t="str">
        <f t="shared" si="367"/>
        <v>Nam Định</v>
      </c>
      <c r="D4510" s="3" t="s">
        <v>321</v>
      </c>
      <c r="E4510" s="4" t="str">
        <f t="shared" si="370"/>
        <v>Huyện Giao Thủy</v>
      </c>
      <c r="F4510" s="3" t="s">
        <v>5273</v>
      </c>
      <c r="G4510" s="4" t="str">
        <f>HYPERLINK("https://diaocthongthai.com/xa-giao-nhan-giao-thuy/","Xã Giao Nhân")</f>
        <v>Xã Giao Nhân</v>
      </c>
    </row>
    <row r="4511" spans="1:7" x14ac:dyDescent="0.25">
      <c r="A4511" s="2">
        <v>4510</v>
      </c>
      <c r="B4511" s="3" t="s">
        <v>26</v>
      </c>
      <c r="C4511" s="4" t="str">
        <f t="shared" si="367"/>
        <v>Nam Định</v>
      </c>
      <c r="D4511" s="3" t="s">
        <v>321</v>
      </c>
      <c r="E4511" s="4" t="str">
        <f t="shared" si="370"/>
        <v>Huyện Giao Thủy</v>
      </c>
      <c r="F4511" s="3" t="s">
        <v>5274</v>
      </c>
      <c r="G4511" s="4" t="str">
        <f>HYPERLINK("https://diaocthongthai.com/xa-giao-an-giao-thuy/","Xã Giao An")</f>
        <v>Xã Giao An</v>
      </c>
    </row>
    <row r="4512" spans="1:7" x14ac:dyDescent="0.25">
      <c r="A4512" s="2">
        <v>4511</v>
      </c>
      <c r="B4512" s="3" t="s">
        <v>26</v>
      </c>
      <c r="C4512" s="4" t="str">
        <f t="shared" si="367"/>
        <v>Nam Định</v>
      </c>
      <c r="D4512" s="3" t="s">
        <v>321</v>
      </c>
      <c r="E4512" s="4" t="str">
        <f t="shared" si="370"/>
        <v>Huyện Giao Thủy</v>
      </c>
      <c r="F4512" s="3" t="s">
        <v>5275</v>
      </c>
      <c r="G4512" s="4" t="str">
        <f>HYPERLINK("https://diaocthongthai.com/xa-giao-lac-giao-thuy/","Xã Giao Lạc")</f>
        <v>Xã Giao Lạc</v>
      </c>
    </row>
    <row r="4513" spans="1:7" x14ac:dyDescent="0.25">
      <c r="A4513" s="2">
        <v>4512</v>
      </c>
      <c r="B4513" s="3" t="s">
        <v>26</v>
      </c>
      <c r="C4513" s="4" t="str">
        <f t="shared" si="367"/>
        <v>Nam Định</v>
      </c>
      <c r="D4513" s="3" t="s">
        <v>321</v>
      </c>
      <c r="E4513" s="4" t="str">
        <f t="shared" si="370"/>
        <v>Huyện Giao Thủy</v>
      </c>
      <c r="F4513" s="3" t="s">
        <v>5276</v>
      </c>
      <c r="G4513" s="4" t="str">
        <f>HYPERLINK("https://diaocthongthai.com/xa-giao-chau-giao-thuy/","Xã Giao Châu")</f>
        <v>Xã Giao Châu</v>
      </c>
    </row>
    <row r="4514" spans="1:7" x14ac:dyDescent="0.25">
      <c r="A4514" s="2">
        <v>4513</v>
      </c>
      <c r="B4514" s="3" t="s">
        <v>26</v>
      </c>
      <c r="C4514" s="4" t="str">
        <f t="shared" si="367"/>
        <v>Nam Định</v>
      </c>
      <c r="D4514" s="3" t="s">
        <v>321</v>
      </c>
      <c r="E4514" s="4" t="str">
        <f t="shared" si="370"/>
        <v>Huyện Giao Thủy</v>
      </c>
      <c r="F4514" s="3" t="s">
        <v>5277</v>
      </c>
      <c r="G4514" s="4" t="str">
        <f>HYPERLINK("https://diaocthongthai.com/xa-giao-tan-giao-thuy/","Xã Giao Tân")</f>
        <v>Xã Giao Tân</v>
      </c>
    </row>
    <row r="4515" spans="1:7" x14ac:dyDescent="0.25">
      <c r="A4515" s="2">
        <v>4514</v>
      </c>
      <c r="B4515" s="3" t="s">
        <v>26</v>
      </c>
      <c r="C4515" s="4" t="str">
        <f t="shared" si="367"/>
        <v>Nam Định</v>
      </c>
      <c r="D4515" s="3" t="s">
        <v>321</v>
      </c>
      <c r="E4515" s="4" t="str">
        <f t="shared" si="370"/>
        <v>Huyện Giao Thủy</v>
      </c>
      <c r="F4515" s="3" t="s">
        <v>5278</v>
      </c>
      <c r="G4515" s="4" t="str">
        <f>HYPERLINK("https://diaocthongthai.com/xa-giao-yen-giao-thuy/","Xã Giao Yến")</f>
        <v>Xã Giao Yến</v>
      </c>
    </row>
    <row r="4516" spans="1:7" x14ac:dyDescent="0.25">
      <c r="A4516" s="2">
        <v>4515</v>
      </c>
      <c r="B4516" s="3" t="s">
        <v>26</v>
      </c>
      <c r="C4516" s="4" t="str">
        <f t="shared" si="367"/>
        <v>Nam Định</v>
      </c>
      <c r="D4516" s="3" t="s">
        <v>321</v>
      </c>
      <c r="E4516" s="4" t="str">
        <f t="shared" si="370"/>
        <v>Huyện Giao Thủy</v>
      </c>
      <c r="F4516" s="3" t="s">
        <v>5279</v>
      </c>
      <c r="G4516" s="4" t="str">
        <f>HYPERLINK("https://diaocthongthai.com/xa-giao-xuan-giao-thuy/","Xã Giao Xuân")</f>
        <v>Xã Giao Xuân</v>
      </c>
    </row>
    <row r="4517" spans="1:7" x14ac:dyDescent="0.25">
      <c r="A4517" s="2">
        <v>4516</v>
      </c>
      <c r="B4517" s="3" t="s">
        <v>26</v>
      </c>
      <c r="C4517" s="4" t="str">
        <f t="shared" si="367"/>
        <v>Nam Định</v>
      </c>
      <c r="D4517" s="3" t="s">
        <v>321</v>
      </c>
      <c r="E4517" s="4" t="str">
        <f t="shared" si="370"/>
        <v>Huyện Giao Thủy</v>
      </c>
      <c r="F4517" s="3" t="s">
        <v>5280</v>
      </c>
      <c r="G4517" s="4" t="str">
        <f>HYPERLINK("https://diaocthongthai.com/xa-giao-thinh-giao-thuy/","Xã Giao Thịnh")</f>
        <v>Xã Giao Thịnh</v>
      </c>
    </row>
    <row r="4518" spans="1:7" x14ac:dyDescent="0.25">
      <c r="A4518" s="2">
        <v>4517</v>
      </c>
      <c r="B4518" s="3" t="s">
        <v>26</v>
      </c>
      <c r="C4518" s="4" t="str">
        <f t="shared" si="367"/>
        <v>Nam Định</v>
      </c>
      <c r="D4518" s="3" t="s">
        <v>321</v>
      </c>
      <c r="E4518" s="4" t="str">
        <f t="shared" si="370"/>
        <v>Huyện Giao Thủy</v>
      </c>
      <c r="F4518" s="3" t="s">
        <v>5281</v>
      </c>
      <c r="G4518" s="4" t="str">
        <f>HYPERLINK("https://diaocthongthai.com/xa-giao-hai-giao-thuy/","Xã Giao Hải")</f>
        <v>Xã Giao Hải</v>
      </c>
    </row>
    <row r="4519" spans="1:7" x14ac:dyDescent="0.25">
      <c r="A4519" s="2">
        <v>4518</v>
      </c>
      <c r="B4519" s="3" t="s">
        <v>26</v>
      </c>
      <c r="C4519" s="4" t="str">
        <f t="shared" si="367"/>
        <v>Nam Định</v>
      </c>
      <c r="D4519" s="3" t="s">
        <v>321</v>
      </c>
      <c r="E4519" s="4" t="str">
        <f t="shared" si="370"/>
        <v>Huyện Giao Thủy</v>
      </c>
      <c r="F4519" s="3" t="s">
        <v>5282</v>
      </c>
      <c r="G4519" s="4" t="str">
        <f>HYPERLINK("https://diaocthongthai.com/xa-bach-long-giao-thuy/","Xã Bạch Long")</f>
        <v>Xã Bạch Long</v>
      </c>
    </row>
    <row r="4520" spans="1:7" x14ac:dyDescent="0.25">
      <c r="A4520" s="2">
        <v>4519</v>
      </c>
      <c r="B4520" s="3" t="s">
        <v>26</v>
      </c>
      <c r="C4520" s="4" t="str">
        <f t="shared" si="367"/>
        <v>Nam Định</v>
      </c>
      <c r="D4520" s="3" t="s">
        <v>321</v>
      </c>
      <c r="E4520" s="4" t="str">
        <f t="shared" si="370"/>
        <v>Huyện Giao Thủy</v>
      </c>
      <c r="F4520" s="3" t="s">
        <v>5283</v>
      </c>
      <c r="G4520" s="4" t="str">
        <f>HYPERLINK("https://diaocthongthai.com/xa-giao-long-giao-thuy/","Xã Giao Long")</f>
        <v>Xã Giao Long</v>
      </c>
    </row>
    <row r="4521" spans="1:7" x14ac:dyDescent="0.25">
      <c r="A4521" s="2">
        <v>4520</v>
      </c>
      <c r="B4521" s="3" t="s">
        <v>26</v>
      </c>
      <c r="C4521" s="4" t="str">
        <f t="shared" si="367"/>
        <v>Nam Định</v>
      </c>
      <c r="D4521" s="3" t="s">
        <v>321</v>
      </c>
      <c r="E4521" s="4" t="str">
        <f t="shared" si="370"/>
        <v>Huyện Giao Thủy</v>
      </c>
      <c r="F4521" s="3" t="s">
        <v>5284</v>
      </c>
      <c r="G4521" s="4" t="str">
        <f>HYPERLINK("https://diaocthongthai.com/xa-giao-phong-giao-thuy/","Xã Giao Phong")</f>
        <v>Xã Giao Phong</v>
      </c>
    </row>
    <row r="4522" spans="1:7" x14ac:dyDescent="0.25">
      <c r="A4522" s="2">
        <v>4521</v>
      </c>
      <c r="B4522" s="3" t="s">
        <v>26</v>
      </c>
      <c r="C4522" s="4" t="str">
        <f t="shared" ref="C4522:C4555" si="371">HYPERLINK("https://diaocthongthai.com/ban-do-nam-dinh/","Nam Định")</f>
        <v>Nam Định</v>
      </c>
      <c r="D4522" s="3" t="s">
        <v>322</v>
      </c>
      <c r="E4522" s="4" t="str">
        <f t="shared" ref="E4522:E4555" si="372">HYPERLINK("https://diaocthongthai.com/ban-do-huyen-hai-hau-nam-dinh/","Huyện Hải Hậu")</f>
        <v>Huyện Hải Hậu</v>
      </c>
      <c r="F4522" s="3" t="s">
        <v>5285</v>
      </c>
      <c r="G4522" s="4" t="str">
        <f>HYPERLINK("https://diaocthongthai.com/thi-tran-yen-dinh-hai-hau/","Thị trấn Yên Định")</f>
        <v>Thị trấn Yên Định</v>
      </c>
    </row>
    <row r="4523" spans="1:7" x14ac:dyDescent="0.25">
      <c r="A4523" s="2">
        <v>4522</v>
      </c>
      <c r="B4523" s="3" t="s">
        <v>26</v>
      </c>
      <c r="C4523" s="4" t="str">
        <f t="shared" si="371"/>
        <v>Nam Định</v>
      </c>
      <c r="D4523" s="3" t="s">
        <v>322</v>
      </c>
      <c r="E4523" s="4" t="str">
        <f t="shared" si="372"/>
        <v>Huyện Hải Hậu</v>
      </c>
      <c r="F4523" s="3" t="s">
        <v>5286</v>
      </c>
      <c r="G4523" s="4" t="str">
        <f>HYPERLINK("https://diaocthongthai.com/thi-tran-con-hai-hau/","Thị trấn Cồn")</f>
        <v>Thị trấn Cồn</v>
      </c>
    </row>
    <row r="4524" spans="1:7" x14ac:dyDescent="0.25">
      <c r="A4524" s="2">
        <v>4523</v>
      </c>
      <c r="B4524" s="3" t="s">
        <v>26</v>
      </c>
      <c r="C4524" s="4" t="str">
        <f t="shared" si="371"/>
        <v>Nam Định</v>
      </c>
      <c r="D4524" s="3" t="s">
        <v>322</v>
      </c>
      <c r="E4524" s="4" t="str">
        <f t="shared" si="372"/>
        <v>Huyện Hải Hậu</v>
      </c>
      <c r="F4524" s="3" t="s">
        <v>5287</v>
      </c>
      <c r="G4524" s="4" t="str">
        <f>HYPERLINK("https://diaocthongthai.com/thi-tran-thinh-long-hai-hau/","Thị trấn Thịnh Long")</f>
        <v>Thị trấn Thịnh Long</v>
      </c>
    </row>
    <row r="4525" spans="1:7" x14ac:dyDescent="0.25">
      <c r="A4525" s="2">
        <v>4524</v>
      </c>
      <c r="B4525" s="3" t="s">
        <v>26</v>
      </c>
      <c r="C4525" s="4" t="str">
        <f t="shared" si="371"/>
        <v>Nam Định</v>
      </c>
      <c r="D4525" s="3" t="s">
        <v>322</v>
      </c>
      <c r="E4525" s="4" t="str">
        <f t="shared" si="372"/>
        <v>Huyện Hải Hậu</v>
      </c>
      <c r="F4525" s="3" t="s">
        <v>5288</v>
      </c>
      <c r="G4525" s="4" t="str">
        <f>HYPERLINK("https://diaocthongthai.com/xa-hai-nam-hai-hau/","Xã Hải Nam")</f>
        <v>Xã Hải Nam</v>
      </c>
    </row>
    <row r="4526" spans="1:7" x14ac:dyDescent="0.25">
      <c r="A4526" s="2">
        <v>4525</v>
      </c>
      <c r="B4526" s="3" t="s">
        <v>26</v>
      </c>
      <c r="C4526" s="4" t="str">
        <f t="shared" si="371"/>
        <v>Nam Định</v>
      </c>
      <c r="D4526" s="3" t="s">
        <v>322</v>
      </c>
      <c r="E4526" s="4" t="str">
        <f t="shared" si="372"/>
        <v>Huyện Hải Hậu</v>
      </c>
      <c r="F4526" s="3" t="s">
        <v>5289</v>
      </c>
      <c r="G4526" s="4" t="str">
        <f>HYPERLINK("https://diaocthongthai.com/xa-hai-trung-hai-hau/","Xã Hải Trung")</f>
        <v>Xã Hải Trung</v>
      </c>
    </row>
    <row r="4527" spans="1:7" x14ac:dyDescent="0.25">
      <c r="A4527" s="2">
        <v>4526</v>
      </c>
      <c r="B4527" s="3" t="s">
        <v>26</v>
      </c>
      <c r="C4527" s="4" t="str">
        <f t="shared" si="371"/>
        <v>Nam Định</v>
      </c>
      <c r="D4527" s="3" t="s">
        <v>322</v>
      </c>
      <c r="E4527" s="4" t="str">
        <f t="shared" si="372"/>
        <v>Huyện Hải Hậu</v>
      </c>
      <c r="F4527" s="3" t="s">
        <v>5290</v>
      </c>
      <c r="G4527" s="4" t="str">
        <f>HYPERLINK("https://diaocthongthai.com/xa-hai-van-hai-hau/","Xã Hải Vân")</f>
        <v>Xã Hải Vân</v>
      </c>
    </row>
    <row r="4528" spans="1:7" x14ac:dyDescent="0.25">
      <c r="A4528" s="2">
        <v>4527</v>
      </c>
      <c r="B4528" s="3" t="s">
        <v>26</v>
      </c>
      <c r="C4528" s="4" t="str">
        <f t="shared" si="371"/>
        <v>Nam Định</v>
      </c>
      <c r="D4528" s="3" t="s">
        <v>322</v>
      </c>
      <c r="E4528" s="4" t="str">
        <f t="shared" si="372"/>
        <v>Huyện Hải Hậu</v>
      </c>
      <c r="F4528" s="3" t="s">
        <v>5291</v>
      </c>
      <c r="G4528" s="4" t="str">
        <f>HYPERLINK("https://diaocthongthai.com/xa-hai-minh-hai-hau/","Xã Hải Minh")</f>
        <v>Xã Hải Minh</v>
      </c>
    </row>
    <row r="4529" spans="1:7" x14ac:dyDescent="0.25">
      <c r="A4529" s="2">
        <v>4528</v>
      </c>
      <c r="B4529" s="3" t="s">
        <v>26</v>
      </c>
      <c r="C4529" s="4" t="str">
        <f t="shared" si="371"/>
        <v>Nam Định</v>
      </c>
      <c r="D4529" s="3" t="s">
        <v>322</v>
      </c>
      <c r="E4529" s="4" t="str">
        <f t="shared" si="372"/>
        <v>Huyện Hải Hậu</v>
      </c>
      <c r="F4529" s="3" t="s">
        <v>5292</v>
      </c>
      <c r="G4529" s="4" t="str">
        <f>HYPERLINK("https://diaocthongthai.com/xa-hai-anh-hai-hau/","Xã Hải Anh")</f>
        <v>Xã Hải Anh</v>
      </c>
    </row>
    <row r="4530" spans="1:7" x14ac:dyDescent="0.25">
      <c r="A4530" s="2">
        <v>4529</v>
      </c>
      <c r="B4530" s="3" t="s">
        <v>26</v>
      </c>
      <c r="C4530" s="4" t="str">
        <f t="shared" si="371"/>
        <v>Nam Định</v>
      </c>
      <c r="D4530" s="3" t="s">
        <v>322</v>
      </c>
      <c r="E4530" s="4" t="str">
        <f t="shared" si="372"/>
        <v>Huyện Hải Hậu</v>
      </c>
      <c r="F4530" s="3" t="s">
        <v>5293</v>
      </c>
      <c r="G4530" s="4" t="str">
        <f>HYPERLINK("https://diaocthongthai.com/xa-hai-hung-hai-hau/","Xã Hải Hưng")</f>
        <v>Xã Hải Hưng</v>
      </c>
    </row>
    <row r="4531" spans="1:7" x14ac:dyDescent="0.25">
      <c r="A4531" s="2">
        <v>4530</v>
      </c>
      <c r="B4531" s="3" t="s">
        <v>26</v>
      </c>
      <c r="C4531" s="4" t="str">
        <f t="shared" si="371"/>
        <v>Nam Định</v>
      </c>
      <c r="D4531" s="3" t="s">
        <v>322</v>
      </c>
      <c r="E4531" s="4" t="str">
        <f t="shared" si="372"/>
        <v>Huyện Hải Hậu</v>
      </c>
      <c r="F4531" s="3" t="s">
        <v>5294</v>
      </c>
      <c r="G4531" s="4" t="str">
        <f>HYPERLINK("https://diaocthongthai.com/xa-hai-bac-hai-hau/","Xã Hải Bắc")</f>
        <v>Xã Hải Bắc</v>
      </c>
    </row>
    <row r="4532" spans="1:7" x14ac:dyDescent="0.25">
      <c r="A4532" s="2">
        <v>4531</v>
      </c>
      <c r="B4532" s="3" t="s">
        <v>26</v>
      </c>
      <c r="C4532" s="4" t="str">
        <f t="shared" si="371"/>
        <v>Nam Định</v>
      </c>
      <c r="D4532" s="3" t="s">
        <v>322</v>
      </c>
      <c r="E4532" s="4" t="str">
        <f t="shared" si="372"/>
        <v>Huyện Hải Hậu</v>
      </c>
      <c r="F4532" s="3" t="s">
        <v>5295</v>
      </c>
      <c r="G4532" s="4" t="str">
        <f>HYPERLINK("https://diaocthongthai.com/xa-hai-phuc-hai-hau/","Xã Hải Phúc")</f>
        <v>Xã Hải Phúc</v>
      </c>
    </row>
    <row r="4533" spans="1:7" x14ac:dyDescent="0.25">
      <c r="A4533" s="2">
        <v>4532</v>
      </c>
      <c r="B4533" s="3" t="s">
        <v>26</v>
      </c>
      <c r="C4533" s="4" t="str">
        <f t="shared" si="371"/>
        <v>Nam Định</v>
      </c>
      <c r="D4533" s="3" t="s">
        <v>322</v>
      </c>
      <c r="E4533" s="4" t="str">
        <f t="shared" si="372"/>
        <v>Huyện Hải Hậu</v>
      </c>
      <c r="F4533" s="3" t="s">
        <v>5296</v>
      </c>
      <c r="G4533" s="4" t="str">
        <f>HYPERLINK("https://diaocthongthai.com/xa-hai-thanh-hai-hau/","Xã Hải Thanh")</f>
        <v>Xã Hải Thanh</v>
      </c>
    </row>
    <row r="4534" spans="1:7" x14ac:dyDescent="0.25">
      <c r="A4534" s="2">
        <v>4533</v>
      </c>
      <c r="B4534" s="3" t="s">
        <v>26</v>
      </c>
      <c r="C4534" s="4" t="str">
        <f t="shared" si="371"/>
        <v>Nam Định</v>
      </c>
      <c r="D4534" s="3" t="s">
        <v>322</v>
      </c>
      <c r="E4534" s="4" t="str">
        <f t="shared" si="372"/>
        <v>Huyện Hải Hậu</v>
      </c>
      <c r="F4534" s="3" t="s">
        <v>5297</v>
      </c>
      <c r="G4534" s="4" t="str">
        <f>HYPERLINK("https://diaocthongthai.com/xa-hai-ha-hai-hau/","Xã Hải Hà")</f>
        <v>Xã Hải Hà</v>
      </c>
    </row>
    <row r="4535" spans="1:7" x14ac:dyDescent="0.25">
      <c r="A4535" s="2">
        <v>4534</v>
      </c>
      <c r="B4535" s="3" t="s">
        <v>26</v>
      </c>
      <c r="C4535" s="4" t="str">
        <f t="shared" si="371"/>
        <v>Nam Định</v>
      </c>
      <c r="D4535" s="3" t="s">
        <v>322</v>
      </c>
      <c r="E4535" s="4" t="str">
        <f t="shared" si="372"/>
        <v>Huyện Hải Hậu</v>
      </c>
      <c r="F4535" s="3" t="s">
        <v>5298</v>
      </c>
      <c r="G4535" s="4" t="str">
        <f>HYPERLINK("https://diaocthongthai.com/xa-hai-long-hai-hau/","Xã Hải Long")</f>
        <v>Xã Hải Long</v>
      </c>
    </row>
    <row r="4536" spans="1:7" x14ac:dyDescent="0.25">
      <c r="A4536" s="2">
        <v>4535</v>
      </c>
      <c r="B4536" s="3" t="s">
        <v>26</v>
      </c>
      <c r="C4536" s="4" t="str">
        <f t="shared" si="371"/>
        <v>Nam Định</v>
      </c>
      <c r="D4536" s="3" t="s">
        <v>322</v>
      </c>
      <c r="E4536" s="4" t="str">
        <f t="shared" si="372"/>
        <v>Huyện Hải Hậu</v>
      </c>
      <c r="F4536" s="3" t="s">
        <v>5299</v>
      </c>
      <c r="G4536" s="4" t="str">
        <f>HYPERLINK("https://diaocthongthai.com/xa-hai-phuong-hai-hau/","Xã Hải Phương")</f>
        <v>Xã Hải Phương</v>
      </c>
    </row>
    <row r="4537" spans="1:7" x14ac:dyDescent="0.25">
      <c r="A4537" s="2">
        <v>4536</v>
      </c>
      <c r="B4537" s="3" t="s">
        <v>26</v>
      </c>
      <c r="C4537" s="4" t="str">
        <f t="shared" si="371"/>
        <v>Nam Định</v>
      </c>
      <c r="D4537" s="3" t="s">
        <v>322</v>
      </c>
      <c r="E4537" s="4" t="str">
        <f t="shared" si="372"/>
        <v>Huyện Hải Hậu</v>
      </c>
      <c r="F4537" s="3" t="s">
        <v>5300</v>
      </c>
      <c r="G4537" s="4" t="str">
        <f>HYPERLINK("https://diaocthongthai.com/xa-hai-duong-hai-hau/","Xã Hải Đường")</f>
        <v>Xã Hải Đường</v>
      </c>
    </row>
    <row r="4538" spans="1:7" x14ac:dyDescent="0.25">
      <c r="A4538" s="2">
        <v>4537</v>
      </c>
      <c r="B4538" s="3" t="s">
        <v>26</v>
      </c>
      <c r="C4538" s="4" t="str">
        <f t="shared" si="371"/>
        <v>Nam Định</v>
      </c>
      <c r="D4538" s="3" t="s">
        <v>322</v>
      </c>
      <c r="E4538" s="4" t="str">
        <f t="shared" si="372"/>
        <v>Huyện Hải Hậu</v>
      </c>
      <c r="F4538" s="3" t="s">
        <v>5301</v>
      </c>
      <c r="G4538" s="4" t="str">
        <f>HYPERLINK("https://diaocthongthai.com/xa-hai-loc-hai-hau/","Xã Hải Lộc")</f>
        <v>Xã Hải Lộc</v>
      </c>
    </row>
    <row r="4539" spans="1:7" x14ac:dyDescent="0.25">
      <c r="A4539" s="2">
        <v>4538</v>
      </c>
      <c r="B4539" s="3" t="s">
        <v>26</v>
      </c>
      <c r="C4539" s="4" t="str">
        <f t="shared" si="371"/>
        <v>Nam Định</v>
      </c>
      <c r="D4539" s="3" t="s">
        <v>322</v>
      </c>
      <c r="E4539" s="4" t="str">
        <f t="shared" si="372"/>
        <v>Huyện Hải Hậu</v>
      </c>
      <c r="F4539" s="3" t="s">
        <v>5302</v>
      </c>
      <c r="G4539" s="4" t="str">
        <f>HYPERLINK("https://diaocthongthai.com/xa-hai-quang-hai-hau/","Xã Hải Quang")</f>
        <v>Xã Hải Quang</v>
      </c>
    </row>
    <row r="4540" spans="1:7" x14ac:dyDescent="0.25">
      <c r="A4540" s="2">
        <v>4539</v>
      </c>
      <c r="B4540" s="3" t="s">
        <v>26</v>
      </c>
      <c r="C4540" s="4" t="str">
        <f t="shared" si="371"/>
        <v>Nam Định</v>
      </c>
      <c r="D4540" s="3" t="s">
        <v>322</v>
      </c>
      <c r="E4540" s="4" t="str">
        <f t="shared" si="372"/>
        <v>Huyện Hải Hậu</v>
      </c>
      <c r="F4540" s="3" t="s">
        <v>5303</v>
      </c>
      <c r="G4540" s="4" t="str">
        <f>HYPERLINK("https://diaocthongthai.com/xa-hai-dong-hai-hau/","Xã Hải Đông")</f>
        <v>Xã Hải Đông</v>
      </c>
    </row>
    <row r="4541" spans="1:7" x14ac:dyDescent="0.25">
      <c r="A4541" s="2">
        <v>4540</v>
      </c>
      <c r="B4541" s="3" t="s">
        <v>26</v>
      </c>
      <c r="C4541" s="4" t="str">
        <f t="shared" si="371"/>
        <v>Nam Định</v>
      </c>
      <c r="D4541" s="3" t="s">
        <v>322</v>
      </c>
      <c r="E4541" s="4" t="str">
        <f t="shared" si="372"/>
        <v>Huyện Hải Hậu</v>
      </c>
      <c r="F4541" s="3" t="s">
        <v>5304</v>
      </c>
      <c r="G4541" s="4" t="str">
        <f>HYPERLINK("https://diaocthongthai.com/xa-hai-son-hai-hau/","Xã Hải Sơn")</f>
        <v>Xã Hải Sơn</v>
      </c>
    </row>
    <row r="4542" spans="1:7" x14ac:dyDescent="0.25">
      <c r="A4542" s="2">
        <v>4541</v>
      </c>
      <c r="B4542" s="3" t="s">
        <v>26</v>
      </c>
      <c r="C4542" s="4" t="str">
        <f t="shared" si="371"/>
        <v>Nam Định</v>
      </c>
      <c r="D4542" s="3" t="s">
        <v>322</v>
      </c>
      <c r="E4542" s="4" t="str">
        <f t="shared" si="372"/>
        <v>Huyện Hải Hậu</v>
      </c>
      <c r="F4542" s="3" t="s">
        <v>5305</v>
      </c>
      <c r="G4542" s="4" t="str">
        <f>HYPERLINK("https://diaocthongthai.com/xa-hai-tan-hai-hau/","Xã Hải Tân")</f>
        <v>Xã Hải Tân</v>
      </c>
    </row>
    <row r="4543" spans="1:7" x14ac:dyDescent="0.25">
      <c r="A4543" s="2">
        <v>4542</v>
      </c>
      <c r="B4543" s="3" t="s">
        <v>26</v>
      </c>
      <c r="C4543" s="4" t="str">
        <f t="shared" si="371"/>
        <v>Nam Định</v>
      </c>
      <c r="D4543" s="3" t="s">
        <v>322</v>
      </c>
      <c r="E4543" s="4" t="str">
        <f t="shared" si="372"/>
        <v>Huyện Hải Hậu</v>
      </c>
      <c r="F4543" s="3" t="s">
        <v>5306</v>
      </c>
      <c r="G4543" s="4" t="str">
        <f>HYPERLINK("https://diaocthongthai.com/xa-hai-phong-hai-hau/","Xã Hải Phong")</f>
        <v>Xã Hải Phong</v>
      </c>
    </row>
    <row r="4544" spans="1:7" x14ac:dyDescent="0.25">
      <c r="A4544" s="2">
        <v>4543</v>
      </c>
      <c r="B4544" s="3" t="s">
        <v>26</v>
      </c>
      <c r="C4544" s="4" t="str">
        <f t="shared" si="371"/>
        <v>Nam Định</v>
      </c>
      <c r="D4544" s="3" t="s">
        <v>322</v>
      </c>
      <c r="E4544" s="4" t="str">
        <f t="shared" si="372"/>
        <v>Huyện Hải Hậu</v>
      </c>
      <c r="F4544" s="3" t="s">
        <v>5307</v>
      </c>
      <c r="G4544" s="4" t="str">
        <f>HYPERLINK("https://diaocthongthai.com/xa-hai-an-hai-hau/","Xã Hải An")</f>
        <v>Xã Hải An</v>
      </c>
    </row>
    <row r="4545" spans="1:7" x14ac:dyDescent="0.25">
      <c r="A4545" s="2">
        <v>4544</v>
      </c>
      <c r="B4545" s="3" t="s">
        <v>26</v>
      </c>
      <c r="C4545" s="4" t="str">
        <f t="shared" si="371"/>
        <v>Nam Định</v>
      </c>
      <c r="D4545" s="3" t="s">
        <v>322</v>
      </c>
      <c r="E4545" s="4" t="str">
        <f t="shared" si="372"/>
        <v>Huyện Hải Hậu</v>
      </c>
      <c r="F4545" s="3" t="s">
        <v>5308</v>
      </c>
      <c r="G4545" s="4" t="str">
        <f>HYPERLINK("https://diaocthongthai.com/xa-hai-tay-hai-hau/","Xã Hải Tây")</f>
        <v>Xã Hải Tây</v>
      </c>
    </row>
    <row r="4546" spans="1:7" x14ac:dyDescent="0.25">
      <c r="A4546" s="2">
        <v>4545</v>
      </c>
      <c r="B4546" s="3" t="s">
        <v>26</v>
      </c>
      <c r="C4546" s="4" t="str">
        <f t="shared" si="371"/>
        <v>Nam Định</v>
      </c>
      <c r="D4546" s="3" t="s">
        <v>322</v>
      </c>
      <c r="E4546" s="4" t="str">
        <f t="shared" si="372"/>
        <v>Huyện Hải Hậu</v>
      </c>
      <c r="F4546" s="3" t="s">
        <v>5309</v>
      </c>
      <c r="G4546" s="4" t="str">
        <f>HYPERLINK("https://diaocthongthai.com/xa-hai-ly-hai-hau/","Xã Hải Lý")</f>
        <v>Xã Hải Lý</v>
      </c>
    </row>
    <row r="4547" spans="1:7" x14ac:dyDescent="0.25">
      <c r="A4547" s="2">
        <v>4546</v>
      </c>
      <c r="B4547" s="3" t="s">
        <v>26</v>
      </c>
      <c r="C4547" s="4" t="str">
        <f t="shared" si="371"/>
        <v>Nam Định</v>
      </c>
      <c r="D4547" s="3" t="s">
        <v>322</v>
      </c>
      <c r="E4547" s="4" t="str">
        <f t="shared" si="372"/>
        <v>Huyện Hải Hậu</v>
      </c>
      <c r="F4547" s="3" t="s">
        <v>5310</v>
      </c>
      <c r="G4547" s="4" t="str">
        <f>HYPERLINK("https://diaocthongthai.com/xa-hai-phu-hai-hau/","Xã Hải Phú")</f>
        <v>Xã Hải Phú</v>
      </c>
    </row>
    <row r="4548" spans="1:7" x14ac:dyDescent="0.25">
      <c r="A4548" s="2">
        <v>4547</v>
      </c>
      <c r="B4548" s="3" t="s">
        <v>26</v>
      </c>
      <c r="C4548" s="4" t="str">
        <f t="shared" si="371"/>
        <v>Nam Định</v>
      </c>
      <c r="D4548" s="3" t="s">
        <v>322</v>
      </c>
      <c r="E4548" s="4" t="str">
        <f t="shared" si="372"/>
        <v>Huyện Hải Hậu</v>
      </c>
      <c r="F4548" s="3" t="s">
        <v>5311</v>
      </c>
      <c r="G4548" s="4" t="str">
        <f>HYPERLINK("https://diaocthongthai.com/xa-hai-giang-hai-hau/","Xã Hải Giang")</f>
        <v>Xã Hải Giang</v>
      </c>
    </row>
    <row r="4549" spans="1:7" x14ac:dyDescent="0.25">
      <c r="A4549" s="2">
        <v>4548</v>
      </c>
      <c r="B4549" s="3" t="s">
        <v>26</v>
      </c>
      <c r="C4549" s="4" t="str">
        <f t="shared" si="371"/>
        <v>Nam Định</v>
      </c>
      <c r="D4549" s="3" t="s">
        <v>322</v>
      </c>
      <c r="E4549" s="4" t="str">
        <f t="shared" si="372"/>
        <v>Huyện Hải Hậu</v>
      </c>
      <c r="F4549" s="3" t="s">
        <v>5312</v>
      </c>
      <c r="G4549" s="4" t="str">
        <f>HYPERLINK("https://diaocthongthai.com/xa-hai-cuong-hai-hau/","Xã Hải Cường")</f>
        <v>Xã Hải Cường</v>
      </c>
    </row>
    <row r="4550" spans="1:7" x14ac:dyDescent="0.25">
      <c r="A4550" s="2">
        <v>4549</v>
      </c>
      <c r="B4550" s="3" t="s">
        <v>26</v>
      </c>
      <c r="C4550" s="4" t="str">
        <f t="shared" si="371"/>
        <v>Nam Định</v>
      </c>
      <c r="D4550" s="3" t="s">
        <v>322</v>
      </c>
      <c r="E4550" s="4" t="str">
        <f t="shared" si="372"/>
        <v>Huyện Hải Hậu</v>
      </c>
      <c r="F4550" s="3" t="s">
        <v>5313</v>
      </c>
      <c r="G4550" s="4" t="str">
        <f>HYPERLINK("https://diaocthongthai.com/xa-hai-ninh-hai-hau/","Xã Hải Ninh")</f>
        <v>Xã Hải Ninh</v>
      </c>
    </row>
    <row r="4551" spans="1:7" x14ac:dyDescent="0.25">
      <c r="A4551" s="2">
        <v>4550</v>
      </c>
      <c r="B4551" s="3" t="s">
        <v>26</v>
      </c>
      <c r="C4551" s="4" t="str">
        <f t="shared" si="371"/>
        <v>Nam Định</v>
      </c>
      <c r="D4551" s="3" t="s">
        <v>322</v>
      </c>
      <c r="E4551" s="4" t="str">
        <f t="shared" si="372"/>
        <v>Huyện Hải Hậu</v>
      </c>
      <c r="F4551" s="3" t="s">
        <v>5314</v>
      </c>
      <c r="G4551" s="4" t="str">
        <f>HYPERLINK("https://diaocthongthai.com/xa-hai-chinh-hai-hau/","Xã Hải Chính")</f>
        <v>Xã Hải Chính</v>
      </c>
    </row>
    <row r="4552" spans="1:7" x14ac:dyDescent="0.25">
      <c r="A4552" s="2">
        <v>4551</v>
      </c>
      <c r="B4552" s="3" t="s">
        <v>26</v>
      </c>
      <c r="C4552" s="4" t="str">
        <f t="shared" si="371"/>
        <v>Nam Định</v>
      </c>
      <c r="D4552" s="3" t="s">
        <v>322</v>
      </c>
      <c r="E4552" s="4" t="str">
        <f t="shared" si="372"/>
        <v>Huyện Hải Hậu</v>
      </c>
      <c r="F4552" s="3" t="s">
        <v>5315</v>
      </c>
      <c r="G4552" s="4" t="str">
        <f>HYPERLINK("https://diaocthongthai.com/xa-hai-xuan-hai-hau/","Xã Hải Xuân")</f>
        <v>Xã Hải Xuân</v>
      </c>
    </row>
    <row r="4553" spans="1:7" x14ac:dyDescent="0.25">
      <c r="A4553" s="2">
        <v>4552</v>
      </c>
      <c r="B4553" s="3" t="s">
        <v>26</v>
      </c>
      <c r="C4553" s="4" t="str">
        <f t="shared" si="371"/>
        <v>Nam Định</v>
      </c>
      <c r="D4553" s="3" t="s">
        <v>322</v>
      </c>
      <c r="E4553" s="4" t="str">
        <f t="shared" si="372"/>
        <v>Huyện Hải Hậu</v>
      </c>
      <c r="F4553" s="3" t="s">
        <v>5316</v>
      </c>
      <c r="G4553" s="4" t="str">
        <f>HYPERLINK("https://diaocthongthai.com/xa-hai-chau-hai-hau/","Xã Hải Châu")</f>
        <v>Xã Hải Châu</v>
      </c>
    </row>
    <row r="4554" spans="1:7" x14ac:dyDescent="0.25">
      <c r="A4554" s="2">
        <v>4553</v>
      </c>
      <c r="B4554" s="3" t="s">
        <v>26</v>
      </c>
      <c r="C4554" s="4" t="str">
        <f t="shared" si="371"/>
        <v>Nam Định</v>
      </c>
      <c r="D4554" s="3" t="s">
        <v>322</v>
      </c>
      <c r="E4554" s="4" t="str">
        <f t="shared" si="372"/>
        <v>Huyện Hải Hậu</v>
      </c>
      <c r="F4554" s="3" t="s">
        <v>5317</v>
      </c>
      <c r="G4554" s="4" t="str">
        <f>HYPERLINK("https://diaocthongthai.com/xa-hai-trieu-hai-hau/","Xã Hải Triều")</f>
        <v>Xã Hải Triều</v>
      </c>
    </row>
    <row r="4555" spans="1:7" x14ac:dyDescent="0.25">
      <c r="A4555" s="2">
        <v>4554</v>
      </c>
      <c r="B4555" s="3" t="s">
        <v>26</v>
      </c>
      <c r="C4555" s="4" t="str">
        <f t="shared" si="371"/>
        <v>Nam Định</v>
      </c>
      <c r="D4555" s="3" t="s">
        <v>322</v>
      </c>
      <c r="E4555" s="4" t="str">
        <f t="shared" si="372"/>
        <v>Huyện Hải Hậu</v>
      </c>
      <c r="F4555" s="3" t="s">
        <v>5318</v>
      </c>
      <c r="G4555" s="4" t="str">
        <f>HYPERLINK("https://diaocthongthai.com/xa-hai-hoa-hai-hau/","Xã Hải Hòa")</f>
        <v>Xã Hải Hòa</v>
      </c>
    </row>
    <row r="4556" spans="1:7" x14ac:dyDescent="0.25">
      <c r="A4556" s="2">
        <v>4555</v>
      </c>
      <c r="B4556" s="3" t="s">
        <v>27</v>
      </c>
      <c r="C4556" s="4" t="str">
        <f t="shared" ref="C4556:C4587" si="373">HYPERLINK("https://diaocthongthai.com/ban-do-ninh-binh/","Ninh Bình")</f>
        <v>Ninh Bình</v>
      </c>
      <c r="D4556" s="3" t="s">
        <v>323</v>
      </c>
      <c r="E4556" s="4" t="str">
        <f t="shared" ref="E4556:E4569" si="374">HYPERLINK("https://diaocthongthai.com/ban-do-tp-ninh-binh-ninh-binh/","Thành phố Ninh Bình")</f>
        <v>Thành phố Ninh Bình</v>
      </c>
      <c r="F4556" s="3" t="s">
        <v>5319</v>
      </c>
      <c r="G4556" s="4" t="str">
        <f>HYPERLINK("https://diaocthongthai.com/phuong-dong-thanh-tp-ninh-binh/","Phường Đông Thành")</f>
        <v>Phường Đông Thành</v>
      </c>
    </row>
    <row r="4557" spans="1:7" x14ac:dyDescent="0.25">
      <c r="A4557" s="2">
        <v>4556</v>
      </c>
      <c r="B4557" s="3" t="s">
        <v>27</v>
      </c>
      <c r="C4557" s="4" t="str">
        <f t="shared" si="373"/>
        <v>Ninh Bình</v>
      </c>
      <c r="D4557" s="3" t="s">
        <v>323</v>
      </c>
      <c r="E4557" s="4" t="str">
        <f t="shared" si="374"/>
        <v>Thành phố Ninh Bình</v>
      </c>
      <c r="F4557" s="3" t="s">
        <v>5320</v>
      </c>
      <c r="G4557" s="4" t="str">
        <f>HYPERLINK("https://diaocthongthai.com/phuong-tan-thanh-tp-ninh-binh/","Phường Tân Thành")</f>
        <v>Phường Tân Thành</v>
      </c>
    </row>
    <row r="4558" spans="1:7" x14ac:dyDescent="0.25">
      <c r="A4558" s="2">
        <v>4557</v>
      </c>
      <c r="B4558" s="3" t="s">
        <v>27</v>
      </c>
      <c r="C4558" s="4" t="str">
        <f t="shared" si="373"/>
        <v>Ninh Bình</v>
      </c>
      <c r="D4558" s="3" t="s">
        <v>323</v>
      </c>
      <c r="E4558" s="4" t="str">
        <f t="shared" si="374"/>
        <v>Thành phố Ninh Bình</v>
      </c>
      <c r="F4558" s="3" t="s">
        <v>5321</v>
      </c>
      <c r="G4558" s="4" t="str">
        <f>HYPERLINK("https://diaocthongthai.com/phuong-thanh-binh-tp-ninh-binh/","Phường Thanh Bình")</f>
        <v>Phường Thanh Bình</v>
      </c>
    </row>
    <row r="4559" spans="1:7" x14ac:dyDescent="0.25">
      <c r="A4559" s="2">
        <v>4558</v>
      </c>
      <c r="B4559" s="3" t="s">
        <v>27</v>
      </c>
      <c r="C4559" s="4" t="str">
        <f t="shared" si="373"/>
        <v>Ninh Bình</v>
      </c>
      <c r="D4559" s="3" t="s">
        <v>323</v>
      </c>
      <c r="E4559" s="4" t="str">
        <f t="shared" si="374"/>
        <v>Thành phố Ninh Bình</v>
      </c>
      <c r="F4559" s="3" t="s">
        <v>5322</v>
      </c>
      <c r="G4559" s="4" t="str">
        <f>HYPERLINK("https://diaocthongthai.com/phuong-van-giang-tp-ninh-binh/","Phường Vân Giang")</f>
        <v>Phường Vân Giang</v>
      </c>
    </row>
    <row r="4560" spans="1:7" x14ac:dyDescent="0.25">
      <c r="A4560" s="2">
        <v>4559</v>
      </c>
      <c r="B4560" s="3" t="s">
        <v>27</v>
      </c>
      <c r="C4560" s="4" t="str">
        <f t="shared" si="373"/>
        <v>Ninh Bình</v>
      </c>
      <c r="D4560" s="3" t="s">
        <v>323</v>
      </c>
      <c r="E4560" s="4" t="str">
        <f t="shared" si="374"/>
        <v>Thành phố Ninh Bình</v>
      </c>
      <c r="F4560" s="3" t="s">
        <v>5323</v>
      </c>
      <c r="G4560" s="4" t="str">
        <f>HYPERLINK("https://diaocthongthai.com/phuong-bich-dao-tp-ninh-binh/","Phường Bích Đào")</f>
        <v>Phường Bích Đào</v>
      </c>
    </row>
    <row r="4561" spans="1:7" x14ac:dyDescent="0.25">
      <c r="A4561" s="2">
        <v>4560</v>
      </c>
      <c r="B4561" s="3" t="s">
        <v>27</v>
      </c>
      <c r="C4561" s="4" t="str">
        <f t="shared" si="373"/>
        <v>Ninh Bình</v>
      </c>
      <c r="D4561" s="3" t="s">
        <v>323</v>
      </c>
      <c r="E4561" s="4" t="str">
        <f t="shared" si="374"/>
        <v>Thành phố Ninh Bình</v>
      </c>
      <c r="F4561" s="3" t="s">
        <v>5324</v>
      </c>
      <c r="G4561" s="4" t="str">
        <f>HYPERLINK("https://diaocthongthai.com/phuong-phuc-thanh-tp-ninh-binh/","Phường Phúc Thành")</f>
        <v>Phường Phúc Thành</v>
      </c>
    </row>
    <row r="4562" spans="1:7" x14ac:dyDescent="0.25">
      <c r="A4562" s="2">
        <v>4561</v>
      </c>
      <c r="B4562" s="3" t="s">
        <v>27</v>
      </c>
      <c r="C4562" s="4" t="str">
        <f t="shared" si="373"/>
        <v>Ninh Bình</v>
      </c>
      <c r="D4562" s="3" t="s">
        <v>323</v>
      </c>
      <c r="E4562" s="4" t="str">
        <f t="shared" si="374"/>
        <v>Thành phố Ninh Bình</v>
      </c>
      <c r="F4562" s="3" t="s">
        <v>5325</v>
      </c>
      <c r="G4562" s="4" t="str">
        <f>HYPERLINK("https://diaocthongthai.com/phuong-nam-binh-tp-ninh-binh/","Phường Nam Bình")</f>
        <v>Phường Nam Bình</v>
      </c>
    </row>
    <row r="4563" spans="1:7" x14ac:dyDescent="0.25">
      <c r="A4563" s="2">
        <v>4562</v>
      </c>
      <c r="B4563" s="3" t="s">
        <v>27</v>
      </c>
      <c r="C4563" s="4" t="str">
        <f t="shared" si="373"/>
        <v>Ninh Bình</v>
      </c>
      <c r="D4563" s="3" t="s">
        <v>323</v>
      </c>
      <c r="E4563" s="4" t="str">
        <f t="shared" si="374"/>
        <v>Thành phố Ninh Bình</v>
      </c>
      <c r="F4563" s="3" t="s">
        <v>5326</v>
      </c>
      <c r="G4563" s="4" t="str">
        <f>HYPERLINK("https://diaocthongthai.com/phuong-nam-thanh-tp-ninh-binh/","Phường Nam Thành")</f>
        <v>Phường Nam Thành</v>
      </c>
    </row>
    <row r="4564" spans="1:7" x14ac:dyDescent="0.25">
      <c r="A4564" s="2">
        <v>4563</v>
      </c>
      <c r="B4564" s="3" t="s">
        <v>27</v>
      </c>
      <c r="C4564" s="4" t="str">
        <f t="shared" si="373"/>
        <v>Ninh Bình</v>
      </c>
      <c r="D4564" s="3" t="s">
        <v>323</v>
      </c>
      <c r="E4564" s="4" t="str">
        <f t="shared" si="374"/>
        <v>Thành phố Ninh Bình</v>
      </c>
      <c r="F4564" s="3" t="s">
        <v>5327</v>
      </c>
      <c r="G4564" s="4" t="str">
        <f>HYPERLINK("https://diaocthongthai.com/phuong-ninh-khanh-tp-ninh-binh/","Phường Ninh Khánh")</f>
        <v>Phường Ninh Khánh</v>
      </c>
    </row>
    <row r="4565" spans="1:7" x14ac:dyDescent="0.25">
      <c r="A4565" s="2">
        <v>4564</v>
      </c>
      <c r="B4565" s="3" t="s">
        <v>27</v>
      </c>
      <c r="C4565" s="4" t="str">
        <f t="shared" si="373"/>
        <v>Ninh Bình</v>
      </c>
      <c r="D4565" s="3" t="s">
        <v>323</v>
      </c>
      <c r="E4565" s="4" t="str">
        <f t="shared" si="374"/>
        <v>Thành phố Ninh Bình</v>
      </c>
      <c r="F4565" s="3" t="s">
        <v>5328</v>
      </c>
      <c r="G4565" s="4" t="str">
        <f>HYPERLINK("https://diaocthongthai.com/xa-ninh-nhat-tp-ninh-binh/","Xã Ninh Nhất")</f>
        <v>Xã Ninh Nhất</v>
      </c>
    </row>
    <row r="4566" spans="1:7" x14ac:dyDescent="0.25">
      <c r="A4566" s="2">
        <v>4565</v>
      </c>
      <c r="B4566" s="3" t="s">
        <v>27</v>
      </c>
      <c r="C4566" s="4" t="str">
        <f t="shared" si="373"/>
        <v>Ninh Bình</v>
      </c>
      <c r="D4566" s="3" t="s">
        <v>323</v>
      </c>
      <c r="E4566" s="4" t="str">
        <f t="shared" si="374"/>
        <v>Thành phố Ninh Bình</v>
      </c>
      <c r="F4566" s="3" t="s">
        <v>5329</v>
      </c>
      <c r="G4566" s="4" t="str">
        <f>HYPERLINK("https://diaocthongthai.com/xa-ninh-tien-tp-ninh-binh/","Xã Ninh Tiến")</f>
        <v>Xã Ninh Tiến</v>
      </c>
    </row>
    <row r="4567" spans="1:7" x14ac:dyDescent="0.25">
      <c r="A4567" s="2">
        <v>4566</v>
      </c>
      <c r="B4567" s="3" t="s">
        <v>27</v>
      </c>
      <c r="C4567" s="4" t="str">
        <f t="shared" si="373"/>
        <v>Ninh Bình</v>
      </c>
      <c r="D4567" s="3" t="s">
        <v>323</v>
      </c>
      <c r="E4567" s="4" t="str">
        <f t="shared" si="374"/>
        <v>Thành phố Ninh Bình</v>
      </c>
      <c r="F4567" s="3" t="s">
        <v>5330</v>
      </c>
      <c r="G4567" s="4" t="str">
        <f>HYPERLINK("https://diaocthongthai.com/xa-ninh-phuc-tp-ninh-binh/","Xã Ninh Phúc")</f>
        <v>Xã Ninh Phúc</v>
      </c>
    </row>
    <row r="4568" spans="1:7" x14ac:dyDescent="0.25">
      <c r="A4568" s="2">
        <v>4567</v>
      </c>
      <c r="B4568" s="3" t="s">
        <v>27</v>
      </c>
      <c r="C4568" s="4" t="str">
        <f t="shared" si="373"/>
        <v>Ninh Bình</v>
      </c>
      <c r="D4568" s="3" t="s">
        <v>323</v>
      </c>
      <c r="E4568" s="4" t="str">
        <f t="shared" si="374"/>
        <v>Thành phố Ninh Bình</v>
      </c>
      <c r="F4568" s="3" t="s">
        <v>5331</v>
      </c>
      <c r="G4568" s="4" t="str">
        <f>HYPERLINK("https://diaocthongthai.com/phuong-ninh-son-tp-ninh-binh/","Phường Ninh Sơn")</f>
        <v>Phường Ninh Sơn</v>
      </c>
    </row>
    <row r="4569" spans="1:7" x14ac:dyDescent="0.25">
      <c r="A4569" s="2">
        <v>4568</v>
      </c>
      <c r="B4569" s="3" t="s">
        <v>27</v>
      </c>
      <c r="C4569" s="4" t="str">
        <f t="shared" si="373"/>
        <v>Ninh Bình</v>
      </c>
      <c r="D4569" s="3" t="s">
        <v>323</v>
      </c>
      <c r="E4569" s="4" t="str">
        <f t="shared" si="374"/>
        <v>Thành phố Ninh Bình</v>
      </c>
      <c r="F4569" s="3" t="s">
        <v>5332</v>
      </c>
      <c r="G4569" s="4" t="str">
        <f>HYPERLINK("https://diaocthongthai.com/phuong-ninh-phong-tp-ninh-binh/","Phường Ninh Phong")</f>
        <v>Phường Ninh Phong</v>
      </c>
    </row>
    <row r="4570" spans="1:7" x14ac:dyDescent="0.25">
      <c r="A4570" s="2">
        <v>4569</v>
      </c>
      <c r="B4570" s="3" t="s">
        <v>27</v>
      </c>
      <c r="C4570" s="4" t="str">
        <f t="shared" si="373"/>
        <v>Ninh Bình</v>
      </c>
      <c r="D4570" s="3" t="s">
        <v>324</v>
      </c>
      <c r="E4570" s="4" t="str">
        <f t="shared" ref="E4570:E4578" si="375">HYPERLINK("https://diaocthongthai.com/ban-do-tp-tam-diep-ninh-binh/","Thành phố Tam Điệp")</f>
        <v>Thành phố Tam Điệp</v>
      </c>
      <c r="F4570" s="3" t="s">
        <v>5333</v>
      </c>
      <c r="G4570" s="4" t="str">
        <f>HYPERLINK("https://diaocthongthai.com/phuong-bac-son-tp-tam-diep/","Phường Bắc Sơn")</f>
        <v>Phường Bắc Sơn</v>
      </c>
    </row>
    <row r="4571" spans="1:7" x14ac:dyDescent="0.25">
      <c r="A4571" s="2">
        <v>4570</v>
      </c>
      <c r="B4571" s="3" t="s">
        <v>27</v>
      </c>
      <c r="C4571" s="4" t="str">
        <f t="shared" si="373"/>
        <v>Ninh Bình</v>
      </c>
      <c r="D4571" s="3" t="s">
        <v>324</v>
      </c>
      <c r="E4571" s="4" t="str">
        <f t="shared" si="375"/>
        <v>Thành phố Tam Điệp</v>
      </c>
      <c r="F4571" s="3" t="s">
        <v>5334</v>
      </c>
      <c r="G4571" s="4" t="str">
        <f>HYPERLINK("https://diaocthongthai.com/phuong-trung-son-tp-tam-diep/","Phường Trung Sơn")</f>
        <v>Phường Trung Sơn</v>
      </c>
    </row>
    <row r="4572" spans="1:7" x14ac:dyDescent="0.25">
      <c r="A4572" s="2">
        <v>4571</v>
      </c>
      <c r="B4572" s="3" t="s">
        <v>27</v>
      </c>
      <c r="C4572" s="4" t="str">
        <f t="shared" si="373"/>
        <v>Ninh Bình</v>
      </c>
      <c r="D4572" s="3" t="s">
        <v>324</v>
      </c>
      <c r="E4572" s="4" t="str">
        <f t="shared" si="375"/>
        <v>Thành phố Tam Điệp</v>
      </c>
      <c r="F4572" s="3" t="s">
        <v>5335</v>
      </c>
      <c r="G4572" s="4" t="str">
        <f>HYPERLINK("https://diaocthongthai.com/phuong-nam-son-tp-tam-diep/","Phường Nam Sơn")</f>
        <v>Phường Nam Sơn</v>
      </c>
    </row>
    <row r="4573" spans="1:7" x14ac:dyDescent="0.25">
      <c r="A4573" s="2">
        <v>4572</v>
      </c>
      <c r="B4573" s="3" t="s">
        <v>27</v>
      </c>
      <c r="C4573" s="4" t="str">
        <f t="shared" si="373"/>
        <v>Ninh Bình</v>
      </c>
      <c r="D4573" s="3" t="s">
        <v>324</v>
      </c>
      <c r="E4573" s="4" t="str">
        <f t="shared" si="375"/>
        <v>Thành phố Tam Điệp</v>
      </c>
      <c r="F4573" s="3" t="s">
        <v>5336</v>
      </c>
      <c r="G4573" s="4" t="str">
        <f>HYPERLINK("https://diaocthongthai.com/phuong-tay-son-tp-tam-diep/","Phường Tây Sơn")</f>
        <v>Phường Tây Sơn</v>
      </c>
    </row>
    <row r="4574" spans="1:7" x14ac:dyDescent="0.25">
      <c r="A4574" s="2">
        <v>4573</v>
      </c>
      <c r="B4574" s="3" t="s">
        <v>27</v>
      </c>
      <c r="C4574" s="4" t="str">
        <f t="shared" si="373"/>
        <v>Ninh Bình</v>
      </c>
      <c r="D4574" s="3" t="s">
        <v>324</v>
      </c>
      <c r="E4574" s="4" t="str">
        <f t="shared" si="375"/>
        <v>Thành phố Tam Điệp</v>
      </c>
      <c r="F4574" s="3" t="s">
        <v>5337</v>
      </c>
      <c r="G4574" s="4" t="str">
        <f>HYPERLINK("https://diaocthongthai.com/xa-yen-son-tp-tam-diep/","Xã Yên Sơn")</f>
        <v>Xã Yên Sơn</v>
      </c>
    </row>
    <row r="4575" spans="1:7" x14ac:dyDescent="0.25">
      <c r="A4575" s="2">
        <v>4574</v>
      </c>
      <c r="B4575" s="3" t="s">
        <v>27</v>
      </c>
      <c r="C4575" s="4" t="str">
        <f t="shared" si="373"/>
        <v>Ninh Bình</v>
      </c>
      <c r="D4575" s="3" t="s">
        <v>324</v>
      </c>
      <c r="E4575" s="4" t="str">
        <f t="shared" si="375"/>
        <v>Thành phố Tam Điệp</v>
      </c>
      <c r="F4575" s="3" t="s">
        <v>5338</v>
      </c>
      <c r="G4575" s="4" t="str">
        <f>HYPERLINK("https://diaocthongthai.com/phuong-yen-binh-tp-tam-diep/","Phường Yên Bình")</f>
        <v>Phường Yên Bình</v>
      </c>
    </row>
    <row r="4576" spans="1:7" x14ac:dyDescent="0.25">
      <c r="A4576" s="2">
        <v>4575</v>
      </c>
      <c r="B4576" s="3" t="s">
        <v>27</v>
      </c>
      <c r="C4576" s="4" t="str">
        <f t="shared" si="373"/>
        <v>Ninh Bình</v>
      </c>
      <c r="D4576" s="3" t="s">
        <v>324</v>
      </c>
      <c r="E4576" s="4" t="str">
        <f t="shared" si="375"/>
        <v>Thành phố Tam Điệp</v>
      </c>
      <c r="F4576" s="3" t="s">
        <v>5339</v>
      </c>
      <c r="G4576" s="4" t="str">
        <f>HYPERLINK("https://diaocthongthai.com/phuong-tan-binh-tp-tam-diep/","Phường Tân Bình")</f>
        <v>Phường Tân Bình</v>
      </c>
    </row>
    <row r="4577" spans="1:7" x14ac:dyDescent="0.25">
      <c r="A4577" s="2">
        <v>4576</v>
      </c>
      <c r="B4577" s="3" t="s">
        <v>27</v>
      </c>
      <c r="C4577" s="4" t="str">
        <f t="shared" si="373"/>
        <v>Ninh Bình</v>
      </c>
      <c r="D4577" s="3" t="s">
        <v>324</v>
      </c>
      <c r="E4577" s="4" t="str">
        <f t="shared" si="375"/>
        <v>Thành phố Tam Điệp</v>
      </c>
      <c r="F4577" s="3" t="s">
        <v>5340</v>
      </c>
      <c r="G4577" s="4" t="str">
        <f>HYPERLINK("https://diaocthongthai.com/xa-quang-son-tp-tam-diep/","Xã Quang Sơn")</f>
        <v>Xã Quang Sơn</v>
      </c>
    </row>
    <row r="4578" spans="1:7" x14ac:dyDescent="0.25">
      <c r="A4578" s="2">
        <v>4577</v>
      </c>
      <c r="B4578" s="3" t="s">
        <v>27</v>
      </c>
      <c r="C4578" s="4" t="str">
        <f t="shared" si="373"/>
        <v>Ninh Bình</v>
      </c>
      <c r="D4578" s="3" t="s">
        <v>324</v>
      </c>
      <c r="E4578" s="4" t="str">
        <f t="shared" si="375"/>
        <v>Thành phố Tam Điệp</v>
      </c>
      <c r="F4578" s="3" t="s">
        <v>5341</v>
      </c>
      <c r="G4578" s="4" t="str">
        <f>HYPERLINK("https://diaocthongthai.com/xa-dong-son-tp-tam-diep/","Xã Đông Sơn")</f>
        <v>Xã Đông Sơn</v>
      </c>
    </row>
    <row r="4579" spans="1:7" x14ac:dyDescent="0.25">
      <c r="A4579" s="2">
        <v>4578</v>
      </c>
      <c r="B4579" s="3" t="s">
        <v>27</v>
      </c>
      <c r="C4579" s="4" t="str">
        <f t="shared" si="373"/>
        <v>Ninh Bình</v>
      </c>
      <c r="D4579" s="3" t="s">
        <v>325</v>
      </c>
      <c r="E4579" s="4" t="str">
        <f t="shared" ref="E4579:E4605" si="376">HYPERLINK("https://diaocthongthai.com/ban-do-huyen-nho-quan-ninh-binh/","Huyện Nho Quan")</f>
        <v>Huyện Nho Quan</v>
      </c>
      <c r="F4579" s="3" t="s">
        <v>5342</v>
      </c>
      <c r="G4579" s="4" t="str">
        <f>HYPERLINK("https://diaocthongthai.com/thi-tran-nho-quan-nho-quan/","Thị trấn Nho Quan")</f>
        <v>Thị trấn Nho Quan</v>
      </c>
    </row>
    <row r="4580" spans="1:7" x14ac:dyDescent="0.25">
      <c r="A4580" s="2">
        <v>4579</v>
      </c>
      <c r="B4580" s="3" t="s">
        <v>27</v>
      </c>
      <c r="C4580" s="4" t="str">
        <f t="shared" si="373"/>
        <v>Ninh Bình</v>
      </c>
      <c r="D4580" s="3" t="s">
        <v>325</v>
      </c>
      <c r="E4580" s="4" t="str">
        <f t="shared" si="376"/>
        <v>Huyện Nho Quan</v>
      </c>
      <c r="F4580" s="3" t="s">
        <v>5343</v>
      </c>
      <c r="G4580" s="4" t="str">
        <f>HYPERLINK("https://diaocthongthai.com/xa-xich-tho-nho-quan/","Xã Xích Thổ")</f>
        <v>Xã Xích Thổ</v>
      </c>
    </row>
    <row r="4581" spans="1:7" x14ac:dyDescent="0.25">
      <c r="A4581" s="2">
        <v>4580</v>
      </c>
      <c r="B4581" s="3" t="s">
        <v>27</v>
      </c>
      <c r="C4581" s="4" t="str">
        <f t="shared" si="373"/>
        <v>Ninh Bình</v>
      </c>
      <c r="D4581" s="3" t="s">
        <v>325</v>
      </c>
      <c r="E4581" s="4" t="str">
        <f t="shared" si="376"/>
        <v>Huyện Nho Quan</v>
      </c>
      <c r="F4581" s="3" t="s">
        <v>5344</v>
      </c>
      <c r="G4581" s="4" t="str">
        <f>HYPERLINK("https://diaocthongthai.com/xa-gia-lam-nho-quan/","Xã Gia Lâm")</f>
        <v>Xã Gia Lâm</v>
      </c>
    </row>
    <row r="4582" spans="1:7" x14ac:dyDescent="0.25">
      <c r="A4582" s="2">
        <v>4581</v>
      </c>
      <c r="B4582" s="3" t="s">
        <v>27</v>
      </c>
      <c r="C4582" s="4" t="str">
        <f t="shared" si="373"/>
        <v>Ninh Bình</v>
      </c>
      <c r="D4582" s="3" t="s">
        <v>325</v>
      </c>
      <c r="E4582" s="4" t="str">
        <f t="shared" si="376"/>
        <v>Huyện Nho Quan</v>
      </c>
      <c r="F4582" s="3" t="s">
        <v>5345</v>
      </c>
      <c r="G4582" s="4" t="str">
        <f>HYPERLINK("https://diaocthongthai.com/xa-gia-son-nho-quan/","Xã Gia Sơn")</f>
        <v>Xã Gia Sơn</v>
      </c>
    </row>
    <row r="4583" spans="1:7" x14ac:dyDescent="0.25">
      <c r="A4583" s="2">
        <v>4582</v>
      </c>
      <c r="B4583" s="3" t="s">
        <v>27</v>
      </c>
      <c r="C4583" s="4" t="str">
        <f t="shared" si="373"/>
        <v>Ninh Bình</v>
      </c>
      <c r="D4583" s="3" t="s">
        <v>325</v>
      </c>
      <c r="E4583" s="4" t="str">
        <f t="shared" si="376"/>
        <v>Huyện Nho Quan</v>
      </c>
      <c r="F4583" s="3" t="s">
        <v>5346</v>
      </c>
      <c r="G4583" s="4" t="str">
        <f>HYPERLINK("https://diaocthongthai.com/xa-thach-binh-nho-quan/","Xã Thạch Bình")</f>
        <v>Xã Thạch Bình</v>
      </c>
    </row>
    <row r="4584" spans="1:7" x14ac:dyDescent="0.25">
      <c r="A4584" s="2">
        <v>4583</v>
      </c>
      <c r="B4584" s="3" t="s">
        <v>27</v>
      </c>
      <c r="C4584" s="4" t="str">
        <f t="shared" si="373"/>
        <v>Ninh Bình</v>
      </c>
      <c r="D4584" s="3" t="s">
        <v>325</v>
      </c>
      <c r="E4584" s="4" t="str">
        <f t="shared" si="376"/>
        <v>Huyện Nho Quan</v>
      </c>
      <c r="F4584" s="3" t="s">
        <v>5347</v>
      </c>
      <c r="G4584" s="4" t="str">
        <f>HYPERLINK("https://diaocthongthai.com/xa-gia-thuy-nho-quan/","Xã Gia Thủy")</f>
        <v>Xã Gia Thủy</v>
      </c>
    </row>
    <row r="4585" spans="1:7" x14ac:dyDescent="0.25">
      <c r="A4585" s="2">
        <v>4584</v>
      </c>
      <c r="B4585" s="3" t="s">
        <v>27</v>
      </c>
      <c r="C4585" s="4" t="str">
        <f t="shared" si="373"/>
        <v>Ninh Bình</v>
      </c>
      <c r="D4585" s="3" t="s">
        <v>325</v>
      </c>
      <c r="E4585" s="4" t="str">
        <f t="shared" si="376"/>
        <v>Huyện Nho Quan</v>
      </c>
      <c r="F4585" s="3" t="s">
        <v>5348</v>
      </c>
      <c r="G4585" s="4" t="str">
        <f>HYPERLINK("https://diaocthongthai.com/xa-gia-tuong-nho-quan/","Xã Gia Tường")</f>
        <v>Xã Gia Tường</v>
      </c>
    </row>
    <row r="4586" spans="1:7" x14ac:dyDescent="0.25">
      <c r="A4586" s="2">
        <v>4585</v>
      </c>
      <c r="B4586" s="3" t="s">
        <v>27</v>
      </c>
      <c r="C4586" s="4" t="str">
        <f t="shared" si="373"/>
        <v>Ninh Bình</v>
      </c>
      <c r="D4586" s="3" t="s">
        <v>325</v>
      </c>
      <c r="E4586" s="4" t="str">
        <f t="shared" si="376"/>
        <v>Huyện Nho Quan</v>
      </c>
      <c r="F4586" s="3" t="s">
        <v>5349</v>
      </c>
      <c r="G4586" s="4" t="str">
        <f>HYPERLINK("https://diaocthongthai.com/xa-cuc-phuong-nho-quan/","Xã Cúc Phương")</f>
        <v>Xã Cúc Phương</v>
      </c>
    </row>
    <row r="4587" spans="1:7" x14ac:dyDescent="0.25">
      <c r="A4587" s="2">
        <v>4586</v>
      </c>
      <c r="B4587" s="3" t="s">
        <v>27</v>
      </c>
      <c r="C4587" s="4" t="str">
        <f t="shared" si="373"/>
        <v>Ninh Bình</v>
      </c>
      <c r="D4587" s="3" t="s">
        <v>325</v>
      </c>
      <c r="E4587" s="4" t="str">
        <f t="shared" si="376"/>
        <v>Huyện Nho Quan</v>
      </c>
      <c r="F4587" s="3" t="s">
        <v>5350</v>
      </c>
      <c r="G4587" s="4" t="str">
        <f>HYPERLINK("https://diaocthongthai.com/xa-phu-son-nho-quan/","Xã Phú Sơn")</f>
        <v>Xã Phú Sơn</v>
      </c>
    </row>
    <row r="4588" spans="1:7" x14ac:dyDescent="0.25">
      <c r="A4588" s="2">
        <v>4587</v>
      </c>
      <c r="B4588" s="3" t="s">
        <v>27</v>
      </c>
      <c r="C4588" s="4" t="str">
        <f t="shared" ref="C4588:C4619" si="377">HYPERLINK("https://diaocthongthai.com/ban-do-ninh-binh/","Ninh Bình")</f>
        <v>Ninh Bình</v>
      </c>
      <c r="D4588" s="3" t="s">
        <v>325</v>
      </c>
      <c r="E4588" s="4" t="str">
        <f t="shared" si="376"/>
        <v>Huyện Nho Quan</v>
      </c>
      <c r="F4588" s="3" t="s">
        <v>5351</v>
      </c>
      <c r="G4588" s="4" t="str">
        <f>HYPERLINK("https://diaocthongthai.com/xa-duc-long-nho-quan/","Xã Đức Long")</f>
        <v>Xã Đức Long</v>
      </c>
    </row>
    <row r="4589" spans="1:7" x14ac:dyDescent="0.25">
      <c r="A4589" s="2">
        <v>4588</v>
      </c>
      <c r="B4589" s="3" t="s">
        <v>27</v>
      </c>
      <c r="C4589" s="4" t="str">
        <f t="shared" si="377"/>
        <v>Ninh Bình</v>
      </c>
      <c r="D4589" s="3" t="s">
        <v>325</v>
      </c>
      <c r="E4589" s="4" t="str">
        <f t="shared" si="376"/>
        <v>Huyện Nho Quan</v>
      </c>
      <c r="F4589" s="3" t="s">
        <v>5352</v>
      </c>
      <c r="G4589" s="4" t="str">
        <f>HYPERLINK("https://diaocthongthai.com/xa-lac-van-nho-quan/","Xã Lạc Vân")</f>
        <v>Xã Lạc Vân</v>
      </c>
    </row>
    <row r="4590" spans="1:7" x14ac:dyDescent="0.25">
      <c r="A4590" s="2">
        <v>4589</v>
      </c>
      <c r="B4590" s="3" t="s">
        <v>27</v>
      </c>
      <c r="C4590" s="4" t="str">
        <f t="shared" si="377"/>
        <v>Ninh Bình</v>
      </c>
      <c r="D4590" s="3" t="s">
        <v>325</v>
      </c>
      <c r="E4590" s="4" t="str">
        <f t="shared" si="376"/>
        <v>Huyện Nho Quan</v>
      </c>
      <c r="F4590" s="3" t="s">
        <v>5353</v>
      </c>
      <c r="G4590" s="4" t="str">
        <f>HYPERLINK("https://diaocthongthai.com/xa-dong-phong-nho-quan/","Xã Đồng Phong")</f>
        <v>Xã Đồng Phong</v>
      </c>
    </row>
    <row r="4591" spans="1:7" x14ac:dyDescent="0.25">
      <c r="A4591" s="2">
        <v>4590</v>
      </c>
      <c r="B4591" s="3" t="s">
        <v>27</v>
      </c>
      <c r="C4591" s="4" t="str">
        <f t="shared" si="377"/>
        <v>Ninh Bình</v>
      </c>
      <c r="D4591" s="3" t="s">
        <v>325</v>
      </c>
      <c r="E4591" s="4" t="str">
        <f t="shared" si="376"/>
        <v>Huyện Nho Quan</v>
      </c>
      <c r="F4591" s="3" t="s">
        <v>5354</v>
      </c>
      <c r="G4591" s="4" t="str">
        <f>HYPERLINK("https://diaocthongthai.com/xa-yen-quang-nho-quan/","Xã Yên Quang")</f>
        <v>Xã Yên Quang</v>
      </c>
    </row>
    <row r="4592" spans="1:7" x14ac:dyDescent="0.25">
      <c r="A4592" s="2">
        <v>4591</v>
      </c>
      <c r="B4592" s="3" t="s">
        <v>27</v>
      </c>
      <c r="C4592" s="4" t="str">
        <f t="shared" si="377"/>
        <v>Ninh Bình</v>
      </c>
      <c r="D4592" s="3" t="s">
        <v>325</v>
      </c>
      <c r="E4592" s="4" t="str">
        <f t="shared" si="376"/>
        <v>Huyện Nho Quan</v>
      </c>
      <c r="F4592" s="3" t="s">
        <v>5355</v>
      </c>
      <c r="G4592" s="4" t="str">
        <f>HYPERLINK("https://diaocthongthai.com/xa-lang-phong-nho-quan/","Xã Lạng Phong")</f>
        <v>Xã Lạng Phong</v>
      </c>
    </row>
    <row r="4593" spans="1:7" x14ac:dyDescent="0.25">
      <c r="A4593" s="2">
        <v>4592</v>
      </c>
      <c r="B4593" s="3" t="s">
        <v>27</v>
      </c>
      <c r="C4593" s="4" t="str">
        <f t="shared" si="377"/>
        <v>Ninh Bình</v>
      </c>
      <c r="D4593" s="3" t="s">
        <v>325</v>
      </c>
      <c r="E4593" s="4" t="str">
        <f t="shared" si="376"/>
        <v>Huyện Nho Quan</v>
      </c>
      <c r="F4593" s="3" t="s">
        <v>5356</v>
      </c>
      <c r="G4593" s="4" t="str">
        <f>HYPERLINK("https://diaocthongthai.com/xa-thuong-hoa-nho-quan/","Xã Thượng Hòa")</f>
        <v>Xã Thượng Hòa</v>
      </c>
    </row>
    <row r="4594" spans="1:7" x14ac:dyDescent="0.25">
      <c r="A4594" s="2">
        <v>4593</v>
      </c>
      <c r="B4594" s="3" t="s">
        <v>27</v>
      </c>
      <c r="C4594" s="4" t="str">
        <f t="shared" si="377"/>
        <v>Ninh Bình</v>
      </c>
      <c r="D4594" s="3" t="s">
        <v>325</v>
      </c>
      <c r="E4594" s="4" t="str">
        <f t="shared" si="376"/>
        <v>Huyện Nho Quan</v>
      </c>
      <c r="F4594" s="3" t="s">
        <v>5357</v>
      </c>
      <c r="G4594" s="4" t="str">
        <f>HYPERLINK("https://diaocthongthai.com/xa-van-phong-nho-quan/","Xã Văn Phong")</f>
        <v>Xã Văn Phong</v>
      </c>
    </row>
    <row r="4595" spans="1:7" x14ac:dyDescent="0.25">
      <c r="A4595" s="2">
        <v>4594</v>
      </c>
      <c r="B4595" s="3" t="s">
        <v>27</v>
      </c>
      <c r="C4595" s="4" t="str">
        <f t="shared" si="377"/>
        <v>Ninh Bình</v>
      </c>
      <c r="D4595" s="3" t="s">
        <v>325</v>
      </c>
      <c r="E4595" s="4" t="str">
        <f t="shared" si="376"/>
        <v>Huyện Nho Quan</v>
      </c>
      <c r="F4595" s="3" t="s">
        <v>5358</v>
      </c>
      <c r="G4595" s="4" t="str">
        <f>HYPERLINK("https://diaocthongthai.com/xa-van-phuong-nho-quan/","Xã Văn Phương")</f>
        <v>Xã Văn Phương</v>
      </c>
    </row>
    <row r="4596" spans="1:7" x14ac:dyDescent="0.25">
      <c r="A4596" s="2">
        <v>4595</v>
      </c>
      <c r="B4596" s="3" t="s">
        <v>27</v>
      </c>
      <c r="C4596" s="4" t="str">
        <f t="shared" si="377"/>
        <v>Ninh Bình</v>
      </c>
      <c r="D4596" s="3" t="s">
        <v>325</v>
      </c>
      <c r="E4596" s="4" t="str">
        <f t="shared" si="376"/>
        <v>Huyện Nho Quan</v>
      </c>
      <c r="F4596" s="3" t="s">
        <v>5359</v>
      </c>
      <c r="G4596" s="4" t="str">
        <f>HYPERLINK("https://diaocthongthai.com/xa-thanh-lac-nho-quan/","Xã Thanh Lạc")</f>
        <v>Xã Thanh Lạc</v>
      </c>
    </row>
    <row r="4597" spans="1:7" x14ac:dyDescent="0.25">
      <c r="A4597" s="2">
        <v>4596</v>
      </c>
      <c r="B4597" s="3" t="s">
        <v>27</v>
      </c>
      <c r="C4597" s="4" t="str">
        <f t="shared" si="377"/>
        <v>Ninh Bình</v>
      </c>
      <c r="D4597" s="3" t="s">
        <v>325</v>
      </c>
      <c r="E4597" s="4" t="str">
        <f t="shared" si="376"/>
        <v>Huyện Nho Quan</v>
      </c>
      <c r="F4597" s="3" t="s">
        <v>5360</v>
      </c>
      <c r="G4597" s="4" t="str">
        <f>HYPERLINK("https://diaocthongthai.com/xa-son-lai-nho-quan/","Xã Sơn Lai")</f>
        <v>Xã Sơn Lai</v>
      </c>
    </row>
    <row r="4598" spans="1:7" x14ac:dyDescent="0.25">
      <c r="A4598" s="2">
        <v>4597</v>
      </c>
      <c r="B4598" s="3" t="s">
        <v>27</v>
      </c>
      <c r="C4598" s="4" t="str">
        <f t="shared" si="377"/>
        <v>Ninh Bình</v>
      </c>
      <c r="D4598" s="3" t="s">
        <v>325</v>
      </c>
      <c r="E4598" s="4" t="str">
        <f t="shared" si="376"/>
        <v>Huyện Nho Quan</v>
      </c>
      <c r="F4598" s="3" t="s">
        <v>5361</v>
      </c>
      <c r="G4598" s="4" t="str">
        <f>HYPERLINK("https://diaocthongthai.com/xa-son-thanh-nho-quan/","Xã Sơn Thành")</f>
        <v>Xã Sơn Thành</v>
      </c>
    </row>
    <row r="4599" spans="1:7" x14ac:dyDescent="0.25">
      <c r="A4599" s="2">
        <v>4598</v>
      </c>
      <c r="B4599" s="3" t="s">
        <v>27</v>
      </c>
      <c r="C4599" s="4" t="str">
        <f t="shared" si="377"/>
        <v>Ninh Bình</v>
      </c>
      <c r="D4599" s="3" t="s">
        <v>325</v>
      </c>
      <c r="E4599" s="4" t="str">
        <f t="shared" si="376"/>
        <v>Huyện Nho Quan</v>
      </c>
      <c r="F4599" s="3" t="s">
        <v>5362</v>
      </c>
      <c r="G4599" s="4" t="str">
        <f>HYPERLINK("https://diaocthongthai.com/xa-van-phu-nho-quan/","Xã Văn Phú")</f>
        <v>Xã Văn Phú</v>
      </c>
    </row>
    <row r="4600" spans="1:7" x14ac:dyDescent="0.25">
      <c r="A4600" s="2">
        <v>4599</v>
      </c>
      <c r="B4600" s="3" t="s">
        <v>27</v>
      </c>
      <c r="C4600" s="4" t="str">
        <f t="shared" si="377"/>
        <v>Ninh Bình</v>
      </c>
      <c r="D4600" s="3" t="s">
        <v>325</v>
      </c>
      <c r="E4600" s="4" t="str">
        <f t="shared" si="376"/>
        <v>Huyện Nho Quan</v>
      </c>
      <c r="F4600" s="3" t="s">
        <v>5363</v>
      </c>
      <c r="G4600" s="4" t="str">
        <f>HYPERLINK("https://diaocthongthai.com/xa-phu-loc-nho-quan/","Xã Phú Lộc")</f>
        <v>Xã Phú Lộc</v>
      </c>
    </row>
    <row r="4601" spans="1:7" x14ac:dyDescent="0.25">
      <c r="A4601" s="2">
        <v>4600</v>
      </c>
      <c r="B4601" s="3" t="s">
        <v>27</v>
      </c>
      <c r="C4601" s="4" t="str">
        <f t="shared" si="377"/>
        <v>Ninh Bình</v>
      </c>
      <c r="D4601" s="3" t="s">
        <v>325</v>
      </c>
      <c r="E4601" s="4" t="str">
        <f t="shared" si="376"/>
        <v>Huyện Nho Quan</v>
      </c>
      <c r="F4601" s="3" t="s">
        <v>5364</v>
      </c>
      <c r="G4601" s="4" t="str">
        <f>HYPERLINK("https://diaocthongthai.com/xa-ky-phu-nho-quan/","Xã Kỳ Phú")</f>
        <v>Xã Kỳ Phú</v>
      </c>
    </row>
    <row r="4602" spans="1:7" x14ac:dyDescent="0.25">
      <c r="A4602" s="2">
        <v>4601</v>
      </c>
      <c r="B4602" s="3" t="s">
        <v>27</v>
      </c>
      <c r="C4602" s="4" t="str">
        <f t="shared" si="377"/>
        <v>Ninh Bình</v>
      </c>
      <c r="D4602" s="3" t="s">
        <v>325</v>
      </c>
      <c r="E4602" s="4" t="str">
        <f t="shared" si="376"/>
        <v>Huyện Nho Quan</v>
      </c>
      <c r="F4602" s="3" t="s">
        <v>5365</v>
      </c>
      <c r="G4602" s="4" t="str">
        <f>HYPERLINK("https://diaocthongthai.com/xa-quynh-luu-nho-quan/","Xã Quỳnh Lưu")</f>
        <v>Xã Quỳnh Lưu</v>
      </c>
    </row>
    <row r="4603" spans="1:7" x14ac:dyDescent="0.25">
      <c r="A4603" s="2">
        <v>4602</v>
      </c>
      <c r="B4603" s="3" t="s">
        <v>27</v>
      </c>
      <c r="C4603" s="4" t="str">
        <f t="shared" si="377"/>
        <v>Ninh Bình</v>
      </c>
      <c r="D4603" s="3" t="s">
        <v>325</v>
      </c>
      <c r="E4603" s="4" t="str">
        <f t="shared" si="376"/>
        <v>Huyện Nho Quan</v>
      </c>
      <c r="F4603" s="3" t="s">
        <v>5366</v>
      </c>
      <c r="G4603" s="4" t="str">
        <f>HYPERLINK("https://diaocthongthai.com/xa-son-ha-nho-quan/","Xã Sơn Hà")</f>
        <v>Xã Sơn Hà</v>
      </c>
    </row>
    <row r="4604" spans="1:7" x14ac:dyDescent="0.25">
      <c r="A4604" s="2">
        <v>4603</v>
      </c>
      <c r="B4604" s="3" t="s">
        <v>27</v>
      </c>
      <c r="C4604" s="4" t="str">
        <f t="shared" si="377"/>
        <v>Ninh Bình</v>
      </c>
      <c r="D4604" s="3" t="s">
        <v>325</v>
      </c>
      <c r="E4604" s="4" t="str">
        <f t="shared" si="376"/>
        <v>Huyện Nho Quan</v>
      </c>
      <c r="F4604" s="3" t="s">
        <v>5367</v>
      </c>
      <c r="G4604" s="4" t="str">
        <f>HYPERLINK("https://diaocthongthai.com/xa-phu-long-nho-quan/","Xã Phú Long")</f>
        <v>Xã Phú Long</v>
      </c>
    </row>
    <row r="4605" spans="1:7" x14ac:dyDescent="0.25">
      <c r="A4605" s="2">
        <v>4604</v>
      </c>
      <c r="B4605" s="3" t="s">
        <v>27</v>
      </c>
      <c r="C4605" s="4" t="str">
        <f t="shared" si="377"/>
        <v>Ninh Bình</v>
      </c>
      <c r="D4605" s="3" t="s">
        <v>325</v>
      </c>
      <c r="E4605" s="4" t="str">
        <f t="shared" si="376"/>
        <v>Huyện Nho Quan</v>
      </c>
      <c r="F4605" s="3" t="s">
        <v>5368</v>
      </c>
      <c r="G4605" s="4" t="str">
        <f>HYPERLINK("https://diaocthongthai.com/xa-quang-lac-nho-quan/","Xã Quảng Lạc")</f>
        <v>Xã Quảng Lạc</v>
      </c>
    </row>
    <row r="4606" spans="1:7" x14ac:dyDescent="0.25">
      <c r="A4606" s="2">
        <v>4605</v>
      </c>
      <c r="B4606" s="3" t="s">
        <v>27</v>
      </c>
      <c r="C4606" s="4" t="str">
        <f t="shared" si="377"/>
        <v>Ninh Bình</v>
      </c>
      <c r="D4606" s="3" t="s">
        <v>326</v>
      </c>
      <c r="E4606" s="4" t="str">
        <f t="shared" ref="E4606:E4626" si="378">HYPERLINK("https://diaocthongthai.com/ban-do-huyen-gia-vien-ninh-binh/","Huyện Gia Viễn")</f>
        <v>Huyện Gia Viễn</v>
      </c>
      <c r="F4606" s="3" t="s">
        <v>5369</v>
      </c>
      <c r="G4606" s="4" t="str">
        <f>HYPERLINK("https://diaocthongthai.com/thi-tran-me-gia-vien/","Thị trấn Me")</f>
        <v>Thị trấn Me</v>
      </c>
    </row>
    <row r="4607" spans="1:7" x14ac:dyDescent="0.25">
      <c r="A4607" s="2">
        <v>4606</v>
      </c>
      <c r="B4607" s="3" t="s">
        <v>27</v>
      </c>
      <c r="C4607" s="4" t="str">
        <f t="shared" si="377"/>
        <v>Ninh Bình</v>
      </c>
      <c r="D4607" s="3" t="s">
        <v>326</v>
      </c>
      <c r="E4607" s="4" t="str">
        <f t="shared" si="378"/>
        <v>Huyện Gia Viễn</v>
      </c>
      <c r="F4607" s="3" t="s">
        <v>5370</v>
      </c>
      <c r="G4607" s="4" t="str">
        <f>HYPERLINK("https://diaocthongthai.com/xa-gia-hoa-gia-vien/","Xã Gia Hòa")</f>
        <v>Xã Gia Hòa</v>
      </c>
    </row>
    <row r="4608" spans="1:7" x14ac:dyDescent="0.25">
      <c r="A4608" s="2">
        <v>4607</v>
      </c>
      <c r="B4608" s="3" t="s">
        <v>27</v>
      </c>
      <c r="C4608" s="4" t="str">
        <f t="shared" si="377"/>
        <v>Ninh Bình</v>
      </c>
      <c r="D4608" s="3" t="s">
        <v>326</v>
      </c>
      <c r="E4608" s="4" t="str">
        <f t="shared" si="378"/>
        <v>Huyện Gia Viễn</v>
      </c>
      <c r="F4608" s="3" t="s">
        <v>5371</v>
      </c>
      <c r="G4608" s="4" t="str">
        <f>HYPERLINK("https://diaocthongthai.com/xa-gia-hung-gia-vien/","Xã Gia Hưng")</f>
        <v>Xã Gia Hưng</v>
      </c>
    </row>
    <row r="4609" spans="1:7" x14ac:dyDescent="0.25">
      <c r="A4609" s="2">
        <v>4608</v>
      </c>
      <c r="B4609" s="3" t="s">
        <v>27</v>
      </c>
      <c r="C4609" s="4" t="str">
        <f t="shared" si="377"/>
        <v>Ninh Bình</v>
      </c>
      <c r="D4609" s="3" t="s">
        <v>326</v>
      </c>
      <c r="E4609" s="4" t="str">
        <f t="shared" si="378"/>
        <v>Huyện Gia Viễn</v>
      </c>
      <c r="F4609" s="3" t="s">
        <v>5372</v>
      </c>
      <c r="G4609" s="4" t="str">
        <f>HYPERLINK("https://diaocthongthai.com/xa-lien-son-gia-vien/","Xã Liên Sơn")</f>
        <v>Xã Liên Sơn</v>
      </c>
    </row>
    <row r="4610" spans="1:7" x14ac:dyDescent="0.25">
      <c r="A4610" s="2">
        <v>4609</v>
      </c>
      <c r="B4610" s="3" t="s">
        <v>27</v>
      </c>
      <c r="C4610" s="4" t="str">
        <f t="shared" si="377"/>
        <v>Ninh Bình</v>
      </c>
      <c r="D4610" s="3" t="s">
        <v>326</v>
      </c>
      <c r="E4610" s="4" t="str">
        <f t="shared" si="378"/>
        <v>Huyện Gia Viễn</v>
      </c>
      <c r="F4610" s="3" t="s">
        <v>5373</v>
      </c>
      <c r="G4610" s="4" t="str">
        <f>HYPERLINK("https://diaocthongthai.com/xa-gia-thanh-gia-vien/","Xã Gia Thanh")</f>
        <v>Xã Gia Thanh</v>
      </c>
    </row>
    <row r="4611" spans="1:7" x14ac:dyDescent="0.25">
      <c r="A4611" s="2">
        <v>4610</v>
      </c>
      <c r="B4611" s="3" t="s">
        <v>27</v>
      </c>
      <c r="C4611" s="4" t="str">
        <f t="shared" si="377"/>
        <v>Ninh Bình</v>
      </c>
      <c r="D4611" s="3" t="s">
        <v>326</v>
      </c>
      <c r="E4611" s="4" t="str">
        <f t="shared" si="378"/>
        <v>Huyện Gia Viễn</v>
      </c>
      <c r="F4611" s="3" t="s">
        <v>5374</v>
      </c>
      <c r="G4611" s="4" t="str">
        <f>HYPERLINK("https://diaocthongthai.com/xa-gia-van-gia-vien/","Xã Gia Vân")</f>
        <v>Xã Gia Vân</v>
      </c>
    </row>
    <row r="4612" spans="1:7" x14ac:dyDescent="0.25">
      <c r="A4612" s="2">
        <v>4611</v>
      </c>
      <c r="B4612" s="3" t="s">
        <v>27</v>
      </c>
      <c r="C4612" s="4" t="str">
        <f t="shared" si="377"/>
        <v>Ninh Bình</v>
      </c>
      <c r="D4612" s="3" t="s">
        <v>326</v>
      </c>
      <c r="E4612" s="4" t="str">
        <f t="shared" si="378"/>
        <v>Huyện Gia Viễn</v>
      </c>
      <c r="F4612" s="3" t="s">
        <v>5375</v>
      </c>
      <c r="G4612" s="4" t="str">
        <f>HYPERLINK("https://diaocthongthai.com/xa-gia-phu-gia-vien/","Xã Gia Phú")</f>
        <v>Xã Gia Phú</v>
      </c>
    </row>
    <row r="4613" spans="1:7" x14ac:dyDescent="0.25">
      <c r="A4613" s="2">
        <v>4612</v>
      </c>
      <c r="B4613" s="3" t="s">
        <v>27</v>
      </c>
      <c r="C4613" s="4" t="str">
        <f t="shared" si="377"/>
        <v>Ninh Bình</v>
      </c>
      <c r="D4613" s="3" t="s">
        <v>326</v>
      </c>
      <c r="E4613" s="4" t="str">
        <f t="shared" si="378"/>
        <v>Huyện Gia Viễn</v>
      </c>
      <c r="F4613" s="3" t="s">
        <v>5376</v>
      </c>
      <c r="G4613" s="4" t="str">
        <f>HYPERLINK("https://diaocthongthai.com/xa-gia-xuan-gia-vien/","Xã Gia Xuân")</f>
        <v>Xã Gia Xuân</v>
      </c>
    </row>
    <row r="4614" spans="1:7" x14ac:dyDescent="0.25">
      <c r="A4614" s="2">
        <v>4613</v>
      </c>
      <c r="B4614" s="3" t="s">
        <v>27</v>
      </c>
      <c r="C4614" s="4" t="str">
        <f t="shared" si="377"/>
        <v>Ninh Bình</v>
      </c>
      <c r="D4614" s="3" t="s">
        <v>326</v>
      </c>
      <c r="E4614" s="4" t="str">
        <f t="shared" si="378"/>
        <v>Huyện Gia Viễn</v>
      </c>
      <c r="F4614" s="3" t="s">
        <v>5377</v>
      </c>
      <c r="G4614" s="4" t="str">
        <f>HYPERLINK("https://diaocthongthai.com/xa-gia-lap-gia-vien/","Xã Gia Lập")</f>
        <v>Xã Gia Lập</v>
      </c>
    </row>
    <row r="4615" spans="1:7" x14ac:dyDescent="0.25">
      <c r="A4615" s="2">
        <v>4614</v>
      </c>
      <c r="B4615" s="3" t="s">
        <v>27</v>
      </c>
      <c r="C4615" s="4" t="str">
        <f t="shared" si="377"/>
        <v>Ninh Bình</v>
      </c>
      <c r="D4615" s="3" t="s">
        <v>326</v>
      </c>
      <c r="E4615" s="4" t="str">
        <f t="shared" si="378"/>
        <v>Huyện Gia Viễn</v>
      </c>
      <c r="F4615" s="3" t="s">
        <v>5378</v>
      </c>
      <c r="G4615" s="4" t="str">
        <f>HYPERLINK("https://diaocthongthai.com/xa-gia-vuong-gia-vien/","Xã Gia Vượng")</f>
        <v>Xã Gia Vượng</v>
      </c>
    </row>
    <row r="4616" spans="1:7" x14ac:dyDescent="0.25">
      <c r="A4616" s="2">
        <v>4615</v>
      </c>
      <c r="B4616" s="3" t="s">
        <v>27</v>
      </c>
      <c r="C4616" s="4" t="str">
        <f t="shared" si="377"/>
        <v>Ninh Bình</v>
      </c>
      <c r="D4616" s="3" t="s">
        <v>326</v>
      </c>
      <c r="E4616" s="4" t="str">
        <f t="shared" si="378"/>
        <v>Huyện Gia Viễn</v>
      </c>
      <c r="F4616" s="3" t="s">
        <v>5379</v>
      </c>
      <c r="G4616" s="4" t="str">
        <f>HYPERLINK("https://diaocthongthai.com/xa-gia-tran-gia-vien/","Xã Gia Trấn")</f>
        <v>Xã Gia Trấn</v>
      </c>
    </row>
    <row r="4617" spans="1:7" x14ac:dyDescent="0.25">
      <c r="A4617" s="2">
        <v>4616</v>
      </c>
      <c r="B4617" s="3" t="s">
        <v>27</v>
      </c>
      <c r="C4617" s="4" t="str">
        <f t="shared" si="377"/>
        <v>Ninh Bình</v>
      </c>
      <c r="D4617" s="3" t="s">
        <v>326</v>
      </c>
      <c r="E4617" s="4" t="str">
        <f t="shared" si="378"/>
        <v>Huyện Gia Viễn</v>
      </c>
      <c r="F4617" s="3" t="s">
        <v>5380</v>
      </c>
      <c r="G4617" s="4" t="str">
        <f>HYPERLINK("https://diaocthongthai.com/xa-gia-thinh-gia-vien/","Xã Gia Thịnh")</f>
        <v>Xã Gia Thịnh</v>
      </c>
    </row>
    <row r="4618" spans="1:7" x14ac:dyDescent="0.25">
      <c r="A4618" s="2">
        <v>4617</v>
      </c>
      <c r="B4618" s="3" t="s">
        <v>27</v>
      </c>
      <c r="C4618" s="4" t="str">
        <f t="shared" si="377"/>
        <v>Ninh Bình</v>
      </c>
      <c r="D4618" s="3" t="s">
        <v>326</v>
      </c>
      <c r="E4618" s="4" t="str">
        <f t="shared" si="378"/>
        <v>Huyện Gia Viễn</v>
      </c>
      <c r="F4618" s="3" t="s">
        <v>5381</v>
      </c>
      <c r="G4618" s="4" t="str">
        <f>HYPERLINK("https://diaocthongthai.com/xa-gia-phuong-gia-vien/","Xã Gia Phương")</f>
        <v>Xã Gia Phương</v>
      </c>
    </row>
    <row r="4619" spans="1:7" x14ac:dyDescent="0.25">
      <c r="A4619" s="2">
        <v>4618</v>
      </c>
      <c r="B4619" s="3" t="s">
        <v>27</v>
      </c>
      <c r="C4619" s="4" t="str">
        <f t="shared" si="377"/>
        <v>Ninh Bình</v>
      </c>
      <c r="D4619" s="3" t="s">
        <v>326</v>
      </c>
      <c r="E4619" s="4" t="str">
        <f t="shared" si="378"/>
        <v>Huyện Gia Viễn</v>
      </c>
      <c r="F4619" s="3" t="s">
        <v>5382</v>
      </c>
      <c r="G4619" s="4" t="str">
        <f>HYPERLINK("https://diaocthongthai.com/xa-gia-tan-gia-vien/","Xã Gia Tân")</f>
        <v>Xã Gia Tân</v>
      </c>
    </row>
    <row r="4620" spans="1:7" x14ac:dyDescent="0.25">
      <c r="A4620" s="2">
        <v>4619</v>
      </c>
      <c r="B4620" s="3" t="s">
        <v>27</v>
      </c>
      <c r="C4620" s="4" t="str">
        <f t="shared" ref="C4620:C4651" si="379">HYPERLINK("https://diaocthongthai.com/ban-do-ninh-binh/","Ninh Bình")</f>
        <v>Ninh Bình</v>
      </c>
      <c r="D4620" s="3" t="s">
        <v>326</v>
      </c>
      <c r="E4620" s="4" t="str">
        <f t="shared" si="378"/>
        <v>Huyện Gia Viễn</v>
      </c>
      <c r="F4620" s="3" t="s">
        <v>5383</v>
      </c>
      <c r="G4620" s="4" t="str">
        <f>HYPERLINK("https://diaocthongthai.com/xa-gia-thang-gia-vien/","Xã Gia Thắng")</f>
        <v>Xã Gia Thắng</v>
      </c>
    </row>
    <row r="4621" spans="1:7" x14ac:dyDescent="0.25">
      <c r="A4621" s="2">
        <v>4620</v>
      </c>
      <c r="B4621" s="3" t="s">
        <v>27</v>
      </c>
      <c r="C4621" s="4" t="str">
        <f t="shared" si="379"/>
        <v>Ninh Bình</v>
      </c>
      <c r="D4621" s="3" t="s">
        <v>326</v>
      </c>
      <c r="E4621" s="4" t="str">
        <f t="shared" si="378"/>
        <v>Huyện Gia Viễn</v>
      </c>
      <c r="F4621" s="3" t="s">
        <v>5384</v>
      </c>
      <c r="G4621" s="4" t="str">
        <f>HYPERLINK("https://diaocthongthai.com/xa-gia-trung-gia-vien/","Xã Gia Trung")</f>
        <v>Xã Gia Trung</v>
      </c>
    </row>
    <row r="4622" spans="1:7" x14ac:dyDescent="0.25">
      <c r="A4622" s="2">
        <v>4621</v>
      </c>
      <c r="B4622" s="3" t="s">
        <v>27</v>
      </c>
      <c r="C4622" s="4" t="str">
        <f t="shared" si="379"/>
        <v>Ninh Bình</v>
      </c>
      <c r="D4622" s="3" t="s">
        <v>326</v>
      </c>
      <c r="E4622" s="4" t="str">
        <f t="shared" si="378"/>
        <v>Huyện Gia Viễn</v>
      </c>
      <c r="F4622" s="3" t="s">
        <v>5385</v>
      </c>
      <c r="G4622" s="4" t="str">
        <f>HYPERLINK("https://diaocthongthai.com/xa-gia-minh-gia-vien/","Xã Gia Minh")</f>
        <v>Xã Gia Minh</v>
      </c>
    </row>
    <row r="4623" spans="1:7" x14ac:dyDescent="0.25">
      <c r="A4623" s="2">
        <v>4622</v>
      </c>
      <c r="B4623" s="3" t="s">
        <v>27</v>
      </c>
      <c r="C4623" s="4" t="str">
        <f t="shared" si="379"/>
        <v>Ninh Bình</v>
      </c>
      <c r="D4623" s="3" t="s">
        <v>326</v>
      </c>
      <c r="E4623" s="4" t="str">
        <f t="shared" si="378"/>
        <v>Huyện Gia Viễn</v>
      </c>
      <c r="F4623" s="3" t="s">
        <v>5386</v>
      </c>
      <c r="G4623" s="4" t="str">
        <f>HYPERLINK("https://diaocthongthai.com/xa-gia-lac-gia-vien/","Xã Gia Lạc")</f>
        <v>Xã Gia Lạc</v>
      </c>
    </row>
    <row r="4624" spans="1:7" x14ac:dyDescent="0.25">
      <c r="A4624" s="2">
        <v>4623</v>
      </c>
      <c r="B4624" s="3" t="s">
        <v>27</v>
      </c>
      <c r="C4624" s="4" t="str">
        <f t="shared" si="379"/>
        <v>Ninh Bình</v>
      </c>
      <c r="D4624" s="3" t="s">
        <v>326</v>
      </c>
      <c r="E4624" s="4" t="str">
        <f t="shared" si="378"/>
        <v>Huyện Gia Viễn</v>
      </c>
      <c r="F4624" s="3" t="s">
        <v>5387</v>
      </c>
      <c r="G4624" s="4" t="str">
        <f>HYPERLINK("https://diaocthongthai.com/xa-gia-tien-gia-vien/","Xã Gia Tiến")</f>
        <v>Xã Gia Tiến</v>
      </c>
    </row>
    <row r="4625" spans="1:7" x14ac:dyDescent="0.25">
      <c r="A4625" s="2">
        <v>4624</v>
      </c>
      <c r="B4625" s="3" t="s">
        <v>27</v>
      </c>
      <c r="C4625" s="4" t="str">
        <f t="shared" si="379"/>
        <v>Ninh Bình</v>
      </c>
      <c r="D4625" s="3" t="s">
        <v>326</v>
      </c>
      <c r="E4625" s="4" t="str">
        <f t="shared" si="378"/>
        <v>Huyện Gia Viễn</v>
      </c>
      <c r="F4625" s="3" t="s">
        <v>5388</v>
      </c>
      <c r="G4625" s="4" t="str">
        <f>HYPERLINK("https://diaocthongthai.com/xa-gia-sinh-gia-vien/","Xã Gia Sinh")</f>
        <v>Xã Gia Sinh</v>
      </c>
    </row>
    <row r="4626" spans="1:7" x14ac:dyDescent="0.25">
      <c r="A4626" s="2">
        <v>4625</v>
      </c>
      <c r="B4626" s="3" t="s">
        <v>27</v>
      </c>
      <c r="C4626" s="4" t="str">
        <f t="shared" si="379"/>
        <v>Ninh Bình</v>
      </c>
      <c r="D4626" s="3" t="s">
        <v>326</v>
      </c>
      <c r="E4626" s="4" t="str">
        <f t="shared" si="378"/>
        <v>Huyện Gia Viễn</v>
      </c>
      <c r="F4626" s="3" t="s">
        <v>5389</v>
      </c>
      <c r="G4626" s="4" t="str">
        <f>HYPERLINK("https://diaocthongthai.com/xa-gia-phong-gia-vien/","Xã Gia Phong")</f>
        <v>Xã Gia Phong</v>
      </c>
    </row>
    <row r="4627" spans="1:7" x14ac:dyDescent="0.25">
      <c r="A4627" s="2">
        <v>4626</v>
      </c>
      <c r="B4627" s="3" t="s">
        <v>27</v>
      </c>
      <c r="C4627" s="4" t="str">
        <f t="shared" si="379"/>
        <v>Ninh Bình</v>
      </c>
      <c r="D4627" s="3" t="s">
        <v>327</v>
      </c>
      <c r="E4627" s="4" t="str">
        <f t="shared" ref="E4627:E4637" si="380">HYPERLINK("https://diaocthongthai.com/ban-do-huyen-hoa-lu-ninh-binh/","Huyện Hoa Lư")</f>
        <v>Huyện Hoa Lư</v>
      </c>
      <c r="F4627" s="3" t="s">
        <v>5390</v>
      </c>
      <c r="G4627" s="4" t="str">
        <f>HYPERLINK("https://diaocthongthai.com/thi-tran-thien-ton-hoa-lu/","Thị trấn Thiên Tôn")</f>
        <v>Thị trấn Thiên Tôn</v>
      </c>
    </row>
    <row r="4628" spans="1:7" x14ac:dyDescent="0.25">
      <c r="A4628" s="2">
        <v>4627</v>
      </c>
      <c r="B4628" s="3" t="s">
        <v>27</v>
      </c>
      <c r="C4628" s="4" t="str">
        <f t="shared" si="379"/>
        <v>Ninh Bình</v>
      </c>
      <c r="D4628" s="3" t="s">
        <v>327</v>
      </c>
      <c r="E4628" s="4" t="str">
        <f t="shared" si="380"/>
        <v>Huyện Hoa Lư</v>
      </c>
      <c r="F4628" s="3" t="s">
        <v>5391</v>
      </c>
      <c r="G4628" s="4" t="str">
        <f>HYPERLINK("https://diaocthongthai.com/xa-ninh-giang-hoa-lu/","Xã Ninh Giang")</f>
        <v>Xã Ninh Giang</v>
      </c>
    </row>
    <row r="4629" spans="1:7" x14ac:dyDescent="0.25">
      <c r="A4629" s="2">
        <v>4628</v>
      </c>
      <c r="B4629" s="3" t="s">
        <v>27</v>
      </c>
      <c r="C4629" s="4" t="str">
        <f t="shared" si="379"/>
        <v>Ninh Bình</v>
      </c>
      <c r="D4629" s="3" t="s">
        <v>327</v>
      </c>
      <c r="E4629" s="4" t="str">
        <f t="shared" si="380"/>
        <v>Huyện Hoa Lư</v>
      </c>
      <c r="F4629" s="3" t="s">
        <v>5392</v>
      </c>
      <c r="G4629" s="4" t="str">
        <f>HYPERLINK("https://diaocthongthai.com/xa-truong-yen-hoa-lu/","Xã Trường Yên")</f>
        <v>Xã Trường Yên</v>
      </c>
    </row>
    <row r="4630" spans="1:7" x14ac:dyDescent="0.25">
      <c r="A4630" s="2">
        <v>4629</v>
      </c>
      <c r="B4630" s="3" t="s">
        <v>27</v>
      </c>
      <c r="C4630" s="4" t="str">
        <f t="shared" si="379"/>
        <v>Ninh Bình</v>
      </c>
      <c r="D4630" s="3" t="s">
        <v>327</v>
      </c>
      <c r="E4630" s="4" t="str">
        <f t="shared" si="380"/>
        <v>Huyện Hoa Lư</v>
      </c>
      <c r="F4630" s="3" t="s">
        <v>5393</v>
      </c>
      <c r="G4630" s="4" t="str">
        <f>HYPERLINK("https://diaocthongthai.com/xa-ninh-khang-hoa-lu/","Xã Ninh Khang")</f>
        <v>Xã Ninh Khang</v>
      </c>
    </row>
    <row r="4631" spans="1:7" x14ac:dyDescent="0.25">
      <c r="A4631" s="2">
        <v>4630</v>
      </c>
      <c r="B4631" s="3" t="s">
        <v>27</v>
      </c>
      <c r="C4631" s="4" t="str">
        <f t="shared" si="379"/>
        <v>Ninh Bình</v>
      </c>
      <c r="D4631" s="3" t="s">
        <v>327</v>
      </c>
      <c r="E4631" s="4" t="str">
        <f t="shared" si="380"/>
        <v>Huyện Hoa Lư</v>
      </c>
      <c r="F4631" s="3" t="s">
        <v>5394</v>
      </c>
      <c r="G4631" s="4" t="str">
        <f>HYPERLINK("https://diaocthongthai.com/xa-ninh-my-hoa-lu/","Xã Ninh Mỹ")</f>
        <v>Xã Ninh Mỹ</v>
      </c>
    </row>
    <row r="4632" spans="1:7" x14ac:dyDescent="0.25">
      <c r="A4632" s="2">
        <v>4631</v>
      </c>
      <c r="B4632" s="3" t="s">
        <v>27</v>
      </c>
      <c r="C4632" s="4" t="str">
        <f t="shared" si="379"/>
        <v>Ninh Bình</v>
      </c>
      <c r="D4632" s="3" t="s">
        <v>327</v>
      </c>
      <c r="E4632" s="4" t="str">
        <f t="shared" si="380"/>
        <v>Huyện Hoa Lư</v>
      </c>
      <c r="F4632" s="3" t="s">
        <v>5395</v>
      </c>
      <c r="G4632" s="4" t="str">
        <f>HYPERLINK("https://diaocthongthai.com/xa-ninh-hoa-hoa-lu/","Xã Ninh Hòa")</f>
        <v>Xã Ninh Hòa</v>
      </c>
    </row>
    <row r="4633" spans="1:7" x14ac:dyDescent="0.25">
      <c r="A4633" s="2">
        <v>4632</v>
      </c>
      <c r="B4633" s="3" t="s">
        <v>27</v>
      </c>
      <c r="C4633" s="4" t="str">
        <f t="shared" si="379"/>
        <v>Ninh Bình</v>
      </c>
      <c r="D4633" s="3" t="s">
        <v>327</v>
      </c>
      <c r="E4633" s="4" t="str">
        <f t="shared" si="380"/>
        <v>Huyện Hoa Lư</v>
      </c>
      <c r="F4633" s="3" t="s">
        <v>5396</v>
      </c>
      <c r="G4633" s="4" t="str">
        <f>HYPERLINK("https://diaocthongthai.com/xa-ninh-xuan-hoa-lu/","Xã Ninh Xuân")</f>
        <v>Xã Ninh Xuân</v>
      </c>
    </row>
    <row r="4634" spans="1:7" x14ac:dyDescent="0.25">
      <c r="A4634" s="2">
        <v>4633</v>
      </c>
      <c r="B4634" s="3" t="s">
        <v>27</v>
      </c>
      <c r="C4634" s="4" t="str">
        <f t="shared" si="379"/>
        <v>Ninh Bình</v>
      </c>
      <c r="D4634" s="3" t="s">
        <v>327</v>
      </c>
      <c r="E4634" s="4" t="str">
        <f t="shared" si="380"/>
        <v>Huyện Hoa Lư</v>
      </c>
      <c r="F4634" s="3" t="s">
        <v>5397</v>
      </c>
      <c r="G4634" s="4" t="str">
        <f>HYPERLINK("https://diaocthongthai.com/xa-ninh-hai-hoa-lu/","Xã Ninh Hải")</f>
        <v>Xã Ninh Hải</v>
      </c>
    </row>
    <row r="4635" spans="1:7" x14ac:dyDescent="0.25">
      <c r="A4635" s="2">
        <v>4634</v>
      </c>
      <c r="B4635" s="3" t="s">
        <v>27</v>
      </c>
      <c r="C4635" s="4" t="str">
        <f t="shared" si="379"/>
        <v>Ninh Bình</v>
      </c>
      <c r="D4635" s="3" t="s">
        <v>327</v>
      </c>
      <c r="E4635" s="4" t="str">
        <f t="shared" si="380"/>
        <v>Huyện Hoa Lư</v>
      </c>
      <c r="F4635" s="3" t="s">
        <v>5398</v>
      </c>
      <c r="G4635" s="4" t="str">
        <f>HYPERLINK("https://diaocthongthai.com/xa-ninh-thang-hoa-lu/","Xã Ninh Thắng")</f>
        <v>Xã Ninh Thắng</v>
      </c>
    </row>
    <row r="4636" spans="1:7" x14ac:dyDescent="0.25">
      <c r="A4636" s="2">
        <v>4635</v>
      </c>
      <c r="B4636" s="3" t="s">
        <v>27</v>
      </c>
      <c r="C4636" s="4" t="str">
        <f t="shared" si="379"/>
        <v>Ninh Bình</v>
      </c>
      <c r="D4636" s="3" t="s">
        <v>327</v>
      </c>
      <c r="E4636" s="4" t="str">
        <f t="shared" si="380"/>
        <v>Huyện Hoa Lư</v>
      </c>
      <c r="F4636" s="3" t="s">
        <v>5399</v>
      </c>
      <c r="G4636" s="4" t="str">
        <f>HYPERLINK("https://diaocthongthai.com/xa-ninh-van-hoa-lu/","Xã Ninh Vân")</f>
        <v>Xã Ninh Vân</v>
      </c>
    </row>
    <row r="4637" spans="1:7" x14ac:dyDescent="0.25">
      <c r="A4637" s="2">
        <v>4636</v>
      </c>
      <c r="B4637" s="3" t="s">
        <v>27</v>
      </c>
      <c r="C4637" s="4" t="str">
        <f t="shared" si="379"/>
        <v>Ninh Bình</v>
      </c>
      <c r="D4637" s="3" t="s">
        <v>327</v>
      </c>
      <c r="E4637" s="4" t="str">
        <f t="shared" si="380"/>
        <v>Huyện Hoa Lư</v>
      </c>
      <c r="F4637" s="3" t="s">
        <v>5400</v>
      </c>
      <c r="G4637" s="4" t="str">
        <f>HYPERLINK("https://diaocthongthai.com/xa-ninh-an-hoa-lu/","Xã Ninh An")</f>
        <v>Xã Ninh An</v>
      </c>
    </row>
    <row r="4638" spans="1:7" x14ac:dyDescent="0.25">
      <c r="A4638" s="2">
        <v>4637</v>
      </c>
      <c r="B4638" s="3" t="s">
        <v>27</v>
      </c>
      <c r="C4638" s="4" t="str">
        <f t="shared" si="379"/>
        <v>Ninh Bình</v>
      </c>
      <c r="D4638" s="3" t="s">
        <v>328</v>
      </c>
      <c r="E4638" s="4" t="str">
        <f t="shared" ref="E4638:E4656" si="381">HYPERLINK("https://diaocthongthai.com/ban-do-huyen-yen-khanh-ninh-binh/","Huyện Yên Khánh")</f>
        <v>Huyện Yên Khánh</v>
      </c>
      <c r="F4638" s="3" t="s">
        <v>5401</v>
      </c>
      <c r="G4638" s="4" t="str">
        <f>HYPERLINK("https://diaocthongthai.com/thi-tran-yen-ninh-yen-khanh/","Thị trấn Yên Ninh")</f>
        <v>Thị trấn Yên Ninh</v>
      </c>
    </row>
    <row r="4639" spans="1:7" x14ac:dyDescent="0.25">
      <c r="A4639" s="2">
        <v>4638</v>
      </c>
      <c r="B4639" s="3" t="s">
        <v>27</v>
      </c>
      <c r="C4639" s="4" t="str">
        <f t="shared" si="379"/>
        <v>Ninh Bình</v>
      </c>
      <c r="D4639" s="3" t="s">
        <v>328</v>
      </c>
      <c r="E4639" s="4" t="str">
        <f t="shared" si="381"/>
        <v>Huyện Yên Khánh</v>
      </c>
      <c r="F4639" s="3" t="s">
        <v>5402</v>
      </c>
      <c r="G4639" s="4" t="str">
        <f>HYPERLINK("https://diaocthongthai.com/xa-khanh-tien-yen-khanh/","Xã Khánh Tiên")</f>
        <v>Xã Khánh Tiên</v>
      </c>
    </row>
    <row r="4640" spans="1:7" x14ac:dyDescent="0.25">
      <c r="A4640" s="2">
        <v>4639</v>
      </c>
      <c r="B4640" s="3" t="s">
        <v>27</v>
      </c>
      <c r="C4640" s="4" t="str">
        <f t="shared" si="379"/>
        <v>Ninh Bình</v>
      </c>
      <c r="D4640" s="3" t="s">
        <v>328</v>
      </c>
      <c r="E4640" s="4" t="str">
        <f t="shared" si="381"/>
        <v>Huyện Yên Khánh</v>
      </c>
      <c r="F4640" s="3" t="s">
        <v>5403</v>
      </c>
      <c r="G4640" s="4" t="str">
        <f>HYPERLINK("https://diaocthongthai.com/xa-khanh-phu-yen-khanh/","Xã Khánh Phú")</f>
        <v>Xã Khánh Phú</v>
      </c>
    </row>
    <row r="4641" spans="1:7" x14ac:dyDescent="0.25">
      <c r="A4641" s="2">
        <v>4640</v>
      </c>
      <c r="B4641" s="3" t="s">
        <v>27</v>
      </c>
      <c r="C4641" s="4" t="str">
        <f t="shared" si="379"/>
        <v>Ninh Bình</v>
      </c>
      <c r="D4641" s="3" t="s">
        <v>328</v>
      </c>
      <c r="E4641" s="4" t="str">
        <f t="shared" si="381"/>
        <v>Huyện Yên Khánh</v>
      </c>
      <c r="F4641" s="3" t="s">
        <v>5404</v>
      </c>
      <c r="G4641" s="4" t="str">
        <f>HYPERLINK("https://diaocthongthai.com/xa-khanh-hoa-yen-khanh/","Xã Khánh Hòa")</f>
        <v>Xã Khánh Hòa</v>
      </c>
    </row>
    <row r="4642" spans="1:7" x14ac:dyDescent="0.25">
      <c r="A4642" s="2">
        <v>4641</v>
      </c>
      <c r="B4642" s="3" t="s">
        <v>27</v>
      </c>
      <c r="C4642" s="4" t="str">
        <f t="shared" si="379"/>
        <v>Ninh Bình</v>
      </c>
      <c r="D4642" s="3" t="s">
        <v>328</v>
      </c>
      <c r="E4642" s="4" t="str">
        <f t="shared" si="381"/>
        <v>Huyện Yên Khánh</v>
      </c>
      <c r="F4642" s="3" t="s">
        <v>5405</v>
      </c>
      <c r="G4642" s="4" t="str">
        <f>HYPERLINK("https://diaocthongthai.com/xa-khanh-loi-yen-khanh/","Xã Khánh Lợi")</f>
        <v>Xã Khánh Lợi</v>
      </c>
    </row>
    <row r="4643" spans="1:7" x14ac:dyDescent="0.25">
      <c r="A4643" s="2">
        <v>4642</v>
      </c>
      <c r="B4643" s="3" t="s">
        <v>27</v>
      </c>
      <c r="C4643" s="4" t="str">
        <f t="shared" si="379"/>
        <v>Ninh Bình</v>
      </c>
      <c r="D4643" s="3" t="s">
        <v>328</v>
      </c>
      <c r="E4643" s="4" t="str">
        <f t="shared" si="381"/>
        <v>Huyện Yên Khánh</v>
      </c>
      <c r="F4643" s="3" t="s">
        <v>5406</v>
      </c>
      <c r="G4643" s="4" t="str">
        <f>HYPERLINK("https://diaocthongthai.com/xa-khanh-an-yen-khanh/","Xã Khánh An")</f>
        <v>Xã Khánh An</v>
      </c>
    </row>
    <row r="4644" spans="1:7" x14ac:dyDescent="0.25">
      <c r="A4644" s="2">
        <v>4643</v>
      </c>
      <c r="B4644" s="3" t="s">
        <v>27</v>
      </c>
      <c r="C4644" s="4" t="str">
        <f t="shared" si="379"/>
        <v>Ninh Bình</v>
      </c>
      <c r="D4644" s="3" t="s">
        <v>328</v>
      </c>
      <c r="E4644" s="4" t="str">
        <f t="shared" si="381"/>
        <v>Huyện Yên Khánh</v>
      </c>
      <c r="F4644" s="3" t="s">
        <v>5407</v>
      </c>
      <c r="G4644" s="4" t="str">
        <f>HYPERLINK("https://diaocthongthai.com/xa-khanh-cuong-yen-khanh/","Xã Khánh Cường")</f>
        <v>Xã Khánh Cường</v>
      </c>
    </row>
    <row r="4645" spans="1:7" x14ac:dyDescent="0.25">
      <c r="A4645" s="2">
        <v>4644</v>
      </c>
      <c r="B4645" s="3" t="s">
        <v>27</v>
      </c>
      <c r="C4645" s="4" t="str">
        <f t="shared" si="379"/>
        <v>Ninh Bình</v>
      </c>
      <c r="D4645" s="3" t="s">
        <v>328</v>
      </c>
      <c r="E4645" s="4" t="str">
        <f t="shared" si="381"/>
        <v>Huyện Yên Khánh</v>
      </c>
      <c r="F4645" s="3" t="s">
        <v>5408</v>
      </c>
      <c r="G4645" s="4" t="str">
        <f>HYPERLINK("https://diaocthongthai.com/xa-khanh-cu-yen-khanh/","Xã Khánh Cư")</f>
        <v>Xã Khánh Cư</v>
      </c>
    </row>
    <row r="4646" spans="1:7" x14ac:dyDescent="0.25">
      <c r="A4646" s="2">
        <v>4645</v>
      </c>
      <c r="B4646" s="3" t="s">
        <v>27</v>
      </c>
      <c r="C4646" s="4" t="str">
        <f t="shared" si="379"/>
        <v>Ninh Bình</v>
      </c>
      <c r="D4646" s="3" t="s">
        <v>328</v>
      </c>
      <c r="E4646" s="4" t="str">
        <f t="shared" si="381"/>
        <v>Huyện Yên Khánh</v>
      </c>
      <c r="F4646" s="3" t="s">
        <v>5409</v>
      </c>
      <c r="G4646" s="4" t="str">
        <f>HYPERLINK("https://diaocthongthai.com/xa-khanh-thien-yen-khanh/","Xã Khánh Thiện")</f>
        <v>Xã Khánh Thiện</v>
      </c>
    </row>
    <row r="4647" spans="1:7" x14ac:dyDescent="0.25">
      <c r="A4647" s="2">
        <v>4646</v>
      </c>
      <c r="B4647" s="3" t="s">
        <v>27</v>
      </c>
      <c r="C4647" s="4" t="str">
        <f t="shared" si="379"/>
        <v>Ninh Bình</v>
      </c>
      <c r="D4647" s="3" t="s">
        <v>328</v>
      </c>
      <c r="E4647" s="4" t="str">
        <f t="shared" si="381"/>
        <v>Huyện Yên Khánh</v>
      </c>
      <c r="F4647" s="3" t="s">
        <v>5410</v>
      </c>
      <c r="G4647" s="4" t="str">
        <f>HYPERLINK("https://diaocthongthai.com/xa-khanh-hai-yen-khanh/","Xã Khánh Hải")</f>
        <v>Xã Khánh Hải</v>
      </c>
    </row>
    <row r="4648" spans="1:7" x14ac:dyDescent="0.25">
      <c r="A4648" s="2">
        <v>4647</v>
      </c>
      <c r="B4648" s="3" t="s">
        <v>27</v>
      </c>
      <c r="C4648" s="4" t="str">
        <f t="shared" si="379"/>
        <v>Ninh Bình</v>
      </c>
      <c r="D4648" s="3" t="s">
        <v>328</v>
      </c>
      <c r="E4648" s="4" t="str">
        <f t="shared" si="381"/>
        <v>Huyện Yên Khánh</v>
      </c>
      <c r="F4648" s="3" t="s">
        <v>5411</v>
      </c>
      <c r="G4648" s="4" t="str">
        <f>HYPERLINK("https://diaocthongthai.com/xa-khanh-trung-yen-khanh/","Xã Khánh Trung")</f>
        <v>Xã Khánh Trung</v>
      </c>
    </row>
    <row r="4649" spans="1:7" x14ac:dyDescent="0.25">
      <c r="A4649" s="2">
        <v>4648</v>
      </c>
      <c r="B4649" s="3" t="s">
        <v>27</v>
      </c>
      <c r="C4649" s="4" t="str">
        <f t="shared" si="379"/>
        <v>Ninh Bình</v>
      </c>
      <c r="D4649" s="3" t="s">
        <v>328</v>
      </c>
      <c r="E4649" s="4" t="str">
        <f t="shared" si="381"/>
        <v>Huyện Yên Khánh</v>
      </c>
      <c r="F4649" s="3" t="s">
        <v>5412</v>
      </c>
      <c r="G4649" s="4" t="str">
        <f>HYPERLINK("https://diaocthongthai.com/xa-khanh-mau-yen-khanh/","Xã Khánh Mậu")</f>
        <v>Xã Khánh Mậu</v>
      </c>
    </row>
    <row r="4650" spans="1:7" x14ac:dyDescent="0.25">
      <c r="A4650" s="2">
        <v>4649</v>
      </c>
      <c r="B4650" s="3" t="s">
        <v>27</v>
      </c>
      <c r="C4650" s="4" t="str">
        <f t="shared" si="379"/>
        <v>Ninh Bình</v>
      </c>
      <c r="D4650" s="3" t="s">
        <v>328</v>
      </c>
      <c r="E4650" s="4" t="str">
        <f t="shared" si="381"/>
        <v>Huyện Yên Khánh</v>
      </c>
      <c r="F4650" s="3" t="s">
        <v>5413</v>
      </c>
      <c r="G4650" s="4" t="str">
        <f>HYPERLINK("https://diaocthongthai.com/xa-khanh-van-yen-khanh/","Xã Khánh Vân")</f>
        <v>Xã Khánh Vân</v>
      </c>
    </row>
    <row r="4651" spans="1:7" x14ac:dyDescent="0.25">
      <c r="A4651" s="2">
        <v>4650</v>
      </c>
      <c r="B4651" s="3" t="s">
        <v>27</v>
      </c>
      <c r="C4651" s="4" t="str">
        <f t="shared" si="379"/>
        <v>Ninh Bình</v>
      </c>
      <c r="D4651" s="3" t="s">
        <v>328</v>
      </c>
      <c r="E4651" s="4" t="str">
        <f t="shared" si="381"/>
        <v>Huyện Yên Khánh</v>
      </c>
      <c r="F4651" s="3" t="s">
        <v>5414</v>
      </c>
      <c r="G4651" s="4" t="str">
        <f>HYPERLINK("https://diaocthongthai.com/xa-khanh-hoi-yen-khanh/","Xã Khánh Hội")</f>
        <v>Xã Khánh Hội</v>
      </c>
    </row>
    <row r="4652" spans="1:7" x14ac:dyDescent="0.25">
      <c r="A4652" s="2">
        <v>4651</v>
      </c>
      <c r="B4652" s="3" t="s">
        <v>27</v>
      </c>
      <c r="C4652" s="4" t="str">
        <f t="shared" ref="C4652:C4683" si="382">HYPERLINK("https://diaocthongthai.com/ban-do-ninh-binh/","Ninh Bình")</f>
        <v>Ninh Bình</v>
      </c>
      <c r="D4652" s="3" t="s">
        <v>328</v>
      </c>
      <c r="E4652" s="4" t="str">
        <f t="shared" si="381"/>
        <v>Huyện Yên Khánh</v>
      </c>
      <c r="F4652" s="3" t="s">
        <v>5415</v>
      </c>
      <c r="G4652" s="4" t="str">
        <f>HYPERLINK("https://diaocthongthai.com/xa-khanh-cong-yen-khanh/","Xã Khánh Công")</f>
        <v>Xã Khánh Công</v>
      </c>
    </row>
    <row r="4653" spans="1:7" x14ac:dyDescent="0.25">
      <c r="A4653" s="2">
        <v>4652</v>
      </c>
      <c r="B4653" s="3" t="s">
        <v>27</v>
      </c>
      <c r="C4653" s="4" t="str">
        <f t="shared" si="382"/>
        <v>Ninh Bình</v>
      </c>
      <c r="D4653" s="3" t="s">
        <v>328</v>
      </c>
      <c r="E4653" s="4" t="str">
        <f t="shared" si="381"/>
        <v>Huyện Yên Khánh</v>
      </c>
      <c r="F4653" s="3" t="s">
        <v>5416</v>
      </c>
      <c r="G4653" s="4" t="str">
        <f>HYPERLINK("https://diaocthongthai.com/xa-khanh-thanh-yen-khanh/","Xã Khánh Thành")</f>
        <v>Xã Khánh Thành</v>
      </c>
    </row>
    <row r="4654" spans="1:7" x14ac:dyDescent="0.25">
      <c r="A4654" s="2">
        <v>4653</v>
      </c>
      <c r="B4654" s="3" t="s">
        <v>27</v>
      </c>
      <c r="C4654" s="4" t="str">
        <f t="shared" si="382"/>
        <v>Ninh Bình</v>
      </c>
      <c r="D4654" s="3" t="s">
        <v>328</v>
      </c>
      <c r="E4654" s="4" t="str">
        <f t="shared" si="381"/>
        <v>Huyện Yên Khánh</v>
      </c>
      <c r="F4654" s="3" t="s">
        <v>5417</v>
      </c>
      <c r="G4654" s="4" t="str">
        <f>HYPERLINK("https://diaocthongthai.com/xa-khanh-nhac-yen-khanh/","Xã Khánh Nhạc")</f>
        <v>Xã Khánh Nhạc</v>
      </c>
    </row>
    <row r="4655" spans="1:7" x14ac:dyDescent="0.25">
      <c r="A4655" s="2">
        <v>4654</v>
      </c>
      <c r="B4655" s="3" t="s">
        <v>27</v>
      </c>
      <c r="C4655" s="4" t="str">
        <f t="shared" si="382"/>
        <v>Ninh Bình</v>
      </c>
      <c r="D4655" s="3" t="s">
        <v>328</v>
      </c>
      <c r="E4655" s="4" t="str">
        <f t="shared" si="381"/>
        <v>Huyện Yên Khánh</v>
      </c>
      <c r="F4655" s="3" t="s">
        <v>5418</v>
      </c>
      <c r="G4655" s="4" t="str">
        <f>HYPERLINK("https://diaocthongthai.com/xa-khanh-thuy-yen-khanh/","Xã Khánh Thủy")</f>
        <v>Xã Khánh Thủy</v>
      </c>
    </row>
    <row r="4656" spans="1:7" x14ac:dyDescent="0.25">
      <c r="A4656" s="2">
        <v>4655</v>
      </c>
      <c r="B4656" s="3" t="s">
        <v>27</v>
      </c>
      <c r="C4656" s="4" t="str">
        <f t="shared" si="382"/>
        <v>Ninh Bình</v>
      </c>
      <c r="D4656" s="3" t="s">
        <v>328</v>
      </c>
      <c r="E4656" s="4" t="str">
        <f t="shared" si="381"/>
        <v>Huyện Yên Khánh</v>
      </c>
      <c r="F4656" s="3" t="s">
        <v>5419</v>
      </c>
      <c r="G4656" s="4" t="str">
        <f>HYPERLINK("https://diaocthongthai.com/xa-khanh-hong-yen-khanh/","Xã Khánh Hồng")</f>
        <v>Xã Khánh Hồng</v>
      </c>
    </row>
    <row r="4657" spans="1:7" x14ac:dyDescent="0.25">
      <c r="A4657" s="2">
        <v>4656</v>
      </c>
      <c r="B4657" s="3" t="s">
        <v>27</v>
      </c>
      <c r="C4657" s="4" t="str">
        <f t="shared" si="382"/>
        <v>Ninh Bình</v>
      </c>
      <c r="D4657" s="3" t="s">
        <v>329</v>
      </c>
      <c r="E4657" s="4" t="str">
        <f t="shared" ref="E4657:E4681" si="383">HYPERLINK("https://diaocthongthai.com/ban-do-huyen-kim-son-ninh-binh/","Huyện Kim Sơn")</f>
        <v>Huyện Kim Sơn</v>
      </c>
      <c r="F4657" s="3" t="s">
        <v>5420</v>
      </c>
      <c r="G4657" s="4" t="str">
        <f>HYPERLINK("https://diaocthongthai.com/thi-tran-phat-diem-kim-son/","Thị trấn Phát Diệm")</f>
        <v>Thị trấn Phát Diệm</v>
      </c>
    </row>
    <row r="4658" spans="1:7" x14ac:dyDescent="0.25">
      <c r="A4658" s="2">
        <v>4657</v>
      </c>
      <c r="B4658" s="3" t="s">
        <v>27</v>
      </c>
      <c r="C4658" s="4" t="str">
        <f t="shared" si="382"/>
        <v>Ninh Bình</v>
      </c>
      <c r="D4658" s="3" t="s">
        <v>329</v>
      </c>
      <c r="E4658" s="4" t="str">
        <f t="shared" si="383"/>
        <v>Huyện Kim Sơn</v>
      </c>
      <c r="F4658" s="3" t="s">
        <v>5421</v>
      </c>
      <c r="G4658" s="4" t="str">
        <f>HYPERLINK("https://diaocthongthai.com/thi-tran-binh-minh-kim-son/","Thị trấn Bình Minh")</f>
        <v>Thị trấn Bình Minh</v>
      </c>
    </row>
    <row r="4659" spans="1:7" x14ac:dyDescent="0.25">
      <c r="A4659" s="2">
        <v>4658</v>
      </c>
      <c r="B4659" s="3" t="s">
        <v>27</v>
      </c>
      <c r="C4659" s="4" t="str">
        <f t="shared" si="382"/>
        <v>Ninh Bình</v>
      </c>
      <c r="D4659" s="3" t="s">
        <v>329</v>
      </c>
      <c r="E4659" s="4" t="str">
        <f t="shared" si="383"/>
        <v>Huyện Kim Sơn</v>
      </c>
      <c r="F4659" s="3" t="s">
        <v>5422</v>
      </c>
      <c r="G4659" s="4" t="str">
        <f>HYPERLINK("https://diaocthongthai.com/xa-hoi-ninh-kim-son/","Xã Hồi Ninh")</f>
        <v>Xã Hồi Ninh</v>
      </c>
    </row>
    <row r="4660" spans="1:7" x14ac:dyDescent="0.25">
      <c r="A4660" s="2">
        <v>4659</v>
      </c>
      <c r="B4660" s="3" t="s">
        <v>27</v>
      </c>
      <c r="C4660" s="4" t="str">
        <f t="shared" si="382"/>
        <v>Ninh Bình</v>
      </c>
      <c r="D4660" s="3" t="s">
        <v>329</v>
      </c>
      <c r="E4660" s="4" t="str">
        <f t="shared" si="383"/>
        <v>Huyện Kim Sơn</v>
      </c>
      <c r="F4660" s="3" t="s">
        <v>5423</v>
      </c>
      <c r="G4660" s="4" t="str">
        <f>HYPERLINK("https://diaocthongthai.com/xa-xuan-chinh-kim-son/","Xã Xuân Chính")</f>
        <v>Xã Xuân Chính</v>
      </c>
    </row>
    <row r="4661" spans="1:7" x14ac:dyDescent="0.25">
      <c r="A4661" s="2">
        <v>4660</v>
      </c>
      <c r="B4661" s="3" t="s">
        <v>27</v>
      </c>
      <c r="C4661" s="4" t="str">
        <f t="shared" si="382"/>
        <v>Ninh Bình</v>
      </c>
      <c r="D4661" s="3" t="s">
        <v>329</v>
      </c>
      <c r="E4661" s="4" t="str">
        <f t="shared" si="383"/>
        <v>Huyện Kim Sơn</v>
      </c>
      <c r="F4661" s="3" t="s">
        <v>5424</v>
      </c>
      <c r="G4661" s="4" t="str">
        <f>HYPERLINK("https://diaocthongthai.com/xa-kim-dinh-kim-son/","Xã Kim Định")</f>
        <v>Xã Kim Định</v>
      </c>
    </row>
    <row r="4662" spans="1:7" x14ac:dyDescent="0.25">
      <c r="A4662" s="2">
        <v>4661</v>
      </c>
      <c r="B4662" s="3" t="s">
        <v>27</v>
      </c>
      <c r="C4662" s="4" t="str">
        <f t="shared" si="382"/>
        <v>Ninh Bình</v>
      </c>
      <c r="D4662" s="3" t="s">
        <v>329</v>
      </c>
      <c r="E4662" s="4" t="str">
        <f t="shared" si="383"/>
        <v>Huyện Kim Sơn</v>
      </c>
      <c r="F4662" s="3" t="s">
        <v>5425</v>
      </c>
      <c r="G4662" s="4" t="str">
        <f>HYPERLINK("https://diaocthongthai.com/xa-an-hoa-kim-son/","Xã Ân Hòa")</f>
        <v>Xã Ân Hòa</v>
      </c>
    </row>
    <row r="4663" spans="1:7" x14ac:dyDescent="0.25">
      <c r="A4663" s="2">
        <v>4662</v>
      </c>
      <c r="B4663" s="3" t="s">
        <v>27</v>
      </c>
      <c r="C4663" s="4" t="str">
        <f t="shared" si="382"/>
        <v>Ninh Bình</v>
      </c>
      <c r="D4663" s="3" t="s">
        <v>329</v>
      </c>
      <c r="E4663" s="4" t="str">
        <f t="shared" si="383"/>
        <v>Huyện Kim Sơn</v>
      </c>
      <c r="F4663" s="3" t="s">
        <v>5426</v>
      </c>
      <c r="G4663" s="4" t="str">
        <f>HYPERLINK("https://diaocthongthai.com/xa-hung-tien-kim-son/","Xã Hùng Tiến")</f>
        <v>Xã Hùng Tiến</v>
      </c>
    </row>
    <row r="4664" spans="1:7" x14ac:dyDescent="0.25">
      <c r="A4664" s="2">
        <v>4663</v>
      </c>
      <c r="B4664" s="3" t="s">
        <v>27</v>
      </c>
      <c r="C4664" s="4" t="str">
        <f t="shared" si="382"/>
        <v>Ninh Bình</v>
      </c>
      <c r="D4664" s="3" t="s">
        <v>329</v>
      </c>
      <c r="E4664" s="4" t="str">
        <f t="shared" si="383"/>
        <v>Huyện Kim Sơn</v>
      </c>
      <c r="F4664" s="3" t="s">
        <v>5427</v>
      </c>
      <c r="G4664" s="4" t="str">
        <f>HYPERLINK("https://diaocthongthai.com/xa-quang-thien-kim-son/","Xã Quang Thiện")</f>
        <v>Xã Quang Thiện</v>
      </c>
    </row>
    <row r="4665" spans="1:7" x14ac:dyDescent="0.25">
      <c r="A4665" s="2">
        <v>4664</v>
      </c>
      <c r="B4665" s="3" t="s">
        <v>27</v>
      </c>
      <c r="C4665" s="4" t="str">
        <f t="shared" si="382"/>
        <v>Ninh Bình</v>
      </c>
      <c r="D4665" s="3" t="s">
        <v>329</v>
      </c>
      <c r="E4665" s="4" t="str">
        <f t="shared" si="383"/>
        <v>Huyện Kim Sơn</v>
      </c>
      <c r="F4665" s="3" t="s">
        <v>5428</v>
      </c>
      <c r="G4665" s="4" t="str">
        <f>HYPERLINK("https://diaocthongthai.com/xa-nhu-hoa-kim-son/","Xã Như Hòa")</f>
        <v>Xã Như Hòa</v>
      </c>
    </row>
    <row r="4666" spans="1:7" x14ac:dyDescent="0.25">
      <c r="A4666" s="2">
        <v>4665</v>
      </c>
      <c r="B4666" s="3" t="s">
        <v>27</v>
      </c>
      <c r="C4666" s="4" t="str">
        <f t="shared" si="382"/>
        <v>Ninh Bình</v>
      </c>
      <c r="D4666" s="3" t="s">
        <v>329</v>
      </c>
      <c r="E4666" s="4" t="str">
        <f t="shared" si="383"/>
        <v>Huyện Kim Sơn</v>
      </c>
      <c r="F4666" s="3" t="s">
        <v>5429</v>
      </c>
      <c r="G4666" s="4" t="str">
        <f>HYPERLINK("https://diaocthongthai.com/xa-chat-binh-kim-son/","Xã Chất Bình")</f>
        <v>Xã Chất Bình</v>
      </c>
    </row>
    <row r="4667" spans="1:7" x14ac:dyDescent="0.25">
      <c r="A4667" s="2">
        <v>4666</v>
      </c>
      <c r="B4667" s="3" t="s">
        <v>27</v>
      </c>
      <c r="C4667" s="4" t="str">
        <f t="shared" si="382"/>
        <v>Ninh Bình</v>
      </c>
      <c r="D4667" s="3" t="s">
        <v>329</v>
      </c>
      <c r="E4667" s="4" t="str">
        <f t="shared" si="383"/>
        <v>Huyện Kim Sơn</v>
      </c>
      <c r="F4667" s="3" t="s">
        <v>5430</v>
      </c>
      <c r="G4667" s="4" t="str">
        <f>HYPERLINK("https://diaocthongthai.com/xa-dong-huong-kim-son/","Xã Đồng Hướng")</f>
        <v>Xã Đồng Hướng</v>
      </c>
    </row>
    <row r="4668" spans="1:7" x14ac:dyDescent="0.25">
      <c r="A4668" s="2">
        <v>4667</v>
      </c>
      <c r="B4668" s="3" t="s">
        <v>27</v>
      </c>
      <c r="C4668" s="4" t="str">
        <f t="shared" si="382"/>
        <v>Ninh Bình</v>
      </c>
      <c r="D4668" s="3" t="s">
        <v>329</v>
      </c>
      <c r="E4668" s="4" t="str">
        <f t="shared" si="383"/>
        <v>Huyện Kim Sơn</v>
      </c>
      <c r="F4668" s="3" t="s">
        <v>5431</v>
      </c>
      <c r="G4668" s="4" t="str">
        <f>HYPERLINK("https://diaocthongthai.com/xa-kim-chinh-kim-son/","Xã Kim Chính")</f>
        <v>Xã Kim Chính</v>
      </c>
    </row>
    <row r="4669" spans="1:7" x14ac:dyDescent="0.25">
      <c r="A4669" s="2">
        <v>4668</v>
      </c>
      <c r="B4669" s="3" t="s">
        <v>27</v>
      </c>
      <c r="C4669" s="4" t="str">
        <f t="shared" si="382"/>
        <v>Ninh Bình</v>
      </c>
      <c r="D4669" s="3" t="s">
        <v>329</v>
      </c>
      <c r="E4669" s="4" t="str">
        <f t="shared" si="383"/>
        <v>Huyện Kim Sơn</v>
      </c>
      <c r="F4669" s="3" t="s">
        <v>5432</v>
      </c>
      <c r="G4669" s="4" t="str">
        <f>HYPERLINK("https://diaocthongthai.com/xa-thuong-kiem-kim-son/","Xã Thượng Kiệm")</f>
        <v>Xã Thượng Kiệm</v>
      </c>
    </row>
    <row r="4670" spans="1:7" x14ac:dyDescent="0.25">
      <c r="A4670" s="2">
        <v>4669</v>
      </c>
      <c r="B4670" s="3" t="s">
        <v>27</v>
      </c>
      <c r="C4670" s="4" t="str">
        <f t="shared" si="382"/>
        <v>Ninh Bình</v>
      </c>
      <c r="D4670" s="3" t="s">
        <v>329</v>
      </c>
      <c r="E4670" s="4" t="str">
        <f t="shared" si="383"/>
        <v>Huyện Kim Sơn</v>
      </c>
      <c r="F4670" s="3" t="s">
        <v>5433</v>
      </c>
      <c r="G4670" s="4" t="str">
        <f>HYPERLINK("https://diaocthongthai.com/xa-luu-phuong-kim-son/","Xã Lưu Phương")</f>
        <v>Xã Lưu Phương</v>
      </c>
    </row>
    <row r="4671" spans="1:7" x14ac:dyDescent="0.25">
      <c r="A4671" s="2">
        <v>4670</v>
      </c>
      <c r="B4671" s="3" t="s">
        <v>27</v>
      </c>
      <c r="C4671" s="4" t="str">
        <f t="shared" si="382"/>
        <v>Ninh Bình</v>
      </c>
      <c r="D4671" s="3" t="s">
        <v>329</v>
      </c>
      <c r="E4671" s="4" t="str">
        <f t="shared" si="383"/>
        <v>Huyện Kim Sơn</v>
      </c>
      <c r="F4671" s="3" t="s">
        <v>5434</v>
      </c>
      <c r="G4671" s="4" t="str">
        <f>HYPERLINK("https://diaocthongthai.com/xa-tan-thanh-kim-son/","Xã Tân Thành")</f>
        <v>Xã Tân Thành</v>
      </c>
    </row>
    <row r="4672" spans="1:7" x14ac:dyDescent="0.25">
      <c r="A4672" s="2">
        <v>4671</v>
      </c>
      <c r="B4672" s="3" t="s">
        <v>27</v>
      </c>
      <c r="C4672" s="4" t="str">
        <f t="shared" si="382"/>
        <v>Ninh Bình</v>
      </c>
      <c r="D4672" s="3" t="s">
        <v>329</v>
      </c>
      <c r="E4672" s="4" t="str">
        <f t="shared" si="383"/>
        <v>Huyện Kim Sơn</v>
      </c>
      <c r="F4672" s="3" t="s">
        <v>5435</v>
      </c>
      <c r="G4672" s="4" t="str">
        <f>HYPERLINK("https://diaocthongthai.com/xa-yen-loc-kim-son/","Xã Yên Lộc")</f>
        <v>Xã Yên Lộc</v>
      </c>
    </row>
    <row r="4673" spans="1:7" x14ac:dyDescent="0.25">
      <c r="A4673" s="2">
        <v>4672</v>
      </c>
      <c r="B4673" s="3" t="s">
        <v>27</v>
      </c>
      <c r="C4673" s="4" t="str">
        <f t="shared" si="382"/>
        <v>Ninh Bình</v>
      </c>
      <c r="D4673" s="3" t="s">
        <v>329</v>
      </c>
      <c r="E4673" s="4" t="str">
        <f t="shared" si="383"/>
        <v>Huyện Kim Sơn</v>
      </c>
      <c r="F4673" s="3" t="s">
        <v>5436</v>
      </c>
      <c r="G4673" s="4" t="str">
        <f>HYPERLINK("https://diaocthongthai.com/xa-lai-thanh-kim-son/","Xã Lai Thành")</f>
        <v>Xã Lai Thành</v>
      </c>
    </row>
    <row r="4674" spans="1:7" x14ac:dyDescent="0.25">
      <c r="A4674" s="2">
        <v>4673</v>
      </c>
      <c r="B4674" s="3" t="s">
        <v>27</v>
      </c>
      <c r="C4674" s="4" t="str">
        <f t="shared" si="382"/>
        <v>Ninh Bình</v>
      </c>
      <c r="D4674" s="3" t="s">
        <v>329</v>
      </c>
      <c r="E4674" s="4" t="str">
        <f t="shared" si="383"/>
        <v>Huyện Kim Sơn</v>
      </c>
      <c r="F4674" s="3" t="s">
        <v>5437</v>
      </c>
      <c r="G4674" s="4" t="str">
        <f>HYPERLINK("https://diaocthongthai.com/xa-dinh-hoa-kim-son/","Xã Định Hóa")</f>
        <v>Xã Định Hóa</v>
      </c>
    </row>
    <row r="4675" spans="1:7" x14ac:dyDescent="0.25">
      <c r="A4675" s="2">
        <v>4674</v>
      </c>
      <c r="B4675" s="3" t="s">
        <v>27</v>
      </c>
      <c r="C4675" s="4" t="str">
        <f t="shared" si="382"/>
        <v>Ninh Bình</v>
      </c>
      <c r="D4675" s="3" t="s">
        <v>329</v>
      </c>
      <c r="E4675" s="4" t="str">
        <f t="shared" si="383"/>
        <v>Huyện Kim Sơn</v>
      </c>
      <c r="F4675" s="3" t="s">
        <v>5438</v>
      </c>
      <c r="G4675" s="4" t="str">
        <f>HYPERLINK("https://diaocthongthai.com/xa-van-hai-kim-son/","Xã Văn Hải")</f>
        <v>Xã Văn Hải</v>
      </c>
    </row>
    <row r="4676" spans="1:7" x14ac:dyDescent="0.25">
      <c r="A4676" s="2">
        <v>4675</v>
      </c>
      <c r="B4676" s="3" t="s">
        <v>27</v>
      </c>
      <c r="C4676" s="4" t="str">
        <f t="shared" si="382"/>
        <v>Ninh Bình</v>
      </c>
      <c r="D4676" s="3" t="s">
        <v>329</v>
      </c>
      <c r="E4676" s="4" t="str">
        <f t="shared" si="383"/>
        <v>Huyện Kim Sơn</v>
      </c>
      <c r="F4676" s="3" t="s">
        <v>5439</v>
      </c>
      <c r="G4676" s="4" t="str">
        <f>HYPERLINK("https://diaocthongthai.com/xa-kim-tan-kim-son/","Xã Kim Tân")</f>
        <v>Xã Kim Tân</v>
      </c>
    </row>
    <row r="4677" spans="1:7" x14ac:dyDescent="0.25">
      <c r="A4677" s="2">
        <v>4676</v>
      </c>
      <c r="B4677" s="3" t="s">
        <v>27</v>
      </c>
      <c r="C4677" s="4" t="str">
        <f t="shared" si="382"/>
        <v>Ninh Bình</v>
      </c>
      <c r="D4677" s="3" t="s">
        <v>329</v>
      </c>
      <c r="E4677" s="4" t="str">
        <f t="shared" si="383"/>
        <v>Huyện Kim Sơn</v>
      </c>
      <c r="F4677" s="3" t="s">
        <v>5440</v>
      </c>
      <c r="G4677" s="4" t="str">
        <f>HYPERLINK("https://diaocthongthai.com/xa-kim-my-kim-son/","Xã Kim Mỹ")</f>
        <v>Xã Kim Mỹ</v>
      </c>
    </row>
    <row r="4678" spans="1:7" x14ac:dyDescent="0.25">
      <c r="A4678" s="2">
        <v>4677</v>
      </c>
      <c r="B4678" s="3" t="s">
        <v>27</v>
      </c>
      <c r="C4678" s="4" t="str">
        <f t="shared" si="382"/>
        <v>Ninh Bình</v>
      </c>
      <c r="D4678" s="3" t="s">
        <v>329</v>
      </c>
      <c r="E4678" s="4" t="str">
        <f t="shared" si="383"/>
        <v>Huyện Kim Sơn</v>
      </c>
      <c r="F4678" s="3" t="s">
        <v>5441</v>
      </c>
      <c r="G4678" s="4" t="str">
        <f>HYPERLINK("https://diaocthongthai.com/xa-con-thoi-kim-son/","Xã Cồn Thoi")</f>
        <v>Xã Cồn Thoi</v>
      </c>
    </row>
    <row r="4679" spans="1:7" x14ac:dyDescent="0.25">
      <c r="A4679" s="2">
        <v>4678</v>
      </c>
      <c r="B4679" s="3" t="s">
        <v>27</v>
      </c>
      <c r="C4679" s="4" t="str">
        <f t="shared" si="382"/>
        <v>Ninh Bình</v>
      </c>
      <c r="D4679" s="3" t="s">
        <v>329</v>
      </c>
      <c r="E4679" s="4" t="str">
        <f t="shared" si="383"/>
        <v>Huyện Kim Sơn</v>
      </c>
      <c r="F4679" s="3" t="s">
        <v>5442</v>
      </c>
      <c r="G4679" s="4" t="str">
        <f>HYPERLINK("https://diaocthongthai.com/xa-kim-hai-kim-son/","Xã Kim Hải")</f>
        <v>Xã Kim Hải</v>
      </c>
    </row>
    <row r="4680" spans="1:7" x14ac:dyDescent="0.25">
      <c r="A4680" s="2">
        <v>4679</v>
      </c>
      <c r="B4680" s="3" t="s">
        <v>27</v>
      </c>
      <c r="C4680" s="4" t="str">
        <f t="shared" si="382"/>
        <v>Ninh Bình</v>
      </c>
      <c r="D4680" s="3" t="s">
        <v>329</v>
      </c>
      <c r="E4680" s="4" t="str">
        <f t="shared" si="383"/>
        <v>Huyện Kim Sơn</v>
      </c>
      <c r="F4680" s="3" t="s">
        <v>5443</v>
      </c>
      <c r="G4680" s="4" t="str">
        <f>HYPERLINK("https://diaocthongthai.com/xa-kim-trung-kim-son/","Xã Kim Trung")</f>
        <v>Xã Kim Trung</v>
      </c>
    </row>
    <row r="4681" spans="1:7" x14ac:dyDescent="0.25">
      <c r="A4681" s="2">
        <v>4680</v>
      </c>
      <c r="B4681" s="3" t="s">
        <v>27</v>
      </c>
      <c r="C4681" s="4" t="str">
        <f t="shared" si="382"/>
        <v>Ninh Bình</v>
      </c>
      <c r="D4681" s="3" t="s">
        <v>329</v>
      </c>
      <c r="E4681" s="4" t="str">
        <f t="shared" si="383"/>
        <v>Huyện Kim Sơn</v>
      </c>
      <c r="F4681" s="3" t="s">
        <v>5444</v>
      </c>
      <c r="G4681" s="4" t="str">
        <f>HYPERLINK("https://diaocthongthai.com/xa-kim-dong-kim-son/","Xã Kim Đông")</f>
        <v>Xã Kim Đông</v>
      </c>
    </row>
    <row r="4682" spans="1:7" x14ac:dyDescent="0.25">
      <c r="A4682" s="2">
        <v>4681</v>
      </c>
      <c r="B4682" s="3" t="s">
        <v>27</v>
      </c>
      <c r="C4682" s="4" t="str">
        <f t="shared" si="382"/>
        <v>Ninh Bình</v>
      </c>
      <c r="D4682" s="3" t="s">
        <v>330</v>
      </c>
      <c r="E4682" s="4" t="str">
        <f t="shared" ref="E4682:E4698" si="384">HYPERLINK("https://diaocthongthai.com/ban-do-huyen-yen-mo-ninh-binh/","Huyện Yên Mô")</f>
        <v>Huyện Yên Mô</v>
      </c>
      <c r="F4682" s="3" t="s">
        <v>5445</v>
      </c>
      <c r="G4682" s="4" t="str">
        <f>HYPERLINK("https://diaocthongthai.com/thi-tran-yen-thinh-yen-mo/","Thị trấn Yên Thịnh")</f>
        <v>Thị trấn Yên Thịnh</v>
      </c>
    </row>
    <row r="4683" spans="1:7" x14ac:dyDescent="0.25">
      <c r="A4683" s="2">
        <v>4682</v>
      </c>
      <c r="B4683" s="3" t="s">
        <v>27</v>
      </c>
      <c r="C4683" s="4" t="str">
        <f t="shared" si="382"/>
        <v>Ninh Bình</v>
      </c>
      <c r="D4683" s="3" t="s">
        <v>330</v>
      </c>
      <c r="E4683" s="4" t="str">
        <f t="shared" si="384"/>
        <v>Huyện Yên Mô</v>
      </c>
      <c r="F4683" s="3" t="s">
        <v>5446</v>
      </c>
      <c r="G4683" s="4" t="str">
        <f>HYPERLINK("https://diaocthongthai.com/xa-khanh-thuong-yen-mo/","Xã Khánh Thượng")</f>
        <v>Xã Khánh Thượng</v>
      </c>
    </row>
    <row r="4684" spans="1:7" x14ac:dyDescent="0.25">
      <c r="A4684" s="2">
        <v>4683</v>
      </c>
      <c r="B4684" s="3" t="s">
        <v>27</v>
      </c>
      <c r="C4684" s="4" t="str">
        <f t="shared" ref="C4684:C4698" si="385">HYPERLINK("https://diaocthongthai.com/ban-do-ninh-binh/","Ninh Bình")</f>
        <v>Ninh Bình</v>
      </c>
      <c r="D4684" s="3" t="s">
        <v>330</v>
      </c>
      <c r="E4684" s="4" t="str">
        <f t="shared" si="384"/>
        <v>Huyện Yên Mô</v>
      </c>
      <c r="F4684" s="3" t="s">
        <v>5447</v>
      </c>
      <c r="G4684" s="4" t="str">
        <f>HYPERLINK("https://diaocthongthai.com/xa-khanh-duong-yen-mo/","Xã Khánh Dương")</f>
        <v>Xã Khánh Dương</v>
      </c>
    </row>
    <row r="4685" spans="1:7" x14ac:dyDescent="0.25">
      <c r="A4685" s="2">
        <v>4684</v>
      </c>
      <c r="B4685" s="3" t="s">
        <v>27</v>
      </c>
      <c r="C4685" s="4" t="str">
        <f t="shared" si="385"/>
        <v>Ninh Bình</v>
      </c>
      <c r="D4685" s="3" t="s">
        <v>330</v>
      </c>
      <c r="E4685" s="4" t="str">
        <f t="shared" si="384"/>
        <v>Huyện Yên Mô</v>
      </c>
      <c r="F4685" s="3" t="s">
        <v>5448</v>
      </c>
      <c r="G4685" s="4" t="str">
        <f>HYPERLINK("https://diaocthongthai.com/xa-mai-son-yen-mo/","Xã Mai Sơn")</f>
        <v>Xã Mai Sơn</v>
      </c>
    </row>
    <row r="4686" spans="1:7" x14ac:dyDescent="0.25">
      <c r="A4686" s="2">
        <v>4685</v>
      </c>
      <c r="B4686" s="3" t="s">
        <v>27</v>
      </c>
      <c r="C4686" s="4" t="str">
        <f t="shared" si="385"/>
        <v>Ninh Bình</v>
      </c>
      <c r="D4686" s="3" t="s">
        <v>330</v>
      </c>
      <c r="E4686" s="4" t="str">
        <f t="shared" si="384"/>
        <v>Huyện Yên Mô</v>
      </c>
      <c r="F4686" s="3" t="s">
        <v>5449</v>
      </c>
      <c r="G4686" s="4" t="str">
        <f>HYPERLINK("https://diaocthongthai.com/xa-khanh-thinh-yen-mo/","Xã Khánh Thịnh")</f>
        <v>Xã Khánh Thịnh</v>
      </c>
    </row>
    <row r="4687" spans="1:7" x14ac:dyDescent="0.25">
      <c r="A4687" s="2">
        <v>4686</v>
      </c>
      <c r="B4687" s="3" t="s">
        <v>27</v>
      </c>
      <c r="C4687" s="4" t="str">
        <f t="shared" si="385"/>
        <v>Ninh Bình</v>
      </c>
      <c r="D4687" s="3" t="s">
        <v>330</v>
      </c>
      <c r="E4687" s="4" t="str">
        <f t="shared" si="384"/>
        <v>Huyện Yên Mô</v>
      </c>
      <c r="F4687" s="3" t="s">
        <v>5450</v>
      </c>
      <c r="G4687" s="4" t="str">
        <f>HYPERLINK("https://diaocthongthai.com/xa-yen-phong-yen-mo/","Xã Yên Phong")</f>
        <v>Xã Yên Phong</v>
      </c>
    </row>
    <row r="4688" spans="1:7" x14ac:dyDescent="0.25">
      <c r="A4688" s="2">
        <v>4687</v>
      </c>
      <c r="B4688" s="3" t="s">
        <v>27</v>
      </c>
      <c r="C4688" s="4" t="str">
        <f t="shared" si="385"/>
        <v>Ninh Bình</v>
      </c>
      <c r="D4688" s="3" t="s">
        <v>330</v>
      </c>
      <c r="E4688" s="4" t="str">
        <f t="shared" si="384"/>
        <v>Huyện Yên Mô</v>
      </c>
      <c r="F4688" s="3" t="s">
        <v>5451</v>
      </c>
      <c r="G4688" s="4" t="str">
        <f>HYPERLINK("https://diaocthongthai.com/xa-yen-hoa-yen-mo/","Xã Yên Hòa")</f>
        <v>Xã Yên Hòa</v>
      </c>
    </row>
    <row r="4689" spans="1:7" x14ac:dyDescent="0.25">
      <c r="A4689" s="2">
        <v>4688</v>
      </c>
      <c r="B4689" s="3" t="s">
        <v>27</v>
      </c>
      <c r="C4689" s="4" t="str">
        <f t="shared" si="385"/>
        <v>Ninh Bình</v>
      </c>
      <c r="D4689" s="3" t="s">
        <v>330</v>
      </c>
      <c r="E4689" s="4" t="str">
        <f t="shared" si="384"/>
        <v>Huyện Yên Mô</v>
      </c>
      <c r="F4689" s="3" t="s">
        <v>5452</v>
      </c>
      <c r="G4689" s="4" t="str">
        <f>HYPERLINK("https://diaocthongthai.com/xa-yen-thang-yen-mo/","Xã Yên Thắng")</f>
        <v>Xã Yên Thắng</v>
      </c>
    </row>
    <row r="4690" spans="1:7" x14ac:dyDescent="0.25">
      <c r="A4690" s="2">
        <v>4689</v>
      </c>
      <c r="B4690" s="3" t="s">
        <v>27</v>
      </c>
      <c r="C4690" s="4" t="str">
        <f t="shared" si="385"/>
        <v>Ninh Bình</v>
      </c>
      <c r="D4690" s="3" t="s">
        <v>330</v>
      </c>
      <c r="E4690" s="4" t="str">
        <f t="shared" si="384"/>
        <v>Huyện Yên Mô</v>
      </c>
      <c r="F4690" s="3" t="s">
        <v>5453</v>
      </c>
      <c r="G4690" s="4" t="str">
        <f>HYPERLINK("https://diaocthongthai.com/xa-yen-tu-yen-mo/","Xã Yên Từ")</f>
        <v>Xã Yên Từ</v>
      </c>
    </row>
    <row r="4691" spans="1:7" x14ac:dyDescent="0.25">
      <c r="A4691" s="2">
        <v>4690</v>
      </c>
      <c r="B4691" s="3" t="s">
        <v>27</v>
      </c>
      <c r="C4691" s="4" t="str">
        <f t="shared" si="385"/>
        <v>Ninh Bình</v>
      </c>
      <c r="D4691" s="3" t="s">
        <v>330</v>
      </c>
      <c r="E4691" s="4" t="str">
        <f t="shared" si="384"/>
        <v>Huyện Yên Mô</v>
      </c>
      <c r="F4691" s="3" t="s">
        <v>5454</v>
      </c>
      <c r="G4691" s="4" t="str">
        <f>HYPERLINK("https://diaocthongthai.com/xa-yen-hung-yen-mo/","Xã Yên Hưng")</f>
        <v>Xã Yên Hưng</v>
      </c>
    </row>
    <row r="4692" spans="1:7" x14ac:dyDescent="0.25">
      <c r="A4692" s="2">
        <v>4691</v>
      </c>
      <c r="B4692" s="3" t="s">
        <v>27</v>
      </c>
      <c r="C4692" s="4" t="str">
        <f t="shared" si="385"/>
        <v>Ninh Bình</v>
      </c>
      <c r="D4692" s="3" t="s">
        <v>330</v>
      </c>
      <c r="E4692" s="4" t="str">
        <f t="shared" si="384"/>
        <v>Huyện Yên Mô</v>
      </c>
      <c r="F4692" s="3" t="s">
        <v>5455</v>
      </c>
      <c r="G4692" s="4" t="str">
        <f>HYPERLINK("https://diaocthongthai.com/xa-yen-thanh-yen-mo/","Xã Yên Thành")</f>
        <v>Xã Yên Thành</v>
      </c>
    </row>
    <row r="4693" spans="1:7" x14ac:dyDescent="0.25">
      <c r="A4693" s="2">
        <v>4692</v>
      </c>
      <c r="B4693" s="3" t="s">
        <v>27</v>
      </c>
      <c r="C4693" s="4" t="str">
        <f t="shared" si="385"/>
        <v>Ninh Bình</v>
      </c>
      <c r="D4693" s="3" t="s">
        <v>330</v>
      </c>
      <c r="E4693" s="4" t="str">
        <f t="shared" si="384"/>
        <v>Huyện Yên Mô</v>
      </c>
      <c r="F4693" s="3" t="s">
        <v>5456</v>
      </c>
      <c r="G4693" s="4" t="str">
        <f>HYPERLINK("https://diaocthongthai.com/xa-yen-nhan-yen-mo/","Xã Yên Nhân")</f>
        <v>Xã Yên Nhân</v>
      </c>
    </row>
    <row r="4694" spans="1:7" x14ac:dyDescent="0.25">
      <c r="A4694" s="2">
        <v>4693</v>
      </c>
      <c r="B4694" s="3" t="s">
        <v>27</v>
      </c>
      <c r="C4694" s="4" t="str">
        <f t="shared" si="385"/>
        <v>Ninh Bình</v>
      </c>
      <c r="D4694" s="3" t="s">
        <v>330</v>
      </c>
      <c r="E4694" s="4" t="str">
        <f t="shared" si="384"/>
        <v>Huyện Yên Mô</v>
      </c>
      <c r="F4694" s="3" t="s">
        <v>5457</v>
      </c>
      <c r="G4694" s="4" t="str">
        <f>HYPERLINK("https://diaocthongthai.com/xa-yen-my-yen-mo/","Xã Yên Mỹ")</f>
        <v>Xã Yên Mỹ</v>
      </c>
    </row>
    <row r="4695" spans="1:7" x14ac:dyDescent="0.25">
      <c r="A4695" s="2">
        <v>4694</v>
      </c>
      <c r="B4695" s="3" t="s">
        <v>27</v>
      </c>
      <c r="C4695" s="4" t="str">
        <f t="shared" si="385"/>
        <v>Ninh Bình</v>
      </c>
      <c r="D4695" s="3" t="s">
        <v>330</v>
      </c>
      <c r="E4695" s="4" t="str">
        <f t="shared" si="384"/>
        <v>Huyện Yên Mô</v>
      </c>
      <c r="F4695" s="3" t="s">
        <v>5458</v>
      </c>
      <c r="G4695" s="4" t="str">
        <f>HYPERLINK("https://diaocthongthai.com/xa-yen-mac-yen-mo/","Xã Yên Mạc")</f>
        <v>Xã Yên Mạc</v>
      </c>
    </row>
    <row r="4696" spans="1:7" x14ac:dyDescent="0.25">
      <c r="A4696" s="2">
        <v>4695</v>
      </c>
      <c r="B4696" s="3" t="s">
        <v>27</v>
      </c>
      <c r="C4696" s="4" t="str">
        <f t="shared" si="385"/>
        <v>Ninh Bình</v>
      </c>
      <c r="D4696" s="3" t="s">
        <v>330</v>
      </c>
      <c r="E4696" s="4" t="str">
        <f t="shared" si="384"/>
        <v>Huyện Yên Mô</v>
      </c>
      <c r="F4696" s="3" t="s">
        <v>5459</v>
      </c>
      <c r="G4696" s="4" t="str">
        <f>HYPERLINK("https://diaocthongthai.com/xa-yen-dong-yen-mo/","Xã Yên Đồng")</f>
        <v>Xã Yên Đồng</v>
      </c>
    </row>
    <row r="4697" spans="1:7" x14ac:dyDescent="0.25">
      <c r="A4697" s="2">
        <v>4696</v>
      </c>
      <c r="B4697" s="3" t="s">
        <v>27</v>
      </c>
      <c r="C4697" s="4" t="str">
        <f t="shared" si="385"/>
        <v>Ninh Bình</v>
      </c>
      <c r="D4697" s="3" t="s">
        <v>330</v>
      </c>
      <c r="E4697" s="4" t="str">
        <f t="shared" si="384"/>
        <v>Huyện Yên Mô</v>
      </c>
      <c r="F4697" s="3" t="s">
        <v>5460</v>
      </c>
      <c r="G4697" s="4" t="str">
        <f>HYPERLINK("https://diaocthongthai.com/xa-yen-thai-yen-mo/","Xã Yên Thái")</f>
        <v>Xã Yên Thái</v>
      </c>
    </row>
    <row r="4698" spans="1:7" x14ac:dyDescent="0.25">
      <c r="A4698" s="2">
        <v>4697</v>
      </c>
      <c r="B4698" s="3" t="s">
        <v>27</v>
      </c>
      <c r="C4698" s="4" t="str">
        <f t="shared" si="385"/>
        <v>Ninh Bình</v>
      </c>
      <c r="D4698" s="3" t="s">
        <v>330</v>
      </c>
      <c r="E4698" s="4" t="str">
        <f t="shared" si="384"/>
        <v>Huyện Yên Mô</v>
      </c>
      <c r="F4698" s="3" t="s">
        <v>5461</v>
      </c>
      <c r="G4698" s="4" t="str">
        <f>HYPERLINK("https://diaocthongthai.com/xa-yen-lam-yen-mo/","Xã Yên Lâm")</f>
        <v>Xã Yên Lâm</v>
      </c>
    </row>
    <row r="4699" spans="1:7" x14ac:dyDescent="0.25">
      <c r="A4699" s="2">
        <v>4698</v>
      </c>
      <c r="B4699" s="3" t="s">
        <v>28</v>
      </c>
      <c r="C4699" s="4" t="str">
        <f t="shared" ref="C4699:C4762" si="386">HYPERLINK("https://diaocthongthai.com/ban-do-thanh-hoa/","Thanh Hóa")</f>
        <v>Thanh Hóa</v>
      </c>
      <c r="D4699" s="3" t="s">
        <v>331</v>
      </c>
      <c r="E4699" s="4" t="str">
        <f t="shared" ref="E4699:E4732" si="387">HYPERLINK("https://diaocthongthai.com/ban-do-tp-thanh-hoa-thanh-hoa/","Thành phố Thanh Hóa")</f>
        <v>Thành phố Thanh Hóa</v>
      </c>
      <c r="F4699" s="3" t="s">
        <v>5462</v>
      </c>
      <c r="G4699" s="4" t="str">
        <f>HYPERLINK("https://diaocthongthai.com/phuong-ham-rong-tp-thanh-hoa/","Phường Hàm Rồng")</f>
        <v>Phường Hàm Rồng</v>
      </c>
    </row>
    <row r="4700" spans="1:7" x14ac:dyDescent="0.25">
      <c r="A4700" s="2">
        <v>4699</v>
      </c>
      <c r="B4700" s="3" t="s">
        <v>28</v>
      </c>
      <c r="C4700" s="4" t="str">
        <f t="shared" si="386"/>
        <v>Thanh Hóa</v>
      </c>
      <c r="D4700" s="3" t="s">
        <v>331</v>
      </c>
      <c r="E4700" s="4" t="str">
        <f t="shared" si="387"/>
        <v>Thành phố Thanh Hóa</v>
      </c>
      <c r="F4700" s="3" t="s">
        <v>5463</v>
      </c>
      <c r="G4700" s="4" t="str">
        <f>HYPERLINK("https://diaocthongthai.com/phuong-dong-tho-tp-thanh-hoa/","Phường Đông Thọ")</f>
        <v>Phường Đông Thọ</v>
      </c>
    </row>
    <row r="4701" spans="1:7" x14ac:dyDescent="0.25">
      <c r="A4701" s="2">
        <v>4700</v>
      </c>
      <c r="B4701" s="3" t="s">
        <v>28</v>
      </c>
      <c r="C4701" s="4" t="str">
        <f t="shared" si="386"/>
        <v>Thanh Hóa</v>
      </c>
      <c r="D4701" s="3" t="s">
        <v>331</v>
      </c>
      <c r="E4701" s="4" t="str">
        <f t="shared" si="387"/>
        <v>Thành phố Thanh Hóa</v>
      </c>
      <c r="F4701" s="3" t="s">
        <v>5464</v>
      </c>
      <c r="G4701" s="4" t="str">
        <f>HYPERLINK("https://diaocthongthai.com/phuong-nam-ngan-tp-thanh-hoa/","Phường Nam Ngạn")</f>
        <v>Phường Nam Ngạn</v>
      </c>
    </row>
    <row r="4702" spans="1:7" x14ac:dyDescent="0.25">
      <c r="A4702" s="2">
        <v>4701</v>
      </c>
      <c r="B4702" s="3" t="s">
        <v>28</v>
      </c>
      <c r="C4702" s="4" t="str">
        <f t="shared" si="386"/>
        <v>Thanh Hóa</v>
      </c>
      <c r="D4702" s="3" t="s">
        <v>331</v>
      </c>
      <c r="E4702" s="4" t="str">
        <f t="shared" si="387"/>
        <v>Thành phố Thanh Hóa</v>
      </c>
      <c r="F4702" s="3" t="s">
        <v>5465</v>
      </c>
      <c r="G4702" s="4" t="str">
        <f>HYPERLINK("https://diaocthongthai.com/phuong-truong-thi-tp-thanh-hoa/","Phường Trường Thi")</f>
        <v>Phường Trường Thi</v>
      </c>
    </row>
    <row r="4703" spans="1:7" x14ac:dyDescent="0.25">
      <c r="A4703" s="2">
        <v>4702</v>
      </c>
      <c r="B4703" s="3" t="s">
        <v>28</v>
      </c>
      <c r="C4703" s="4" t="str">
        <f t="shared" si="386"/>
        <v>Thanh Hóa</v>
      </c>
      <c r="D4703" s="3" t="s">
        <v>331</v>
      </c>
      <c r="E4703" s="4" t="str">
        <f t="shared" si="387"/>
        <v>Thành phố Thanh Hóa</v>
      </c>
      <c r="F4703" s="3" t="s">
        <v>5466</v>
      </c>
      <c r="G4703" s="4" t="str">
        <f>HYPERLINK("https://diaocthongthai.com/phuong-dien-bien-tp-thanh-hoa/","Phường Điện Biên")</f>
        <v>Phường Điện Biên</v>
      </c>
    </row>
    <row r="4704" spans="1:7" x14ac:dyDescent="0.25">
      <c r="A4704" s="2">
        <v>4703</v>
      </c>
      <c r="B4704" s="3" t="s">
        <v>28</v>
      </c>
      <c r="C4704" s="4" t="str">
        <f t="shared" si="386"/>
        <v>Thanh Hóa</v>
      </c>
      <c r="D4704" s="3" t="s">
        <v>331</v>
      </c>
      <c r="E4704" s="4" t="str">
        <f t="shared" si="387"/>
        <v>Thành phố Thanh Hóa</v>
      </c>
      <c r="F4704" s="3" t="s">
        <v>5467</v>
      </c>
      <c r="G4704" s="4" t="str">
        <f>HYPERLINK("https://diaocthongthai.com/phuong-phu-son-tp-thanh-hoa/","Phường Phú Sơn")</f>
        <v>Phường Phú Sơn</v>
      </c>
    </row>
    <row r="4705" spans="1:7" x14ac:dyDescent="0.25">
      <c r="A4705" s="2">
        <v>4704</v>
      </c>
      <c r="B4705" s="3" t="s">
        <v>28</v>
      </c>
      <c r="C4705" s="4" t="str">
        <f t="shared" si="386"/>
        <v>Thanh Hóa</v>
      </c>
      <c r="D4705" s="3" t="s">
        <v>331</v>
      </c>
      <c r="E4705" s="4" t="str">
        <f t="shared" si="387"/>
        <v>Thành phố Thanh Hóa</v>
      </c>
      <c r="F4705" s="3" t="s">
        <v>5468</v>
      </c>
      <c r="G4705" s="4" t="str">
        <f>HYPERLINK("https://diaocthongthai.com/phuong-lam-son-tp-thanh-hoa/","Phường Lam Sơn")</f>
        <v>Phường Lam Sơn</v>
      </c>
    </row>
    <row r="4706" spans="1:7" x14ac:dyDescent="0.25">
      <c r="A4706" s="2">
        <v>4705</v>
      </c>
      <c r="B4706" s="3" t="s">
        <v>28</v>
      </c>
      <c r="C4706" s="4" t="str">
        <f t="shared" si="386"/>
        <v>Thanh Hóa</v>
      </c>
      <c r="D4706" s="3" t="s">
        <v>331</v>
      </c>
      <c r="E4706" s="4" t="str">
        <f t="shared" si="387"/>
        <v>Thành phố Thanh Hóa</v>
      </c>
      <c r="F4706" s="3" t="s">
        <v>5469</v>
      </c>
      <c r="G4706" s="4" t="str">
        <f>HYPERLINK("https://diaocthongthai.com/phuong-ba-dinh-tp-thanh-hoa/","Phường Ba Đình")</f>
        <v>Phường Ba Đình</v>
      </c>
    </row>
    <row r="4707" spans="1:7" x14ac:dyDescent="0.25">
      <c r="A4707" s="2">
        <v>4706</v>
      </c>
      <c r="B4707" s="3" t="s">
        <v>28</v>
      </c>
      <c r="C4707" s="4" t="str">
        <f t="shared" si="386"/>
        <v>Thanh Hóa</v>
      </c>
      <c r="D4707" s="3" t="s">
        <v>331</v>
      </c>
      <c r="E4707" s="4" t="str">
        <f t="shared" si="387"/>
        <v>Thành phố Thanh Hóa</v>
      </c>
      <c r="F4707" s="3" t="s">
        <v>5470</v>
      </c>
      <c r="G4707" s="4" t="str">
        <f>HYPERLINK("https://diaocthongthai.com/phuong-ngoc-trao-tp-thanh-hoa/","Phường Ngọc Trạo")</f>
        <v>Phường Ngọc Trạo</v>
      </c>
    </row>
    <row r="4708" spans="1:7" x14ac:dyDescent="0.25">
      <c r="A4708" s="2">
        <v>4707</v>
      </c>
      <c r="B4708" s="3" t="s">
        <v>28</v>
      </c>
      <c r="C4708" s="4" t="str">
        <f t="shared" si="386"/>
        <v>Thanh Hóa</v>
      </c>
      <c r="D4708" s="3" t="s">
        <v>331</v>
      </c>
      <c r="E4708" s="4" t="str">
        <f t="shared" si="387"/>
        <v>Thành phố Thanh Hóa</v>
      </c>
      <c r="F4708" s="3" t="s">
        <v>5471</v>
      </c>
      <c r="G4708" s="4" t="str">
        <f>HYPERLINK("https://diaocthongthai.com/phuong-dong-ve-tp-thanh-hoa/","Phường Đông Vệ")</f>
        <v>Phường Đông Vệ</v>
      </c>
    </row>
    <row r="4709" spans="1:7" x14ac:dyDescent="0.25">
      <c r="A4709" s="2">
        <v>4708</v>
      </c>
      <c r="B4709" s="3" t="s">
        <v>28</v>
      </c>
      <c r="C4709" s="4" t="str">
        <f t="shared" si="386"/>
        <v>Thanh Hóa</v>
      </c>
      <c r="D4709" s="3" t="s">
        <v>331</v>
      </c>
      <c r="E4709" s="4" t="str">
        <f t="shared" si="387"/>
        <v>Thành phố Thanh Hóa</v>
      </c>
      <c r="F4709" s="3" t="s">
        <v>5472</v>
      </c>
      <c r="G4709" s="4" t="str">
        <f>HYPERLINK("https://diaocthongthai.com/phuong-dong-son-tp-thanh-hoa/","Phường Đông Sơn")</f>
        <v>Phường Đông Sơn</v>
      </c>
    </row>
    <row r="4710" spans="1:7" x14ac:dyDescent="0.25">
      <c r="A4710" s="2">
        <v>4709</v>
      </c>
      <c r="B4710" s="3" t="s">
        <v>28</v>
      </c>
      <c r="C4710" s="4" t="str">
        <f t="shared" si="386"/>
        <v>Thanh Hóa</v>
      </c>
      <c r="D4710" s="3" t="s">
        <v>331</v>
      </c>
      <c r="E4710" s="4" t="str">
        <f t="shared" si="387"/>
        <v>Thành phố Thanh Hóa</v>
      </c>
      <c r="F4710" s="3" t="s">
        <v>5473</v>
      </c>
      <c r="G4710" s="4" t="str">
        <f>HYPERLINK("https://diaocthongthai.com/phuong-tan-son-tp-thanh-hoa/","Phường Tân Sơn")</f>
        <v>Phường Tân Sơn</v>
      </c>
    </row>
    <row r="4711" spans="1:7" x14ac:dyDescent="0.25">
      <c r="A4711" s="2">
        <v>4710</v>
      </c>
      <c r="B4711" s="3" t="s">
        <v>28</v>
      </c>
      <c r="C4711" s="4" t="str">
        <f t="shared" si="386"/>
        <v>Thanh Hóa</v>
      </c>
      <c r="D4711" s="3" t="s">
        <v>331</v>
      </c>
      <c r="E4711" s="4" t="str">
        <f t="shared" si="387"/>
        <v>Thành phố Thanh Hóa</v>
      </c>
      <c r="F4711" s="3" t="s">
        <v>5474</v>
      </c>
      <c r="G4711" s="4" t="str">
        <f>HYPERLINK("https://diaocthongthai.com/phuong-dong-cuong-tp-thanh-hoa/","Phường Đông Cương")</f>
        <v>Phường Đông Cương</v>
      </c>
    </row>
    <row r="4712" spans="1:7" x14ac:dyDescent="0.25">
      <c r="A4712" s="2">
        <v>4711</v>
      </c>
      <c r="B4712" s="3" t="s">
        <v>28</v>
      </c>
      <c r="C4712" s="4" t="str">
        <f t="shared" si="386"/>
        <v>Thanh Hóa</v>
      </c>
      <c r="D4712" s="3" t="s">
        <v>331</v>
      </c>
      <c r="E4712" s="4" t="str">
        <f t="shared" si="387"/>
        <v>Thành phố Thanh Hóa</v>
      </c>
      <c r="F4712" s="3" t="s">
        <v>5475</v>
      </c>
      <c r="G4712" s="4" t="str">
        <f>HYPERLINK("https://diaocthongthai.com/phuong-dong-huong-tp-thanh-hoa/","Phường Đông Hương")</f>
        <v>Phường Đông Hương</v>
      </c>
    </row>
    <row r="4713" spans="1:7" x14ac:dyDescent="0.25">
      <c r="A4713" s="2">
        <v>4712</v>
      </c>
      <c r="B4713" s="3" t="s">
        <v>28</v>
      </c>
      <c r="C4713" s="4" t="str">
        <f t="shared" si="386"/>
        <v>Thanh Hóa</v>
      </c>
      <c r="D4713" s="3" t="s">
        <v>331</v>
      </c>
      <c r="E4713" s="4" t="str">
        <f t="shared" si="387"/>
        <v>Thành phố Thanh Hóa</v>
      </c>
      <c r="F4713" s="3" t="s">
        <v>5476</v>
      </c>
      <c r="G4713" s="4" t="str">
        <f>HYPERLINK("https://diaocthongthai.com/phuong-dong-hai-tp-thanh-hoa/","Phường Đông Hải")</f>
        <v>Phường Đông Hải</v>
      </c>
    </row>
    <row r="4714" spans="1:7" x14ac:dyDescent="0.25">
      <c r="A4714" s="2">
        <v>4713</v>
      </c>
      <c r="B4714" s="3" t="s">
        <v>28</v>
      </c>
      <c r="C4714" s="4" t="str">
        <f t="shared" si="386"/>
        <v>Thanh Hóa</v>
      </c>
      <c r="D4714" s="3" t="s">
        <v>331</v>
      </c>
      <c r="E4714" s="4" t="str">
        <f t="shared" si="387"/>
        <v>Thành phố Thanh Hóa</v>
      </c>
      <c r="F4714" s="3" t="s">
        <v>5477</v>
      </c>
      <c r="G4714" s="4" t="str">
        <f>HYPERLINK("https://diaocthongthai.com/phuong-quang-hung-tp-thanh-hoa/","Phường Quảng Hưng")</f>
        <v>Phường Quảng Hưng</v>
      </c>
    </row>
    <row r="4715" spans="1:7" x14ac:dyDescent="0.25">
      <c r="A4715" s="2">
        <v>4714</v>
      </c>
      <c r="B4715" s="3" t="s">
        <v>28</v>
      </c>
      <c r="C4715" s="4" t="str">
        <f t="shared" si="386"/>
        <v>Thanh Hóa</v>
      </c>
      <c r="D4715" s="3" t="s">
        <v>331</v>
      </c>
      <c r="E4715" s="4" t="str">
        <f t="shared" si="387"/>
        <v>Thành phố Thanh Hóa</v>
      </c>
      <c r="F4715" s="3" t="s">
        <v>5478</v>
      </c>
      <c r="G4715" s="4" t="str">
        <f>HYPERLINK("https://diaocthongthai.com/phuong-quang-thang-tp-thanh-hoa/","Phường Quảng Thắng")</f>
        <v>Phường Quảng Thắng</v>
      </c>
    </row>
    <row r="4716" spans="1:7" x14ac:dyDescent="0.25">
      <c r="A4716" s="2">
        <v>4715</v>
      </c>
      <c r="B4716" s="3" t="s">
        <v>28</v>
      </c>
      <c r="C4716" s="4" t="str">
        <f t="shared" si="386"/>
        <v>Thanh Hóa</v>
      </c>
      <c r="D4716" s="3" t="s">
        <v>331</v>
      </c>
      <c r="E4716" s="4" t="str">
        <f t="shared" si="387"/>
        <v>Thành phố Thanh Hóa</v>
      </c>
      <c r="F4716" s="3" t="s">
        <v>5479</v>
      </c>
      <c r="G4716" s="4" t="str">
        <f>HYPERLINK("https://diaocthongthai.com/phuong-quang-thanh-tp-thanh-hoa/","Phường Quảng Thành")</f>
        <v>Phường Quảng Thành</v>
      </c>
    </row>
    <row r="4717" spans="1:7" x14ac:dyDescent="0.25">
      <c r="A4717" s="2">
        <v>4716</v>
      </c>
      <c r="B4717" s="3" t="s">
        <v>28</v>
      </c>
      <c r="C4717" s="4" t="str">
        <f t="shared" si="386"/>
        <v>Thanh Hóa</v>
      </c>
      <c r="D4717" s="3" t="s">
        <v>331</v>
      </c>
      <c r="E4717" s="4" t="str">
        <f t="shared" si="387"/>
        <v>Thành phố Thanh Hóa</v>
      </c>
      <c r="F4717" s="3" t="s">
        <v>5480</v>
      </c>
      <c r="G4717" s="4" t="str">
        <f>HYPERLINK("https://diaocthongthai.com/xa-thieu-van-tp-thanh-hoa/","Xã Thiệu Vân")</f>
        <v>Xã Thiệu Vân</v>
      </c>
    </row>
    <row r="4718" spans="1:7" x14ac:dyDescent="0.25">
      <c r="A4718" s="2">
        <v>4717</v>
      </c>
      <c r="B4718" s="3" t="s">
        <v>28</v>
      </c>
      <c r="C4718" s="4" t="str">
        <f t="shared" si="386"/>
        <v>Thanh Hóa</v>
      </c>
      <c r="D4718" s="3" t="s">
        <v>331</v>
      </c>
      <c r="E4718" s="4" t="str">
        <f t="shared" si="387"/>
        <v>Thành phố Thanh Hóa</v>
      </c>
      <c r="F4718" s="3" t="s">
        <v>5481</v>
      </c>
      <c r="G4718" s="4" t="str">
        <f>HYPERLINK("https://diaocthongthai.com/phuong-thieu-khanh-tp-thanh-hoa/","Phường Thiệu Khánh")</f>
        <v>Phường Thiệu Khánh</v>
      </c>
    </row>
    <row r="4719" spans="1:7" x14ac:dyDescent="0.25">
      <c r="A4719" s="2">
        <v>4718</v>
      </c>
      <c r="B4719" s="3" t="s">
        <v>28</v>
      </c>
      <c r="C4719" s="4" t="str">
        <f t="shared" si="386"/>
        <v>Thanh Hóa</v>
      </c>
      <c r="D4719" s="3" t="s">
        <v>331</v>
      </c>
      <c r="E4719" s="4" t="str">
        <f t="shared" si="387"/>
        <v>Thành phố Thanh Hóa</v>
      </c>
      <c r="F4719" s="3" t="s">
        <v>5482</v>
      </c>
      <c r="G4719" s="4" t="str">
        <f>HYPERLINK("https://diaocthongthai.com/phuong-thieu-duong-tp-thanh-hoa/","Phường Thiệu Dương")</f>
        <v>Phường Thiệu Dương</v>
      </c>
    </row>
    <row r="4720" spans="1:7" x14ac:dyDescent="0.25">
      <c r="A4720" s="2">
        <v>4719</v>
      </c>
      <c r="B4720" s="3" t="s">
        <v>28</v>
      </c>
      <c r="C4720" s="4" t="str">
        <f t="shared" si="386"/>
        <v>Thanh Hóa</v>
      </c>
      <c r="D4720" s="3" t="s">
        <v>331</v>
      </c>
      <c r="E4720" s="4" t="str">
        <f t="shared" si="387"/>
        <v>Thành phố Thanh Hóa</v>
      </c>
      <c r="F4720" s="3" t="s">
        <v>5483</v>
      </c>
      <c r="G4720" s="4" t="str">
        <f>HYPERLINK("https://diaocthongthai.com/phuong-tao-xuyen-tp-thanh-hoa/","Phường Tào Xuyên")</f>
        <v>Phường Tào Xuyên</v>
      </c>
    </row>
    <row r="4721" spans="1:7" x14ac:dyDescent="0.25">
      <c r="A4721" s="2">
        <v>4720</v>
      </c>
      <c r="B4721" s="3" t="s">
        <v>28</v>
      </c>
      <c r="C4721" s="4" t="str">
        <f t="shared" si="386"/>
        <v>Thanh Hóa</v>
      </c>
      <c r="D4721" s="3" t="s">
        <v>331</v>
      </c>
      <c r="E4721" s="4" t="str">
        <f t="shared" si="387"/>
        <v>Thành phố Thanh Hóa</v>
      </c>
      <c r="F4721" s="3" t="s">
        <v>5484</v>
      </c>
      <c r="G4721" s="4" t="str">
        <f>HYPERLINK("https://diaocthongthai.com/phuong-long-anh-tp-thanh-hoa/","Phường Long Anh")</f>
        <v>Phường Long Anh</v>
      </c>
    </row>
    <row r="4722" spans="1:7" x14ac:dyDescent="0.25">
      <c r="A4722" s="2">
        <v>4721</v>
      </c>
      <c r="B4722" s="3" t="s">
        <v>28</v>
      </c>
      <c r="C4722" s="4" t="str">
        <f t="shared" si="386"/>
        <v>Thanh Hóa</v>
      </c>
      <c r="D4722" s="3" t="s">
        <v>331</v>
      </c>
      <c r="E4722" s="4" t="str">
        <f t="shared" si="387"/>
        <v>Thành phố Thanh Hóa</v>
      </c>
      <c r="F4722" s="3" t="s">
        <v>5485</v>
      </c>
      <c r="G4722" s="4" t="str">
        <f>HYPERLINK("https://diaocthongthai.com/xa-hoang-quang-tp-thanh-hoa/","Xã Hoằng Quang")</f>
        <v>Xã Hoằng Quang</v>
      </c>
    </row>
    <row r="4723" spans="1:7" x14ac:dyDescent="0.25">
      <c r="A4723" s="2">
        <v>4722</v>
      </c>
      <c r="B4723" s="3" t="s">
        <v>28</v>
      </c>
      <c r="C4723" s="4" t="str">
        <f t="shared" si="386"/>
        <v>Thanh Hóa</v>
      </c>
      <c r="D4723" s="3" t="s">
        <v>331</v>
      </c>
      <c r="E4723" s="4" t="str">
        <f t="shared" si="387"/>
        <v>Thành phố Thanh Hóa</v>
      </c>
      <c r="F4723" s="3" t="s">
        <v>5486</v>
      </c>
      <c r="G4723" s="4" t="str">
        <f>HYPERLINK("https://diaocthongthai.com/xa-hoang-dai-tp-thanh-hoa/","Xã Hoằng Đại")</f>
        <v>Xã Hoằng Đại</v>
      </c>
    </row>
    <row r="4724" spans="1:7" x14ac:dyDescent="0.25">
      <c r="A4724" s="2">
        <v>4723</v>
      </c>
      <c r="B4724" s="3" t="s">
        <v>28</v>
      </c>
      <c r="C4724" s="4" t="str">
        <f t="shared" si="386"/>
        <v>Thanh Hóa</v>
      </c>
      <c r="D4724" s="3" t="s">
        <v>331</v>
      </c>
      <c r="E4724" s="4" t="str">
        <f t="shared" si="387"/>
        <v>Thành phố Thanh Hóa</v>
      </c>
      <c r="F4724" s="3" t="s">
        <v>5487</v>
      </c>
      <c r="G4724" s="4" t="str">
        <f>HYPERLINK("https://diaocthongthai.com/phuong-dong-linh-tp-thanh-hoa/","Phường Đông Lĩnh")</f>
        <v>Phường Đông Lĩnh</v>
      </c>
    </row>
    <row r="4725" spans="1:7" x14ac:dyDescent="0.25">
      <c r="A4725" s="2">
        <v>4724</v>
      </c>
      <c r="B4725" s="3" t="s">
        <v>28</v>
      </c>
      <c r="C4725" s="4" t="str">
        <f t="shared" si="386"/>
        <v>Thanh Hóa</v>
      </c>
      <c r="D4725" s="3" t="s">
        <v>331</v>
      </c>
      <c r="E4725" s="4" t="str">
        <f t="shared" si="387"/>
        <v>Thành phố Thanh Hóa</v>
      </c>
      <c r="F4725" s="3" t="s">
        <v>5488</v>
      </c>
      <c r="G4725" s="4" t="str">
        <f>HYPERLINK("https://diaocthongthai.com/xa-dong-vinh-tp-thanh-hoa/","Xã Đông Vinh")</f>
        <v>Xã Đông Vinh</v>
      </c>
    </row>
    <row r="4726" spans="1:7" x14ac:dyDescent="0.25">
      <c r="A4726" s="2">
        <v>4725</v>
      </c>
      <c r="B4726" s="3" t="s">
        <v>28</v>
      </c>
      <c r="C4726" s="4" t="str">
        <f t="shared" si="386"/>
        <v>Thanh Hóa</v>
      </c>
      <c r="D4726" s="3" t="s">
        <v>331</v>
      </c>
      <c r="E4726" s="4" t="str">
        <f t="shared" si="387"/>
        <v>Thành phố Thanh Hóa</v>
      </c>
      <c r="F4726" s="3" t="s">
        <v>5489</v>
      </c>
      <c r="G4726" s="4" t="str">
        <f>HYPERLINK("https://diaocthongthai.com/phuong-dong-tan-tp-thanh-hoa/","Phường Đông Tân")</f>
        <v>Phường Đông Tân</v>
      </c>
    </row>
    <row r="4727" spans="1:7" x14ac:dyDescent="0.25">
      <c r="A4727" s="2">
        <v>4726</v>
      </c>
      <c r="B4727" s="3" t="s">
        <v>28</v>
      </c>
      <c r="C4727" s="4" t="str">
        <f t="shared" si="386"/>
        <v>Thanh Hóa</v>
      </c>
      <c r="D4727" s="3" t="s">
        <v>331</v>
      </c>
      <c r="E4727" s="4" t="str">
        <f t="shared" si="387"/>
        <v>Thành phố Thanh Hóa</v>
      </c>
      <c r="F4727" s="3" t="s">
        <v>5490</v>
      </c>
      <c r="G4727" s="4" t="str">
        <f>HYPERLINK("https://diaocthongthai.com/phuong-an-hung-tp-thanh-hoa/","Phường An Hưng")</f>
        <v>Phường An Hưng</v>
      </c>
    </row>
    <row r="4728" spans="1:7" x14ac:dyDescent="0.25">
      <c r="A4728" s="2">
        <v>4727</v>
      </c>
      <c r="B4728" s="3" t="s">
        <v>28</v>
      </c>
      <c r="C4728" s="4" t="str">
        <f t="shared" si="386"/>
        <v>Thanh Hóa</v>
      </c>
      <c r="D4728" s="3" t="s">
        <v>331</v>
      </c>
      <c r="E4728" s="4" t="str">
        <f t="shared" si="387"/>
        <v>Thành phố Thanh Hóa</v>
      </c>
      <c r="F4728" s="3" t="s">
        <v>5491</v>
      </c>
      <c r="G4728" s="4" t="str">
        <f>HYPERLINK("https://diaocthongthai.com/phuong-quang-thinh-tp-thanh-hoa/","Phường Quảng Thịnh")</f>
        <v>Phường Quảng Thịnh</v>
      </c>
    </row>
    <row r="4729" spans="1:7" x14ac:dyDescent="0.25">
      <c r="A4729" s="2">
        <v>4728</v>
      </c>
      <c r="B4729" s="3" t="s">
        <v>28</v>
      </c>
      <c r="C4729" s="4" t="str">
        <f t="shared" si="386"/>
        <v>Thanh Hóa</v>
      </c>
      <c r="D4729" s="3" t="s">
        <v>331</v>
      </c>
      <c r="E4729" s="4" t="str">
        <f t="shared" si="387"/>
        <v>Thành phố Thanh Hóa</v>
      </c>
      <c r="F4729" s="3" t="s">
        <v>5492</v>
      </c>
      <c r="G4729" s="4" t="str">
        <f>HYPERLINK("https://diaocthongthai.com/phuong-quang-dong-tp-thanh-hoa/","Phường Quảng Đông")</f>
        <v>Phường Quảng Đông</v>
      </c>
    </row>
    <row r="4730" spans="1:7" x14ac:dyDescent="0.25">
      <c r="A4730" s="2">
        <v>4729</v>
      </c>
      <c r="B4730" s="3" t="s">
        <v>28</v>
      </c>
      <c r="C4730" s="4" t="str">
        <f t="shared" si="386"/>
        <v>Thanh Hóa</v>
      </c>
      <c r="D4730" s="3" t="s">
        <v>331</v>
      </c>
      <c r="E4730" s="4" t="str">
        <f t="shared" si="387"/>
        <v>Thành phố Thanh Hóa</v>
      </c>
      <c r="F4730" s="3" t="s">
        <v>5493</v>
      </c>
      <c r="G4730" s="4" t="str">
        <f>HYPERLINK("https://diaocthongthai.com/phuong-quang-cat-tp-thanh-hoa/","Phường Quảng Cát")</f>
        <v>Phường Quảng Cát</v>
      </c>
    </row>
    <row r="4731" spans="1:7" x14ac:dyDescent="0.25">
      <c r="A4731" s="2">
        <v>4730</v>
      </c>
      <c r="B4731" s="3" t="s">
        <v>28</v>
      </c>
      <c r="C4731" s="4" t="str">
        <f t="shared" si="386"/>
        <v>Thanh Hóa</v>
      </c>
      <c r="D4731" s="3" t="s">
        <v>331</v>
      </c>
      <c r="E4731" s="4" t="str">
        <f t="shared" si="387"/>
        <v>Thành phố Thanh Hóa</v>
      </c>
      <c r="F4731" s="3" t="s">
        <v>5494</v>
      </c>
      <c r="G4731" s="4" t="str">
        <f>HYPERLINK("https://diaocthongthai.com/phuong-quang-phu-tp-thanh-hoa/","Phường Quảng Phú")</f>
        <v>Phường Quảng Phú</v>
      </c>
    </row>
    <row r="4732" spans="1:7" x14ac:dyDescent="0.25">
      <c r="A4732" s="2">
        <v>4731</v>
      </c>
      <c r="B4732" s="3" t="s">
        <v>28</v>
      </c>
      <c r="C4732" s="4" t="str">
        <f t="shared" si="386"/>
        <v>Thanh Hóa</v>
      </c>
      <c r="D4732" s="3" t="s">
        <v>331</v>
      </c>
      <c r="E4732" s="4" t="str">
        <f t="shared" si="387"/>
        <v>Thành phố Thanh Hóa</v>
      </c>
      <c r="F4732" s="3" t="s">
        <v>5495</v>
      </c>
      <c r="G4732" s="4" t="str">
        <f>HYPERLINK("https://diaocthongthai.com/phuong-quang-tam-tp-thanh-hoa/","Phường Quảng Tâm")</f>
        <v>Phường Quảng Tâm</v>
      </c>
    </row>
    <row r="4733" spans="1:7" x14ac:dyDescent="0.25">
      <c r="A4733" s="2">
        <v>4732</v>
      </c>
      <c r="B4733" s="3" t="s">
        <v>28</v>
      </c>
      <c r="C4733" s="4" t="str">
        <f t="shared" si="386"/>
        <v>Thanh Hóa</v>
      </c>
      <c r="D4733" s="3" t="s">
        <v>332</v>
      </c>
      <c r="E4733" s="4" t="str">
        <f t="shared" ref="E4733:E4739" si="388">HYPERLINK("https://diaocthongthai.com/ban-do-thi-xa-bim-son-thanh-hoa/","Thị xã Bỉm Sơn")</f>
        <v>Thị xã Bỉm Sơn</v>
      </c>
      <c r="F4733" s="3" t="s">
        <v>5496</v>
      </c>
      <c r="G4733" s="4" t="str">
        <f>HYPERLINK("https://diaocthongthai.com/phuong-bac-son-bim-son/","Phường Bắc Sơn")</f>
        <v>Phường Bắc Sơn</v>
      </c>
    </row>
    <row r="4734" spans="1:7" x14ac:dyDescent="0.25">
      <c r="A4734" s="2">
        <v>4733</v>
      </c>
      <c r="B4734" s="3" t="s">
        <v>28</v>
      </c>
      <c r="C4734" s="4" t="str">
        <f t="shared" si="386"/>
        <v>Thanh Hóa</v>
      </c>
      <c r="D4734" s="3" t="s">
        <v>332</v>
      </c>
      <c r="E4734" s="4" t="str">
        <f t="shared" si="388"/>
        <v>Thị xã Bỉm Sơn</v>
      </c>
      <c r="F4734" s="3" t="s">
        <v>5497</v>
      </c>
      <c r="G4734" s="4" t="str">
        <f>HYPERLINK("https://diaocthongthai.com/phuong-ba-dinh-bim-son/","Phường Ba Đình")</f>
        <v>Phường Ba Đình</v>
      </c>
    </row>
    <row r="4735" spans="1:7" x14ac:dyDescent="0.25">
      <c r="A4735" s="2">
        <v>4734</v>
      </c>
      <c r="B4735" s="3" t="s">
        <v>28</v>
      </c>
      <c r="C4735" s="4" t="str">
        <f t="shared" si="386"/>
        <v>Thanh Hóa</v>
      </c>
      <c r="D4735" s="3" t="s">
        <v>332</v>
      </c>
      <c r="E4735" s="4" t="str">
        <f t="shared" si="388"/>
        <v>Thị xã Bỉm Sơn</v>
      </c>
      <c r="F4735" s="3" t="s">
        <v>5498</v>
      </c>
      <c r="G4735" s="4" t="str">
        <f>HYPERLINK("https://diaocthongthai.com/phuong-lam-son-bim-son/","Phường Lam Sơn")</f>
        <v>Phường Lam Sơn</v>
      </c>
    </row>
    <row r="4736" spans="1:7" x14ac:dyDescent="0.25">
      <c r="A4736" s="2">
        <v>4735</v>
      </c>
      <c r="B4736" s="3" t="s">
        <v>28</v>
      </c>
      <c r="C4736" s="4" t="str">
        <f t="shared" si="386"/>
        <v>Thanh Hóa</v>
      </c>
      <c r="D4736" s="3" t="s">
        <v>332</v>
      </c>
      <c r="E4736" s="4" t="str">
        <f t="shared" si="388"/>
        <v>Thị xã Bỉm Sơn</v>
      </c>
      <c r="F4736" s="3" t="s">
        <v>5499</v>
      </c>
      <c r="G4736" s="4" t="str">
        <f>HYPERLINK("https://diaocthongthai.com/phuong-ngoc-trao-bim-son/","Phường Ngọc Trạo")</f>
        <v>Phường Ngọc Trạo</v>
      </c>
    </row>
    <row r="4737" spans="1:7" x14ac:dyDescent="0.25">
      <c r="A4737" s="2">
        <v>4736</v>
      </c>
      <c r="B4737" s="3" t="s">
        <v>28</v>
      </c>
      <c r="C4737" s="4" t="str">
        <f t="shared" si="386"/>
        <v>Thanh Hóa</v>
      </c>
      <c r="D4737" s="3" t="s">
        <v>332</v>
      </c>
      <c r="E4737" s="4" t="str">
        <f t="shared" si="388"/>
        <v>Thị xã Bỉm Sơn</v>
      </c>
      <c r="F4737" s="3" t="s">
        <v>5500</v>
      </c>
      <c r="G4737" s="4" t="str">
        <f>HYPERLINK("https://diaocthongthai.com/phuong-dong-son-bim-son/","Phường Đông Sơn")</f>
        <v>Phường Đông Sơn</v>
      </c>
    </row>
    <row r="4738" spans="1:7" x14ac:dyDescent="0.25">
      <c r="A4738" s="2">
        <v>4737</v>
      </c>
      <c r="B4738" s="3" t="s">
        <v>28</v>
      </c>
      <c r="C4738" s="4" t="str">
        <f t="shared" si="386"/>
        <v>Thanh Hóa</v>
      </c>
      <c r="D4738" s="3" t="s">
        <v>332</v>
      </c>
      <c r="E4738" s="4" t="str">
        <f t="shared" si="388"/>
        <v>Thị xã Bỉm Sơn</v>
      </c>
      <c r="F4738" s="3" t="s">
        <v>5501</v>
      </c>
      <c r="G4738" s="4" t="str">
        <f>HYPERLINK("https://diaocthongthai.com/phuong-phu-son-bim-son/","Phường Phú Sơn")</f>
        <v>Phường Phú Sơn</v>
      </c>
    </row>
    <row r="4739" spans="1:7" x14ac:dyDescent="0.25">
      <c r="A4739" s="2">
        <v>4738</v>
      </c>
      <c r="B4739" s="3" t="s">
        <v>28</v>
      </c>
      <c r="C4739" s="4" t="str">
        <f t="shared" si="386"/>
        <v>Thanh Hóa</v>
      </c>
      <c r="D4739" s="3" t="s">
        <v>332</v>
      </c>
      <c r="E4739" s="4" t="str">
        <f t="shared" si="388"/>
        <v>Thị xã Bỉm Sơn</v>
      </c>
      <c r="F4739" s="3" t="s">
        <v>5502</v>
      </c>
      <c r="G4739" s="4" t="str">
        <f>HYPERLINK("https://diaocthongthai.com/xa-quang-trung-bim-son/","Xã Quang Trung")</f>
        <v>Xã Quang Trung</v>
      </c>
    </row>
    <row r="4740" spans="1:7" x14ac:dyDescent="0.25">
      <c r="A4740" s="2">
        <v>4739</v>
      </c>
      <c r="B4740" s="3" t="s">
        <v>28</v>
      </c>
      <c r="C4740" s="4" t="str">
        <f t="shared" si="386"/>
        <v>Thanh Hóa</v>
      </c>
      <c r="D4740" s="3" t="s">
        <v>333</v>
      </c>
      <c r="E4740" s="4" t="str">
        <f t="shared" ref="E4740:E4750" si="389">HYPERLINK("https://diaocthongthai.com/ban-do-tp-sam-son-thanh-hoa/","Thành phố Sầm Sơn")</f>
        <v>Thành phố Sầm Sơn</v>
      </c>
      <c r="F4740" s="3" t="s">
        <v>5503</v>
      </c>
      <c r="G4740" s="4" t="str">
        <f>HYPERLINK("https://diaocthongthai.com/phuong-trung-son-tp-sam-son/","Phường Trung Sơn")</f>
        <v>Phường Trung Sơn</v>
      </c>
    </row>
    <row r="4741" spans="1:7" x14ac:dyDescent="0.25">
      <c r="A4741" s="2">
        <v>4740</v>
      </c>
      <c r="B4741" s="3" t="s">
        <v>28</v>
      </c>
      <c r="C4741" s="4" t="str">
        <f t="shared" si="386"/>
        <v>Thanh Hóa</v>
      </c>
      <c r="D4741" s="3" t="s">
        <v>333</v>
      </c>
      <c r="E4741" s="4" t="str">
        <f t="shared" si="389"/>
        <v>Thành phố Sầm Sơn</v>
      </c>
      <c r="F4741" s="3" t="s">
        <v>5504</v>
      </c>
      <c r="G4741" s="4" t="str">
        <f>HYPERLINK("https://diaocthongthai.com/phuong-bac-son-tp-sam-son/","Phường Bắc Sơn")</f>
        <v>Phường Bắc Sơn</v>
      </c>
    </row>
    <row r="4742" spans="1:7" x14ac:dyDescent="0.25">
      <c r="A4742" s="2">
        <v>4741</v>
      </c>
      <c r="B4742" s="3" t="s">
        <v>28</v>
      </c>
      <c r="C4742" s="4" t="str">
        <f t="shared" si="386"/>
        <v>Thanh Hóa</v>
      </c>
      <c r="D4742" s="3" t="s">
        <v>333</v>
      </c>
      <c r="E4742" s="4" t="str">
        <f t="shared" si="389"/>
        <v>Thành phố Sầm Sơn</v>
      </c>
      <c r="F4742" s="3" t="s">
        <v>5505</v>
      </c>
      <c r="G4742" s="4" t="str">
        <f>HYPERLINK("https://diaocthongthai.com/phuong-truong-son-tp-sam-son/","Phường Trường Sơn")</f>
        <v>Phường Trường Sơn</v>
      </c>
    </row>
    <row r="4743" spans="1:7" x14ac:dyDescent="0.25">
      <c r="A4743" s="2">
        <v>4742</v>
      </c>
      <c r="B4743" s="3" t="s">
        <v>28</v>
      </c>
      <c r="C4743" s="4" t="str">
        <f t="shared" si="386"/>
        <v>Thanh Hóa</v>
      </c>
      <c r="D4743" s="3" t="s">
        <v>333</v>
      </c>
      <c r="E4743" s="4" t="str">
        <f t="shared" si="389"/>
        <v>Thành phố Sầm Sơn</v>
      </c>
      <c r="F4743" s="3" t="s">
        <v>5506</v>
      </c>
      <c r="G4743" s="4" t="str">
        <f>HYPERLINK("https://diaocthongthai.com/phuong-quang-cu-tp-sam-son/","Phường Quảng Cư")</f>
        <v>Phường Quảng Cư</v>
      </c>
    </row>
    <row r="4744" spans="1:7" x14ac:dyDescent="0.25">
      <c r="A4744" s="2">
        <v>4743</v>
      </c>
      <c r="B4744" s="3" t="s">
        <v>28</v>
      </c>
      <c r="C4744" s="4" t="str">
        <f t="shared" si="386"/>
        <v>Thanh Hóa</v>
      </c>
      <c r="D4744" s="3" t="s">
        <v>333</v>
      </c>
      <c r="E4744" s="4" t="str">
        <f t="shared" si="389"/>
        <v>Thành phố Sầm Sơn</v>
      </c>
      <c r="F4744" s="3" t="s">
        <v>5507</v>
      </c>
      <c r="G4744" s="4" t="str">
        <f>HYPERLINK("https://diaocthongthai.com/phuong-quang-tien-tp-sam-son/","Phường Quảng Tiến")</f>
        <v>Phường Quảng Tiến</v>
      </c>
    </row>
    <row r="4745" spans="1:7" x14ac:dyDescent="0.25">
      <c r="A4745" s="2">
        <v>4744</v>
      </c>
      <c r="B4745" s="3" t="s">
        <v>28</v>
      </c>
      <c r="C4745" s="4" t="str">
        <f t="shared" si="386"/>
        <v>Thanh Hóa</v>
      </c>
      <c r="D4745" s="3" t="s">
        <v>333</v>
      </c>
      <c r="E4745" s="4" t="str">
        <f t="shared" si="389"/>
        <v>Thành phố Sầm Sơn</v>
      </c>
      <c r="F4745" s="3" t="s">
        <v>5508</v>
      </c>
      <c r="G4745" s="4" t="str">
        <f>HYPERLINK("https://diaocthongthai.com/xa-quang-minh-tp-sam-son/","Xã Quảng Minh")</f>
        <v>Xã Quảng Minh</v>
      </c>
    </row>
    <row r="4746" spans="1:7" x14ac:dyDescent="0.25">
      <c r="A4746" s="2">
        <v>4745</v>
      </c>
      <c r="B4746" s="3" t="s">
        <v>28</v>
      </c>
      <c r="C4746" s="4" t="str">
        <f t="shared" si="386"/>
        <v>Thanh Hóa</v>
      </c>
      <c r="D4746" s="3" t="s">
        <v>333</v>
      </c>
      <c r="E4746" s="4" t="str">
        <f t="shared" si="389"/>
        <v>Thành phố Sầm Sơn</v>
      </c>
      <c r="F4746" s="3" t="s">
        <v>5509</v>
      </c>
      <c r="G4746" s="4" t="str">
        <f>HYPERLINK("https://diaocthongthai.com/xa-quang-hung-tp-sam-son/","Xã Quảng Hùng")</f>
        <v>Xã Quảng Hùng</v>
      </c>
    </row>
    <row r="4747" spans="1:7" x14ac:dyDescent="0.25">
      <c r="A4747" s="2">
        <v>4746</v>
      </c>
      <c r="B4747" s="3" t="s">
        <v>28</v>
      </c>
      <c r="C4747" s="4" t="str">
        <f t="shared" si="386"/>
        <v>Thanh Hóa</v>
      </c>
      <c r="D4747" s="3" t="s">
        <v>333</v>
      </c>
      <c r="E4747" s="4" t="str">
        <f t="shared" si="389"/>
        <v>Thành phố Sầm Sơn</v>
      </c>
      <c r="F4747" s="3" t="s">
        <v>5510</v>
      </c>
      <c r="G4747" s="4" t="str">
        <f>HYPERLINK("https://diaocthongthai.com/phuong-quang-tho-tp-sam-son/","Phường Quảng Thọ")</f>
        <v>Phường Quảng Thọ</v>
      </c>
    </row>
    <row r="4748" spans="1:7" x14ac:dyDescent="0.25">
      <c r="A4748" s="2">
        <v>4747</v>
      </c>
      <c r="B4748" s="3" t="s">
        <v>28</v>
      </c>
      <c r="C4748" s="4" t="str">
        <f t="shared" si="386"/>
        <v>Thanh Hóa</v>
      </c>
      <c r="D4748" s="3" t="s">
        <v>333</v>
      </c>
      <c r="E4748" s="4" t="str">
        <f t="shared" si="389"/>
        <v>Thành phố Sầm Sơn</v>
      </c>
      <c r="F4748" s="3" t="s">
        <v>5511</v>
      </c>
      <c r="G4748" s="4" t="str">
        <f>HYPERLINK("https://diaocthongthai.com/phuong-quang-chau-tp-sam-son/","Phường Quảng Châu")</f>
        <v>Phường Quảng Châu</v>
      </c>
    </row>
    <row r="4749" spans="1:7" x14ac:dyDescent="0.25">
      <c r="A4749" s="2">
        <v>4748</v>
      </c>
      <c r="B4749" s="3" t="s">
        <v>28</v>
      </c>
      <c r="C4749" s="4" t="str">
        <f t="shared" si="386"/>
        <v>Thanh Hóa</v>
      </c>
      <c r="D4749" s="3" t="s">
        <v>333</v>
      </c>
      <c r="E4749" s="4" t="str">
        <f t="shared" si="389"/>
        <v>Thành phố Sầm Sơn</v>
      </c>
      <c r="F4749" s="3" t="s">
        <v>5512</v>
      </c>
      <c r="G4749" s="4" t="str">
        <f>HYPERLINK("https://diaocthongthai.com/phuong-quang-vinh-tp-sam-son/","Phường Quảng Vinh")</f>
        <v>Phường Quảng Vinh</v>
      </c>
    </row>
    <row r="4750" spans="1:7" x14ac:dyDescent="0.25">
      <c r="A4750" s="2">
        <v>4749</v>
      </c>
      <c r="B4750" s="3" t="s">
        <v>28</v>
      </c>
      <c r="C4750" s="4" t="str">
        <f t="shared" si="386"/>
        <v>Thanh Hóa</v>
      </c>
      <c r="D4750" s="3" t="s">
        <v>333</v>
      </c>
      <c r="E4750" s="4" t="str">
        <f t="shared" si="389"/>
        <v>Thành phố Sầm Sơn</v>
      </c>
      <c r="F4750" s="3" t="s">
        <v>5513</v>
      </c>
      <c r="G4750" s="4" t="str">
        <f>HYPERLINK("https://diaocthongthai.com/xa-quang-dai-tp-sam-son/","Xã Quảng Đại")</f>
        <v>Xã Quảng Đại</v>
      </c>
    </row>
    <row r="4751" spans="1:7" x14ac:dyDescent="0.25">
      <c r="A4751" s="2">
        <v>4750</v>
      </c>
      <c r="B4751" s="3" t="s">
        <v>28</v>
      </c>
      <c r="C4751" s="4" t="str">
        <f t="shared" si="386"/>
        <v>Thanh Hóa</v>
      </c>
      <c r="D4751" s="3" t="s">
        <v>334</v>
      </c>
      <c r="E4751" s="4" t="str">
        <f t="shared" ref="E4751:E4758" si="390">HYPERLINK("https://diaocthongthai.com/ban-do-huyen-muong-lat-thanh-hoa/","Huyện Mường Lát")</f>
        <v>Huyện Mường Lát</v>
      </c>
      <c r="F4751" s="3" t="s">
        <v>5514</v>
      </c>
      <c r="G4751" s="4" t="str">
        <f>HYPERLINK("https://diaocthongthai.com/thi-tran-muong-lat-muong-lat/","Thị trấn Mường Lát")</f>
        <v>Thị trấn Mường Lát</v>
      </c>
    </row>
    <row r="4752" spans="1:7" x14ac:dyDescent="0.25">
      <c r="A4752" s="2">
        <v>4751</v>
      </c>
      <c r="B4752" s="3" t="s">
        <v>28</v>
      </c>
      <c r="C4752" s="4" t="str">
        <f t="shared" si="386"/>
        <v>Thanh Hóa</v>
      </c>
      <c r="D4752" s="3" t="s">
        <v>334</v>
      </c>
      <c r="E4752" s="4" t="str">
        <f t="shared" si="390"/>
        <v>Huyện Mường Lát</v>
      </c>
      <c r="F4752" s="3" t="s">
        <v>5515</v>
      </c>
      <c r="G4752" s="4" t="str">
        <f>HYPERLINK("https://diaocthongthai.com/xa-tam-chung-muong-lat/","Xã Tam Chung")</f>
        <v>Xã Tam Chung</v>
      </c>
    </row>
    <row r="4753" spans="1:7" x14ac:dyDescent="0.25">
      <c r="A4753" s="2">
        <v>4752</v>
      </c>
      <c r="B4753" s="3" t="s">
        <v>28</v>
      </c>
      <c r="C4753" s="4" t="str">
        <f t="shared" si="386"/>
        <v>Thanh Hóa</v>
      </c>
      <c r="D4753" s="3" t="s">
        <v>334</v>
      </c>
      <c r="E4753" s="4" t="str">
        <f t="shared" si="390"/>
        <v>Huyện Mường Lát</v>
      </c>
      <c r="F4753" s="3" t="s">
        <v>5516</v>
      </c>
      <c r="G4753" s="4" t="str">
        <f>HYPERLINK("https://diaocthongthai.com/xa-muong-ly-muong-lat/","Xã Mường Lý")</f>
        <v>Xã Mường Lý</v>
      </c>
    </row>
    <row r="4754" spans="1:7" x14ac:dyDescent="0.25">
      <c r="A4754" s="2">
        <v>4753</v>
      </c>
      <c r="B4754" s="3" t="s">
        <v>28</v>
      </c>
      <c r="C4754" s="4" t="str">
        <f t="shared" si="386"/>
        <v>Thanh Hóa</v>
      </c>
      <c r="D4754" s="3" t="s">
        <v>334</v>
      </c>
      <c r="E4754" s="4" t="str">
        <f t="shared" si="390"/>
        <v>Huyện Mường Lát</v>
      </c>
      <c r="F4754" s="3" t="s">
        <v>5517</v>
      </c>
      <c r="G4754" s="4" t="str">
        <f>HYPERLINK("https://diaocthongthai.com/xa-trung-ly-muong-lat/","Xã Trung Lý")</f>
        <v>Xã Trung Lý</v>
      </c>
    </row>
    <row r="4755" spans="1:7" x14ac:dyDescent="0.25">
      <c r="A4755" s="2">
        <v>4754</v>
      </c>
      <c r="B4755" s="3" t="s">
        <v>28</v>
      </c>
      <c r="C4755" s="4" t="str">
        <f t="shared" si="386"/>
        <v>Thanh Hóa</v>
      </c>
      <c r="D4755" s="3" t="s">
        <v>334</v>
      </c>
      <c r="E4755" s="4" t="str">
        <f t="shared" si="390"/>
        <v>Huyện Mường Lát</v>
      </c>
      <c r="F4755" s="3" t="s">
        <v>5518</v>
      </c>
      <c r="G4755" s="4" t="str">
        <f>HYPERLINK("https://diaocthongthai.com/xa-quang-chieu-muong-lat/","Xã Quang Chiểu")</f>
        <v>Xã Quang Chiểu</v>
      </c>
    </row>
    <row r="4756" spans="1:7" x14ac:dyDescent="0.25">
      <c r="A4756" s="2">
        <v>4755</v>
      </c>
      <c r="B4756" s="3" t="s">
        <v>28</v>
      </c>
      <c r="C4756" s="4" t="str">
        <f t="shared" si="386"/>
        <v>Thanh Hóa</v>
      </c>
      <c r="D4756" s="3" t="s">
        <v>334</v>
      </c>
      <c r="E4756" s="4" t="str">
        <f t="shared" si="390"/>
        <v>Huyện Mường Lát</v>
      </c>
      <c r="F4756" s="3" t="s">
        <v>5519</v>
      </c>
      <c r="G4756" s="4" t="str">
        <f>HYPERLINK("https://diaocthongthai.com/xa-pu-nhi-muong-lat/","Xã Pù Nhi")</f>
        <v>Xã Pù Nhi</v>
      </c>
    </row>
    <row r="4757" spans="1:7" x14ac:dyDescent="0.25">
      <c r="A4757" s="2">
        <v>4756</v>
      </c>
      <c r="B4757" s="3" t="s">
        <v>28</v>
      </c>
      <c r="C4757" s="4" t="str">
        <f t="shared" si="386"/>
        <v>Thanh Hóa</v>
      </c>
      <c r="D4757" s="3" t="s">
        <v>334</v>
      </c>
      <c r="E4757" s="4" t="str">
        <f t="shared" si="390"/>
        <v>Huyện Mường Lát</v>
      </c>
      <c r="F4757" s="3" t="s">
        <v>5520</v>
      </c>
      <c r="G4757" s="4" t="str">
        <f>HYPERLINK("https://diaocthongthai.com/xa-nhi-son-muong-lat/","Xã Nhi Sơn")</f>
        <v>Xã Nhi Sơn</v>
      </c>
    </row>
    <row r="4758" spans="1:7" x14ac:dyDescent="0.25">
      <c r="A4758" s="2">
        <v>4757</v>
      </c>
      <c r="B4758" s="3" t="s">
        <v>28</v>
      </c>
      <c r="C4758" s="4" t="str">
        <f t="shared" si="386"/>
        <v>Thanh Hóa</v>
      </c>
      <c r="D4758" s="3" t="s">
        <v>334</v>
      </c>
      <c r="E4758" s="4" t="str">
        <f t="shared" si="390"/>
        <v>Huyện Mường Lát</v>
      </c>
      <c r="F4758" s="3" t="s">
        <v>5521</v>
      </c>
      <c r="G4758" s="4" t="str">
        <f>HYPERLINK("https://diaocthongthai.com/xa-muong-chanh-muong-lat/","Xã Mường Chanh")</f>
        <v>Xã Mường Chanh</v>
      </c>
    </row>
    <row r="4759" spans="1:7" x14ac:dyDescent="0.25">
      <c r="A4759" s="2">
        <v>4758</v>
      </c>
      <c r="B4759" s="3" t="s">
        <v>28</v>
      </c>
      <c r="C4759" s="4" t="str">
        <f t="shared" si="386"/>
        <v>Thanh Hóa</v>
      </c>
      <c r="D4759" s="3" t="s">
        <v>335</v>
      </c>
      <c r="E4759" s="4" t="str">
        <f t="shared" ref="E4759:E4773" si="391">HYPERLINK("https://diaocthongthai.com/ban-do-huyen-quan-hoa-thanh-hoa/","Huyện Quan Hóa")</f>
        <v>Huyện Quan Hóa</v>
      </c>
      <c r="F4759" s="3" t="s">
        <v>5522</v>
      </c>
      <c r="G4759" s="4" t="str">
        <f>HYPERLINK("https://diaocthongthai.com/thi-tran-hoi-xuan-quan-hoa/","Thị trấn Hồi Xuân")</f>
        <v>Thị trấn Hồi Xuân</v>
      </c>
    </row>
    <row r="4760" spans="1:7" x14ac:dyDescent="0.25">
      <c r="A4760" s="2">
        <v>4759</v>
      </c>
      <c r="B4760" s="3" t="s">
        <v>28</v>
      </c>
      <c r="C4760" s="4" t="str">
        <f t="shared" si="386"/>
        <v>Thanh Hóa</v>
      </c>
      <c r="D4760" s="3" t="s">
        <v>335</v>
      </c>
      <c r="E4760" s="4" t="str">
        <f t="shared" si="391"/>
        <v>Huyện Quan Hóa</v>
      </c>
      <c r="F4760" s="3" t="s">
        <v>5523</v>
      </c>
      <c r="G4760" s="4" t="str">
        <f>HYPERLINK("https://diaocthongthai.com/xa-thanh-son-quan-hoa/","Xã Thành Sơn")</f>
        <v>Xã Thành Sơn</v>
      </c>
    </row>
    <row r="4761" spans="1:7" x14ac:dyDescent="0.25">
      <c r="A4761" s="2">
        <v>4760</v>
      </c>
      <c r="B4761" s="3" t="s">
        <v>28</v>
      </c>
      <c r="C4761" s="4" t="str">
        <f t="shared" si="386"/>
        <v>Thanh Hóa</v>
      </c>
      <c r="D4761" s="3" t="s">
        <v>335</v>
      </c>
      <c r="E4761" s="4" t="str">
        <f t="shared" si="391"/>
        <v>Huyện Quan Hóa</v>
      </c>
      <c r="F4761" s="3" t="s">
        <v>5524</v>
      </c>
      <c r="G4761" s="4" t="str">
        <f>HYPERLINK("https://diaocthongthai.com/xa-trung-son-quan-hoa/","Xã Trung Sơn")</f>
        <v>Xã Trung Sơn</v>
      </c>
    </row>
    <row r="4762" spans="1:7" x14ac:dyDescent="0.25">
      <c r="A4762" s="2">
        <v>4761</v>
      </c>
      <c r="B4762" s="3" t="s">
        <v>28</v>
      </c>
      <c r="C4762" s="4" t="str">
        <f t="shared" si="386"/>
        <v>Thanh Hóa</v>
      </c>
      <c r="D4762" s="3" t="s">
        <v>335</v>
      </c>
      <c r="E4762" s="4" t="str">
        <f t="shared" si="391"/>
        <v>Huyện Quan Hóa</v>
      </c>
      <c r="F4762" s="3" t="s">
        <v>5525</v>
      </c>
      <c r="G4762" s="4" t="str">
        <f>HYPERLINK("https://diaocthongthai.com/xa-phu-thanh-quan-hoa/","Xã Phú Thanh")</f>
        <v>Xã Phú Thanh</v>
      </c>
    </row>
    <row r="4763" spans="1:7" x14ac:dyDescent="0.25">
      <c r="A4763" s="2">
        <v>4762</v>
      </c>
      <c r="B4763" s="3" t="s">
        <v>28</v>
      </c>
      <c r="C4763" s="4" t="str">
        <f t="shared" ref="C4763:C4826" si="392">HYPERLINK("https://diaocthongthai.com/ban-do-thanh-hoa/","Thanh Hóa")</f>
        <v>Thanh Hóa</v>
      </c>
      <c r="D4763" s="3" t="s">
        <v>335</v>
      </c>
      <c r="E4763" s="4" t="str">
        <f t="shared" si="391"/>
        <v>Huyện Quan Hóa</v>
      </c>
      <c r="F4763" s="3" t="s">
        <v>5526</v>
      </c>
      <c r="G4763" s="4" t="str">
        <f>HYPERLINK("https://diaocthongthai.com/xa-trung-thanh-quan-hoa/","Xã Trung Thành")</f>
        <v>Xã Trung Thành</v>
      </c>
    </row>
    <row r="4764" spans="1:7" x14ac:dyDescent="0.25">
      <c r="A4764" s="2">
        <v>4763</v>
      </c>
      <c r="B4764" s="3" t="s">
        <v>28</v>
      </c>
      <c r="C4764" s="4" t="str">
        <f t="shared" si="392"/>
        <v>Thanh Hóa</v>
      </c>
      <c r="D4764" s="3" t="s">
        <v>335</v>
      </c>
      <c r="E4764" s="4" t="str">
        <f t="shared" si="391"/>
        <v>Huyện Quan Hóa</v>
      </c>
      <c r="F4764" s="3" t="s">
        <v>5527</v>
      </c>
      <c r="G4764" s="4" t="str">
        <f>HYPERLINK("https://diaocthongthai.com/xa-phu-le-quan-hoa/","Xã Phú Lệ")</f>
        <v>Xã Phú Lệ</v>
      </c>
    </row>
    <row r="4765" spans="1:7" x14ac:dyDescent="0.25">
      <c r="A4765" s="2">
        <v>4764</v>
      </c>
      <c r="B4765" s="3" t="s">
        <v>28</v>
      </c>
      <c r="C4765" s="4" t="str">
        <f t="shared" si="392"/>
        <v>Thanh Hóa</v>
      </c>
      <c r="D4765" s="3" t="s">
        <v>335</v>
      </c>
      <c r="E4765" s="4" t="str">
        <f t="shared" si="391"/>
        <v>Huyện Quan Hóa</v>
      </c>
      <c r="F4765" s="3" t="s">
        <v>5528</v>
      </c>
      <c r="G4765" s="4" t="str">
        <f>HYPERLINK("https://diaocthongthai.com/xa-phu-son-quan-hoa/","Xã Phú Sơn")</f>
        <v>Xã Phú Sơn</v>
      </c>
    </row>
    <row r="4766" spans="1:7" x14ac:dyDescent="0.25">
      <c r="A4766" s="2">
        <v>4765</v>
      </c>
      <c r="B4766" s="3" t="s">
        <v>28</v>
      </c>
      <c r="C4766" s="4" t="str">
        <f t="shared" si="392"/>
        <v>Thanh Hóa</v>
      </c>
      <c r="D4766" s="3" t="s">
        <v>335</v>
      </c>
      <c r="E4766" s="4" t="str">
        <f t="shared" si="391"/>
        <v>Huyện Quan Hóa</v>
      </c>
      <c r="F4766" s="3" t="s">
        <v>5529</v>
      </c>
      <c r="G4766" s="4" t="str">
        <f>HYPERLINK("https://diaocthongthai.com/xa-phu-xuan-quan-hoa/","Xã Phú Xuân")</f>
        <v>Xã Phú Xuân</v>
      </c>
    </row>
    <row r="4767" spans="1:7" x14ac:dyDescent="0.25">
      <c r="A4767" s="2">
        <v>4766</v>
      </c>
      <c r="B4767" s="3" t="s">
        <v>28</v>
      </c>
      <c r="C4767" s="4" t="str">
        <f t="shared" si="392"/>
        <v>Thanh Hóa</v>
      </c>
      <c r="D4767" s="3" t="s">
        <v>335</v>
      </c>
      <c r="E4767" s="4" t="str">
        <f t="shared" si="391"/>
        <v>Huyện Quan Hóa</v>
      </c>
      <c r="F4767" s="3" t="s">
        <v>5530</v>
      </c>
      <c r="G4767" s="4" t="str">
        <f>HYPERLINK("https://diaocthongthai.com/xa-hien-chung-quan-hoa/","Xã Hiền Chung")</f>
        <v>Xã Hiền Chung</v>
      </c>
    </row>
    <row r="4768" spans="1:7" x14ac:dyDescent="0.25">
      <c r="A4768" s="2">
        <v>4767</v>
      </c>
      <c r="B4768" s="3" t="s">
        <v>28</v>
      </c>
      <c r="C4768" s="4" t="str">
        <f t="shared" si="392"/>
        <v>Thanh Hóa</v>
      </c>
      <c r="D4768" s="3" t="s">
        <v>335</v>
      </c>
      <c r="E4768" s="4" t="str">
        <f t="shared" si="391"/>
        <v>Huyện Quan Hóa</v>
      </c>
      <c r="F4768" s="3" t="s">
        <v>5531</v>
      </c>
      <c r="G4768" s="4" t="str">
        <f>HYPERLINK("https://diaocthongthai.com/xa-hien-kiet-quan-hoa/","Xã Hiền Kiệt")</f>
        <v>Xã Hiền Kiệt</v>
      </c>
    </row>
    <row r="4769" spans="1:7" x14ac:dyDescent="0.25">
      <c r="A4769" s="2">
        <v>4768</v>
      </c>
      <c r="B4769" s="3" t="s">
        <v>28</v>
      </c>
      <c r="C4769" s="4" t="str">
        <f t="shared" si="392"/>
        <v>Thanh Hóa</v>
      </c>
      <c r="D4769" s="3" t="s">
        <v>335</v>
      </c>
      <c r="E4769" s="4" t="str">
        <f t="shared" si="391"/>
        <v>Huyện Quan Hóa</v>
      </c>
      <c r="F4769" s="3" t="s">
        <v>5532</v>
      </c>
      <c r="G4769" s="4" t="str">
        <f>HYPERLINK("https://diaocthongthai.com/xa-nam-tien-quan-hoa/","Xã Nam Tiến")</f>
        <v>Xã Nam Tiến</v>
      </c>
    </row>
    <row r="4770" spans="1:7" x14ac:dyDescent="0.25">
      <c r="A4770" s="2">
        <v>4769</v>
      </c>
      <c r="B4770" s="3" t="s">
        <v>28</v>
      </c>
      <c r="C4770" s="4" t="str">
        <f t="shared" si="392"/>
        <v>Thanh Hóa</v>
      </c>
      <c r="D4770" s="3" t="s">
        <v>335</v>
      </c>
      <c r="E4770" s="4" t="str">
        <f t="shared" si="391"/>
        <v>Huyện Quan Hóa</v>
      </c>
      <c r="F4770" s="3" t="s">
        <v>5533</v>
      </c>
      <c r="G4770" s="4" t="str">
        <f>HYPERLINK("https://diaocthongthai.com/xa-thien-phu-quan-hoa/","Xã Thiên Phủ")</f>
        <v>Xã Thiên Phủ</v>
      </c>
    </row>
    <row r="4771" spans="1:7" x14ac:dyDescent="0.25">
      <c r="A4771" s="2">
        <v>4770</v>
      </c>
      <c r="B4771" s="3" t="s">
        <v>28</v>
      </c>
      <c r="C4771" s="4" t="str">
        <f t="shared" si="392"/>
        <v>Thanh Hóa</v>
      </c>
      <c r="D4771" s="3" t="s">
        <v>335</v>
      </c>
      <c r="E4771" s="4" t="str">
        <f t="shared" si="391"/>
        <v>Huyện Quan Hóa</v>
      </c>
      <c r="F4771" s="3" t="s">
        <v>5534</v>
      </c>
      <c r="G4771" s="4" t="str">
        <f>HYPERLINK("https://diaocthongthai.com/xa-phu-nghiem-quan-hoa/","Xã Phú Nghiêm")</f>
        <v>Xã Phú Nghiêm</v>
      </c>
    </row>
    <row r="4772" spans="1:7" x14ac:dyDescent="0.25">
      <c r="A4772" s="2">
        <v>4771</v>
      </c>
      <c r="B4772" s="3" t="s">
        <v>28</v>
      </c>
      <c r="C4772" s="4" t="str">
        <f t="shared" si="392"/>
        <v>Thanh Hóa</v>
      </c>
      <c r="D4772" s="3" t="s">
        <v>335</v>
      </c>
      <c r="E4772" s="4" t="str">
        <f t="shared" si="391"/>
        <v>Huyện Quan Hóa</v>
      </c>
      <c r="F4772" s="3" t="s">
        <v>5535</v>
      </c>
      <c r="G4772" s="4" t="str">
        <f>HYPERLINK("https://diaocthongthai.com/xa-nam-xuan-quan-hoa/","Xã Nam Xuân")</f>
        <v>Xã Nam Xuân</v>
      </c>
    </row>
    <row r="4773" spans="1:7" x14ac:dyDescent="0.25">
      <c r="A4773" s="2">
        <v>4772</v>
      </c>
      <c r="B4773" s="3" t="s">
        <v>28</v>
      </c>
      <c r="C4773" s="4" t="str">
        <f t="shared" si="392"/>
        <v>Thanh Hóa</v>
      </c>
      <c r="D4773" s="3" t="s">
        <v>335</v>
      </c>
      <c r="E4773" s="4" t="str">
        <f t="shared" si="391"/>
        <v>Huyện Quan Hóa</v>
      </c>
      <c r="F4773" s="3" t="s">
        <v>5536</v>
      </c>
      <c r="G4773" s="4" t="str">
        <f>HYPERLINK("https://diaocthongthai.com/xa-nam-dong-quan-hoa/","Xã Nam Động")</f>
        <v>Xã Nam Động</v>
      </c>
    </row>
    <row r="4774" spans="1:7" x14ac:dyDescent="0.25">
      <c r="A4774" s="2">
        <v>4773</v>
      </c>
      <c r="B4774" s="3" t="s">
        <v>28</v>
      </c>
      <c r="C4774" s="4" t="str">
        <f t="shared" si="392"/>
        <v>Thanh Hóa</v>
      </c>
      <c r="D4774" s="3" t="s">
        <v>336</v>
      </c>
      <c r="E4774" s="4" t="str">
        <f t="shared" ref="E4774:E4794" si="393">HYPERLINK("https://diaocthongthai.com/ban-do-huyen-ba-thuoc-thanh-hoa/","Huyện Bá Thước")</f>
        <v>Huyện Bá Thước</v>
      </c>
      <c r="F4774" s="3" t="s">
        <v>5537</v>
      </c>
      <c r="G4774" s="4" t="str">
        <f>HYPERLINK("https://diaocthongthai.com/thi-tran-canh-nang-ba-thuoc/","Thị trấn Cành Nàng")</f>
        <v>Thị trấn Cành Nàng</v>
      </c>
    </row>
    <row r="4775" spans="1:7" x14ac:dyDescent="0.25">
      <c r="A4775" s="2">
        <v>4774</v>
      </c>
      <c r="B4775" s="3" t="s">
        <v>28</v>
      </c>
      <c r="C4775" s="4" t="str">
        <f t="shared" si="392"/>
        <v>Thanh Hóa</v>
      </c>
      <c r="D4775" s="3" t="s">
        <v>336</v>
      </c>
      <c r="E4775" s="4" t="str">
        <f t="shared" si="393"/>
        <v>Huyện Bá Thước</v>
      </c>
      <c r="F4775" s="3" t="s">
        <v>5538</v>
      </c>
      <c r="G4775" s="4" t="str">
        <f>HYPERLINK("https://diaocthongthai.com/xa-dien-thuong-ba-thuoc/","Xã Điền Thượng")</f>
        <v>Xã Điền Thượng</v>
      </c>
    </row>
    <row r="4776" spans="1:7" x14ac:dyDescent="0.25">
      <c r="A4776" s="2">
        <v>4775</v>
      </c>
      <c r="B4776" s="3" t="s">
        <v>28</v>
      </c>
      <c r="C4776" s="4" t="str">
        <f t="shared" si="392"/>
        <v>Thanh Hóa</v>
      </c>
      <c r="D4776" s="3" t="s">
        <v>336</v>
      </c>
      <c r="E4776" s="4" t="str">
        <f t="shared" si="393"/>
        <v>Huyện Bá Thước</v>
      </c>
      <c r="F4776" s="3" t="s">
        <v>5539</v>
      </c>
      <c r="G4776" s="4" t="str">
        <f>HYPERLINK("https://diaocthongthai.com/xa-dien-ha-ba-thuoc/","Xã Điền Hạ")</f>
        <v>Xã Điền Hạ</v>
      </c>
    </row>
    <row r="4777" spans="1:7" x14ac:dyDescent="0.25">
      <c r="A4777" s="2">
        <v>4776</v>
      </c>
      <c r="B4777" s="3" t="s">
        <v>28</v>
      </c>
      <c r="C4777" s="4" t="str">
        <f t="shared" si="392"/>
        <v>Thanh Hóa</v>
      </c>
      <c r="D4777" s="3" t="s">
        <v>336</v>
      </c>
      <c r="E4777" s="4" t="str">
        <f t="shared" si="393"/>
        <v>Huyện Bá Thước</v>
      </c>
      <c r="F4777" s="3" t="s">
        <v>5540</v>
      </c>
      <c r="G4777" s="4" t="str">
        <f>HYPERLINK("https://diaocthongthai.com/xa-dien-quang-ba-thuoc/","Xã Điền Quang")</f>
        <v>Xã Điền Quang</v>
      </c>
    </row>
    <row r="4778" spans="1:7" x14ac:dyDescent="0.25">
      <c r="A4778" s="2">
        <v>4777</v>
      </c>
      <c r="B4778" s="3" t="s">
        <v>28</v>
      </c>
      <c r="C4778" s="4" t="str">
        <f t="shared" si="392"/>
        <v>Thanh Hóa</v>
      </c>
      <c r="D4778" s="3" t="s">
        <v>336</v>
      </c>
      <c r="E4778" s="4" t="str">
        <f t="shared" si="393"/>
        <v>Huyện Bá Thước</v>
      </c>
      <c r="F4778" s="3" t="s">
        <v>5541</v>
      </c>
      <c r="G4778" s="4" t="str">
        <f>HYPERLINK("https://diaocthongthai.com/xa-dien-trung-ba-thuoc/","Xã Điền Trung")</f>
        <v>Xã Điền Trung</v>
      </c>
    </row>
    <row r="4779" spans="1:7" x14ac:dyDescent="0.25">
      <c r="A4779" s="2">
        <v>4778</v>
      </c>
      <c r="B4779" s="3" t="s">
        <v>28</v>
      </c>
      <c r="C4779" s="4" t="str">
        <f t="shared" si="392"/>
        <v>Thanh Hóa</v>
      </c>
      <c r="D4779" s="3" t="s">
        <v>336</v>
      </c>
      <c r="E4779" s="4" t="str">
        <f t="shared" si="393"/>
        <v>Huyện Bá Thước</v>
      </c>
      <c r="F4779" s="3" t="s">
        <v>5542</v>
      </c>
      <c r="G4779" s="4" t="str">
        <f>HYPERLINK("https://diaocthongthai.com/xa-thanh-son-ba-thuoc/","Xã Thành Sơn")</f>
        <v>Xã Thành Sơn</v>
      </c>
    </row>
    <row r="4780" spans="1:7" x14ac:dyDescent="0.25">
      <c r="A4780" s="2">
        <v>4779</v>
      </c>
      <c r="B4780" s="3" t="s">
        <v>28</v>
      </c>
      <c r="C4780" s="4" t="str">
        <f t="shared" si="392"/>
        <v>Thanh Hóa</v>
      </c>
      <c r="D4780" s="3" t="s">
        <v>336</v>
      </c>
      <c r="E4780" s="4" t="str">
        <f t="shared" si="393"/>
        <v>Huyện Bá Thước</v>
      </c>
      <c r="F4780" s="3" t="s">
        <v>5543</v>
      </c>
      <c r="G4780" s="4" t="str">
        <f>HYPERLINK("https://diaocthongthai.com/xa-luong-ngoai-ba-thuoc/","Xã Lương Ngoại")</f>
        <v>Xã Lương Ngoại</v>
      </c>
    </row>
    <row r="4781" spans="1:7" x14ac:dyDescent="0.25">
      <c r="A4781" s="2">
        <v>4780</v>
      </c>
      <c r="B4781" s="3" t="s">
        <v>28</v>
      </c>
      <c r="C4781" s="4" t="str">
        <f t="shared" si="392"/>
        <v>Thanh Hóa</v>
      </c>
      <c r="D4781" s="3" t="s">
        <v>336</v>
      </c>
      <c r="E4781" s="4" t="str">
        <f t="shared" si="393"/>
        <v>Huyện Bá Thước</v>
      </c>
      <c r="F4781" s="3" t="s">
        <v>5544</v>
      </c>
      <c r="G4781" s="4" t="str">
        <f>HYPERLINK("https://diaocthongthai.com/xa-ai-thuong-ba-thuoc/","Xã Ái Thượng")</f>
        <v>Xã Ái Thượng</v>
      </c>
    </row>
    <row r="4782" spans="1:7" x14ac:dyDescent="0.25">
      <c r="A4782" s="2">
        <v>4781</v>
      </c>
      <c r="B4782" s="3" t="s">
        <v>28</v>
      </c>
      <c r="C4782" s="4" t="str">
        <f t="shared" si="392"/>
        <v>Thanh Hóa</v>
      </c>
      <c r="D4782" s="3" t="s">
        <v>336</v>
      </c>
      <c r="E4782" s="4" t="str">
        <f t="shared" si="393"/>
        <v>Huyện Bá Thước</v>
      </c>
      <c r="F4782" s="3" t="s">
        <v>5545</v>
      </c>
      <c r="G4782" s="4" t="str">
        <f>HYPERLINK("https://diaocthongthai.com/xa-luong-noi-ba-thuoc/","Xã Lương Nội")</f>
        <v>Xã Lương Nội</v>
      </c>
    </row>
    <row r="4783" spans="1:7" x14ac:dyDescent="0.25">
      <c r="A4783" s="2">
        <v>4782</v>
      </c>
      <c r="B4783" s="3" t="s">
        <v>28</v>
      </c>
      <c r="C4783" s="4" t="str">
        <f t="shared" si="392"/>
        <v>Thanh Hóa</v>
      </c>
      <c r="D4783" s="3" t="s">
        <v>336</v>
      </c>
      <c r="E4783" s="4" t="str">
        <f t="shared" si="393"/>
        <v>Huyện Bá Thước</v>
      </c>
      <c r="F4783" s="3" t="s">
        <v>5546</v>
      </c>
      <c r="G4783" s="4" t="str">
        <f>HYPERLINK("https://diaocthongthai.com/xa-dien-lu-ba-thuoc/","Xã Điền Lư")</f>
        <v>Xã Điền Lư</v>
      </c>
    </row>
    <row r="4784" spans="1:7" x14ac:dyDescent="0.25">
      <c r="A4784" s="2">
        <v>4783</v>
      </c>
      <c r="B4784" s="3" t="s">
        <v>28</v>
      </c>
      <c r="C4784" s="4" t="str">
        <f t="shared" si="392"/>
        <v>Thanh Hóa</v>
      </c>
      <c r="D4784" s="3" t="s">
        <v>336</v>
      </c>
      <c r="E4784" s="4" t="str">
        <f t="shared" si="393"/>
        <v>Huyện Bá Thước</v>
      </c>
      <c r="F4784" s="3" t="s">
        <v>5547</v>
      </c>
      <c r="G4784" s="4" t="str">
        <f>HYPERLINK("https://diaocthongthai.com/xa-luong-trung-ba-thuoc/","Xã Lương Trung")</f>
        <v>Xã Lương Trung</v>
      </c>
    </row>
    <row r="4785" spans="1:7" x14ac:dyDescent="0.25">
      <c r="A4785" s="2">
        <v>4784</v>
      </c>
      <c r="B4785" s="3" t="s">
        <v>28</v>
      </c>
      <c r="C4785" s="4" t="str">
        <f t="shared" si="392"/>
        <v>Thanh Hóa</v>
      </c>
      <c r="D4785" s="3" t="s">
        <v>336</v>
      </c>
      <c r="E4785" s="4" t="str">
        <f t="shared" si="393"/>
        <v>Huyện Bá Thước</v>
      </c>
      <c r="F4785" s="3" t="s">
        <v>5548</v>
      </c>
      <c r="G4785" s="4" t="str">
        <f>HYPERLINK("https://diaocthongthai.com/xa-lung-niem-ba-thuoc/","Xã Lũng Niêm")</f>
        <v>Xã Lũng Niêm</v>
      </c>
    </row>
    <row r="4786" spans="1:7" x14ac:dyDescent="0.25">
      <c r="A4786" s="2">
        <v>4785</v>
      </c>
      <c r="B4786" s="3" t="s">
        <v>28</v>
      </c>
      <c r="C4786" s="4" t="str">
        <f t="shared" si="392"/>
        <v>Thanh Hóa</v>
      </c>
      <c r="D4786" s="3" t="s">
        <v>336</v>
      </c>
      <c r="E4786" s="4" t="str">
        <f t="shared" si="393"/>
        <v>Huyện Bá Thước</v>
      </c>
      <c r="F4786" s="3" t="s">
        <v>5549</v>
      </c>
      <c r="G4786" s="4" t="str">
        <f>HYPERLINK("https://diaocthongthai.com/xa-lung-cao-ba-thuoc/","Xã Lũng Cao")</f>
        <v>Xã Lũng Cao</v>
      </c>
    </row>
    <row r="4787" spans="1:7" x14ac:dyDescent="0.25">
      <c r="A4787" s="2">
        <v>4786</v>
      </c>
      <c r="B4787" s="3" t="s">
        <v>28</v>
      </c>
      <c r="C4787" s="4" t="str">
        <f t="shared" si="392"/>
        <v>Thanh Hóa</v>
      </c>
      <c r="D4787" s="3" t="s">
        <v>336</v>
      </c>
      <c r="E4787" s="4" t="str">
        <f t="shared" si="393"/>
        <v>Huyện Bá Thước</v>
      </c>
      <c r="F4787" s="3" t="s">
        <v>5550</v>
      </c>
      <c r="G4787" s="4" t="str">
        <f>HYPERLINK("https://diaocthongthai.com/xa-ha-trung-ba-thuoc/","Xã Hạ Trung")</f>
        <v>Xã Hạ Trung</v>
      </c>
    </row>
    <row r="4788" spans="1:7" x14ac:dyDescent="0.25">
      <c r="A4788" s="2">
        <v>4787</v>
      </c>
      <c r="B4788" s="3" t="s">
        <v>28</v>
      </c>
      <c r="C4788" s="4" t="str">
        <f t="shared" si="392"/>
        <v>Thanh Hóa</v>
      </c>
      <c r="D4788" s="3" t="s">
        <v>336</v>
      </c>
      <c r="E4788" s="4" t="str">
        <f t="shared" si="393"/>
        <v>Huyện Bá Thước</v>
      </c>
      <c r="F4788" s="3" t="s">
        <v>5551</v>
      </c>
      <c r="G4788" s="4" t="str">
        <f>HYPERLINK("https://diaocthongthai.com/xa-co-lung-ba-thuoc/","Xã Cổ Lũng")</f>
        <v>Xã Cổ Lũng</v>
      </c>
    </row>
    <row r="4789" spans="1:7" x14ac:dyDescent="0.25">
      <c r="A4789" s="2">
        <v>4788</v>
      </c>
      <c r="B4789" s="3" t="s">
        <v>28</v>
      </c>
      <c r="C4789" s="4" t="str">
        <f t="shared" si="392"/>
        <v>Thanh Hóa</v>
      </c>
      <c r="D4789" s="3" t="s">
        <v>336</v>
      </c>
      <c r="E4789" s="4" t="str">
        <f t="shared" si="393"/>
        <v>Huyện Bá Thước</v>
      </c>
      <c r="F4789" s="3" t="s">
        <v>5552</v>
      </c>
      <c r="G4789" s="4" t="str">
        <f>HYPERLINK("https://diaocthongthai.com/xa-thanh-lam-ba-thuoc/","Xã Thành Lâm")</f>
        <v>Xã Thành Lâm</v>
      </c>
    </row>
    <row r="4790" spans="1:7" x14ac:dyDescent="0.25">
      <c r="A4790" s="2">
        <v>4789</v>
      </c>
      <c r="B4790" s="3" t="s">
        <v>28</v>
      </c>
      <c r="C4790" s="4" t="str">
        <f t="shared" si="392"/>
        <v>Thanh Hóa</v>
      </c>
      <c r="D4790" s="3" t="s">
        <v>336</v>
      </c>
      <c r="E4790" s="4" t="str">
        <f t="shared" si="393"/>
        <v>Huyện Bá Thước</v>
      </c>
      <c r="F4790" s="3" t="s">
        <v>5553</v>
      </c>
      <c r="G4790" s="4" t="str">
        <f>HYPERLINK("https://diaocthongthai.com/xa-ban-cong-ba-thuoc/","Xã Ban Công")</f>
        <v>Xã Ban Công</v>
      </c>
    </row>
    <row r="4791" spans="1:7" x14ac:dyDescent="0.25">
      <c r="A4791" s="2">
        <v>4790</v>
      </c>
      <c r="B4791" s="3" t="s">
        <v>28</v>
      </c>
      <c r="C4791" s="4" t="str">
        <f t="shared" si="392"/>
        <v>Thanh Hóa</v>
      </c>
      <c r="D4791" s="3" t="s">
        <v>336</v>
      </c>
      <c r="E4791" s="4" t="str">
        <f t="shared" si="393"/>
        <v>Huyện Bá Thước</v>
      </c>
      <c r="F4791" s="3" t="s">
        <v>5554</v>
      </c>
      <c r="G4791" s="4" t="str">
        <f>HYPERLINK("https://diaocthongthai.com/xa-ky-tan-ba-thuoc/","Xã Kỳ Tân")</f>
        <v>Xã Kỳ Tân</v>
      </c>
    </row>
    <row r="4792" spans="1:7" x14ac:dyDescent="0.25">
      <c r="A4792" s="2">
        <v>4791</v>
      </c>
      <c r="B4792" s="3" t="s">
        <v>28</v>
      </c>
      <c r="C4792" s="4" t="str">
        <f t="shared" si="392"/>
        <v>Thanh Hóa</v>
      </c>
      <c r="D4792" s="3" t="s">
        <v>336</v>
      </c>
      <c r="E4792" s="4" t="str">
        <f t="shared" si="393"/>
        <v>Huyện Bá Thước</v>
      </c>
      <c r="F4792" s="3" t="s">
        <v>5555</v>
      </c>
      <c r="G4792" s="4" t="str">
        <f>HYPERLINK("https://diaocthongthai.com/xa-van-nho-ba-thuoc/","Xã Văn Nho")</f>
        <v>Xã Văn Nho</v>
      </c>
    </row>
    <row r="4793" spans="1:7" x14ac:dyDescent="0.25">
      <c r="A4793" s="2">
        <v>4792</v>
      </c>
      <c r="B4793" s="3" t="s">
        <v>28</v>
      </c>
      <c r="C4793" s="4" t="str">
        <f t="shared" si="392"/>
        <v>Thanh Hóa</v>
      </c>
      <c r="D4793" s="3" t="s">
        <v>336</v>
      </c>
      <c r="E4793" s="4" t="str">
        <f t="shared" si="393"/>
        <v>Huyện Bá Thước</v>
      </c>
      <c r="F4793" s="3" t="s">
        <v>5556</v>
      </c>
      <c r="G4793" s="4" t="str">
        <f>HYPERLINK("https://diaocthongthai.com/xa-thiet-ong-ba-thuoc/","Xã Thiết Ống")</f>
        <v>Xã Thiết Ống</v>
      </c>
    </row>
    <row r="4794" spans="1:7" x14ac:dyDescent="0.25">
      <c r="A4794" s="2">
        <v>4793</v>
      </c>
      <c r="B4794" s="3" t="s">
        <v>28</v>
      </c>
      <c r="C4794" s="4" t="str">
        <f t="shared" si="392"/>
        <v>Thanh Hóa</v>
      </c>
      <c r="D4794" s="3" t="s">
        <v>336</v>
      </c>
      <c r="E4794" s="4" t="str">
        <f t="shared" si="393"/>
        <v>Huyện Bá Thước</v>
      </c>
      <c r="F4794" s="3" t="s">
        <v>5557</v>
      </c>
      <c r="G4794" s="4" t="str">
        <f>HYPERLINK("https://diaocthongthai.com/xa-thiet-ke-ba-thuoc/","Xã Thiết Kế")</f>
        <v>Xã Thiết Kế</v>
      </c>
    </row>
    <row r="4795" spans="1:7" x14ac:dyDescent="0.25">
      <c r="A4795" s="2">
        <v>4794</v>
      </c>
      <c r="B4795" s="3" t="s">
        <v>28</v>
      </c>
      <c r="C4795" s="4" t="str">
        <f t="shared" si="392"/>
        <v>Thanh Hóa</v>
      </c>
      <c r="D4795" s="3" t="s">
        <v>337</v>
      </c>
      <c r="E4795" s="4" t="str">
        <f t="shared" ref="E4795:E4806" si="394">HYPERLINK("https://diaocthongthai.com/ban-do-huyen-quan-son-thanh-hoa/","Huyện Quan Sơn")</f>
        <v>Huyện Quan Sơn</v>
      </c>
      <c r="F4795" s="3" t="s">
        <v>5558</v>
      </c>
      <c r="G4795" s="4" t="str">
        <f>HYPERLINK("https://diaocthongthai.com/xa-trung-xuan-quan-son/","Xã Trung Xuân")</f>
        <v>Xã Trung Xuân</v>
      </c>
    </row>
    <row r="4796" spans="1:7" x14ac:dyDescent="0.25">
      <c r="A4796" s="2">
        <v>4795</v>
      </c>
      <c r="B4796" s="3" t="s">
        <v>28</v>
      </c>
      <c r="C4796" s="4" t="str">
        <f t="shared" si="392"/>
        <v>Thanh Hóa</v>
      </c>
      <c r="D4796" s="3" t="s">
        <v>337</v>
      </c>
      <c r="E4796" s="4" t="str">
        <f t="shared" si="394"/>
        <v>Huyện Quan Sơn</v>
      </c>
      <c r="F4796" s="3" t="s">
        <v>5559</v>
      </c>
      <c r="G4796" s="4" t="str">
        <f>HYPERLINK("https://diaocthongthai.com/xa-trung-thuong-quan-son/","Xã Trung Thượng")</f>
        <v>Xã Trung Thượng</v>
      </c>
    </row>
    <row r="4797" spans="1:7" x14ac:dyDescent="0.25">
      <c r="A4797" s="2">
        <v>4796</v>
      </c>
      <c r="B4797" s="3" t="s">
        <v>28</v>
      </c>
      <c r="C4797" s="4" t="str">
        <f t="shared" si="392"/>
        <v>Thanh Hóa</v>
      </c>
      <c r="D4797" s="3" t="s">
        <v>337</v>
      </c>
      <c r="E4797" s="4" t="str">
        <f t="shared" si="394"/>
        <v>Huyện Quan Sơn</v>
      </c>
      <c r="F4797" s="3" t="s">
        <v>5560</v>
      </c>
      <c r="G4797" s="4" t="str">
        <f>HYPERLINK("https://diaocthongthai.com/xa-trung-tien-quan-son/","Xã Trung Tiến")</f>
        <v>Xã Trung Tiến</v>
      </c>
    </row>
    <row r="4798" spans="1:7" x14ac:dyDescent="0.25">
      <c r="A4798" s="2">
        <v>4797</v>
      </c>
      <c r="B4798" s="3" t="s">
        <v>28</v>
      </c>
      <c r="C4798" s="4" t="str">
        <f t="shared" si="392"/>
        <v>Thanh Hóa</v>
      </c>
      <c r="D4798" s="3" t="s">
        <v>337</v>
      </c>
      <c r="E4798" s="4" t="str">
        <f t="shared" si="394"/>
        <v>Huyện Quan Sơn</v>
      </c>
      <c r="F4798" s="3" t="s">
        <v>5561</v>
      </c>
      <c r="G4798" s="4" t="str">
        <f>HYPERLINK("https://diaocthongthai.com/xa-trung-ha-quan-son/","Xã Trung Hạ")</f>
        <v>Xã Trung Hạ</v>
      </c>
    </row>
    <row r="4799" spans="1:7" x14ac:dyDescent="0.25">
      <c r="A4799" s="2">
        <v>4798</v>
      </c>
      <c r="B4799" s="3" t="s">
        <v>28</v>
      </c>
      <c r="C4799" s="4" t="str">
        <f t="shared" si="392"/>
        <v>Thanh Hóa</v>
      </c>
      <c r="D4799" s="3" t="s">
        <v>337</v>
      </c>
      <c r="E4799" s="4" t="str">
        <f t="shared" si="394"/>
        <v>Huyện Quan Sơn</v>
      </c>
      <c r="F4799" s="3" t="s">
        <v>5562</v>
      </c>
      <c r="G4799" s="4" t="str">
        <f>HYPERLINK("https://diaocthongthai.com/xa-son-ha-quan-son/","Xã Sơn Hà")</f>
        <v>Xã Sơn Hà</v>
      </c>
    </row>
    <row r="4800" spans="1:7" x14ac:dyDescent="0.25">
      <c r="A4800" s="2">
        <v>4799</v>
      </c>
      <c r="B4800" s="3" t="s">
        <v>28</v>
      </c>
      <c r="C4800" s="4" t="str">
        <f t="shared" si="392"/>
        <v>Thanh Hóa</v>
      </c>
      <c r="D4800" s="3" t="s">
        <v>337</v>
      </c>
      <c r="E4800" s="4" t="str">
        <f t="shared" si="394"/>
        <v>Huyện Quan Sơn</v>
      </c>
      <c r="F4800" s="3" t="s">
        <v>5563</v>
      </c>
      <c r="G4800" s="4" t="str">
        <f>HYPERLINK("https://diaocthongthai.com/xa-tam-thanh-quan-son/","Xã Tam Thanh")</f>
        <v>Xã Tam Thanh</v>
      </c>
    </row>
    <row r="4801" spans="1:7" x14ac:dyDescent="0.25">
      <c r="A4801" s="2">
        <v>4800</v>
      </c>
      <c r="B4801" s="3" t="s">
        <v>28</v>
      </c>
      <c r="C4801" s="4" t="str">
        <f t="shared" si="392"/>
        <v>Thanh Hóa</v>
      </c>
      <c r="D4801" s="3" t="s">
        <v>337</v>
      </c>
      <c r="E4801" s="4" t="str">
        <f t="shared" si="394"/>
        <v>Huyện Quan Sơn</v>
      </c>
      <c r="F4801" s="3" t="s">
        <v>5564</v>
      </c>
      <c r="G4801" s="4" t="str">
        <f>HYPERLINK("https://diaocthongthai.com/xa-son-thuy-quan-son/","Xã Sơn Thủy")</f>
        <v>Xã Sơn Thủy</v>
      </c>
    </row>
    <row r="4802" spans="1:7" x14ac:dyDescent="0.25">
      <c r="A4802" s="2">
        <v>4801</v>
      </c>
      <c r="B4802" s="3" t="s">
        <v>28</v>
      </c>
      <c r="C4802" s="4" t="str">
        <f t="shared" si="392"/>
        <v>Thanh Hóa</v>
      </c>
      <c r="D4802" s="3" t="s">
        <v>337</v>
      </c>
      <c r="E4802" s="4" t="str">
        <f t="shared" si="394"/>
        <v>Huyện Quan Sơn</v>
      </c>
      <c r="F4802" s="3" t="s">
        <v>5565</v>
      </c>
      <c r="G4802" s="4" t="str">
        <f>HYPERLINK("https://diaocthongthai.com/xa-na-meo-quan-son/","Xã Na Mèo")</f>
        <v>Xã Na Mèo</v>
      </c>
    </row>
    <row r="4803" spans="1:7" x14ac:dyDescent="0.25">
      <c r="A4803" s="2">
        <v>4802</v>
      </c>
      <c r="B4803" s="3" t="s">
        <v>28</v>
      </c>
      <c r="C4803" s="4" t="str">
        <f t="shared" si="392"/>
        <v>Thanh Hóa</v>
      </c>
      <c r="D4803" s="3" t="s">
        <v>337</v>
      </c>
      <c r="E4803" s="4" t="str">
        <f t="shared" si="394"/>
        <v>Huyện Quan Sơn</v>
      </c>
      <c r="F4803" s="3" t="s">
        <v>5566</v>
      </c>
      <c r="G4803" s="4" t="str">
        <f>HYPERLINK("https://diaocthongthai.com/thi-tran-son-lu-quan-son/","Thị trấn Sơn Lư")</f>
        <v>Thị trấn Sơn Lư</v>
      </c>
    </row>
    <row r="4804" spans="1:7" x14ac:dyDescent="0.25">
      <c r="A4804" s="2">
        <v>4803</v>
      </c>
      <c r="B4804" s="3" t="s">
        <v>28</v>
      </c>
      <c r="C4804" s="4" t="str">
        <f t="shared" si="392"/>
        <v>Thanh Hóa</v>
      </c>
      <c r="D4804" s="3" t="s">
        <v>337</v>
      </c>
      <c r="E4804" s="4" t="str">
        <f t="shared" si="394"/>
        <v>Huyện Quan Sơn</v>
      </c>
      <c r="F4804" s="3" t="s">
        <v>5567</v>
      </c>
      <c r="G4804" s="4" t="str">
        <f>HYPERLINK("https://diaocthongthai.com/xa-tam-lu-quan-son/","Xã Tam Lư")</f>
        <v>Xã Tam Lư</v>
      </c>
    </row>
    <row r="4805" spans="1:7" x14ac:dyDescent="0.25">
      <c r="A4805" s="2">
        <v>4804</v>
      </c>
      <c r="B4805" s="3" t="s">
        <v>28</v>
      </c>
      <c r="C4805" s="4" t="str">
        <f t="shared" si="392"/>
        <v>Thanh Hóa</v>
      </c>
      <c r="D4805" s="3" t="s">
        <v>337</v>
      </c>
      <c r="E4805" s="4" t="str">
        <f t="shared" si="394"/>
        <v>Huyện Quan Sơn</v>
      </c>
      <c r="F4805" s="3" t="s">
        <v>5568</v>
      </c>
      <c r="G4805" s="4" t="str">
        <f>HYPERLINK("https://diaocthongthai.com/xa-son-dien-quan-son/","Xã Sơn Điện")</f>
        <v>Xã Sơn Điện</v>
      </c>
    </row>
    <row r="4806" spans="1:7" x14ac:dyDescent="0.25">
      <c r="A4806" s="2">
        <v>4805</v>
      </c>
      <c r="B4806" s="3" t="s">
        <v>28</v>
      </c>
      <c r="C4806" s="4" t="str">
        <f t="shared" si="392"/>
        <v>Thanh Hóa</v>
      </c>
      <c r="D4806" s="3" t="s">
        <v>337</v>
      </c>
      <c r="E4806" s="4" t="str">
        <f t="shared" si="394"/>
        <v>Huyện Quan Sơn</v>
      </c>
      <c r="F4806" s="3" t="s">
        <v>5569</v>
      </c>
      <c r="G4806" s="4" t="str">
        <f>HYPERLINK("https://diaocthongthai.com/xa-muong-min-quan-son/","Xã Mường Mìn")</f>
        <v>Xã Mường Mìn</v>
      </c>
    </row>
    <row r="4807" spans="1:7" x14ac:dyDescent="0.25">
      <c r="A4807" s="2">
        <v>4806</v>
      </c>
      <c r="B4807" s="3" t="s">
        <v>28</v>
      </c>
      <c r="C4807" s="4" t="str">
        <f t="shared" si="392"/>
        <v>Thanh Hóa</v>
      </c>
      <c r="D4807" s="3" t="s">
        <v>338</v>
      </c>
      <c r="E4807" s="4" t="str">
        <f t="shared" ref="E4807:E4816" si="395">HYPERLINK("https://diaocthongthai.com/ban-do-huyen-lang-chanh-thanh-hoa/","Huyện Lang Chánh")</f>
        <v>Huyện Lang Chánh</v>
      </c>
      <c r="F4807" s="3" t="s">
        <v>5570</v>
      </c>
      <c r="G4807" s="4" t="str">
        <f>HYPERLINK("https://diaocthongthai.com/xa-yen-khuong-lang-chanh/","Xã Yên Khương")</f>
        <v>Xã Yên Khương</v>
      </c>
    </row>
    <row r="4808" spans="1:7" x14ac:dyDescent="0.25">
      <c r="A4808" s="2">
        <v>4807</v>
      </c>
      <c r="B4808" s="3" t="s">
        <v>28</v>
      </c>
      <c r="C4808" s="4" t="str">
        <f t="shared" si="392"/>
        <v>Thanh Hóa</v>
      </c>
      <c r="D4808" s="3" t="s">
        <v>338</v>
      </c>
      <c r="E4808" s="4" t="str">
        <f t="shared" si="395"/>
        <v>Huyện Lang Chánh</v>
      </c>
      <c r="F4808" s="3" t="s">
        <v>5571</v>
      </c>
      <c r="G4808" s="4" t="str">
        <f>HYPERLINK("https://diaocthongthai.com/xa-yen-thang-lang-chanh/","Xã Yên Thắng")</f>
        <v>Xã Yên Thắng</v>
      </c>
    </row>
    <row r="4809" spans="1:7" x14ac:dyDescent="0.25">
      <c r="A4809" s="2">
        <v>4808</v>
      </c>
      <c r="B4809" s="3" t="s">
        <v>28</v>
      </c>
      <c r="C4809" s="4" t="str">
        <f t="shared" si="392"/>
        <v>Thanh Hóa</v>
      </c>
      <c r="D4809" s="3" t="s">
        <v>338</v>
      </c>
      <c r="E4809" s="4" t="str">
        <f t="shared" si="395"/>
        <v>Huyện Lang Chánh</v>
      </c>
      <c r="F4809" s="3" t="s">
        <v>5572</v>
      </c>
      <c r="G4809" s="4" t="str">
        <f>HYPERLINK("https://diaocthongthai.com/xa-tri-nang-lang-chanh/","Xã Trí Nang")</f>
        <v>Xã Trí Nang</v>
      </c>
    </row>
    <row r="4810" spans="1:7" x14ac:dyDescent="0.25">
      <c r="A4810" s="2">
        <v>4809</v>
      </c>
      <c r="B4810" s="3" t="s">
        <v>28</v>
      </c>
      <c r="C4810" s="4" t="str">
        <f t="shared" si="392"/>
        <v>Thanh Hóa</v>
      </c>
      <c r="D4810" s="3" t="s">
        <v>338</v>
      </c>
      <c r="E4810" s="4" t="str">
        <f t="shared" si="395"/>
        <v>Huyện Lang Chánh</v>
      </c>
      <c r="F4810" s="3" t="s">
        <v>5573</v>
      </c>
      <c r="G4810" s="4" t="str">
        <f>HYPERLINK("https://diaocthongthai.com/xa-giao-an-lang-chanh/","Xã Giao An")</f>
        <v>Xã Giao An</v>
      </c>
    </row>
    <row r="4811" spans="1:7" x14ac:dyDescent="0.25">
      <c r="A4811" s="2">
        <v>4810</v>
      </c>
      <c r="B4811" s="3" t="s">
        <v>28</v>
      </c>
      <c r="C4811" s="4" t="str">
        <f t="shared" si="392"/>
        <v>Thanh Hóa</v>
      </c>
      <c r="D4811" s="3" t="s">
        <v>338</v>
      </c>
      <c r="E4811" s="4" t="str">
        <f t="shared" si="395"/>
        <v>Huyện Lang Chánh</v>
      </c>
      <c r="F4811" s="3" t="s">
        <v>5574</v>
      </c>
      <c r="G4811" s="4" t="str">
        <f>HYPERLINK("https://diaocthongthai.com/xa-giao-thien-lang-chanh/","Xã Giao Thiện")</f>
        <v>Xã Giao Thiện</v>
      </c>
    </row>
    <row r="4812" spans="1:7" x14ac:dyDescent="0.25">
      <c r="A4812" s="2">
        <v>4811</v>
      </c>
      <c r="B4812" s="3" t="s">
        <v>28</v>
      </c>
      <c r="C4812" s="4" t="str">
        <f t="shared" si="392"/>
        <v>Thanh Hóa</v>
      </c>
      <c r="D4812" s="3" t="s">
        <v>338</v>
      </c>
      <c r="E4812" s="4" t="str">
        <f t="shared" si="395"/>
        <v>Huyện Lang Chánh</v>
      </c>
      <c r="F4812" s="3" t="s">
        <v>5575</v>
      </c>
      <c r="G4812" s="4" t="str">
        <f>HYPERLINK("https://diaocthongthai.com/xa-tan-phuc-lang-chanh/","Xã Tân Phúc")</f>
        <v>Xã Tân Phúc</v>
      </c>
    </row>
    <row r="4813" spans="1:7" x14ac:dyDescent="0.25">
      <c r="A4813" s="2">
        <v>4812</v>
      </c>
      <c r="B4813" s="3" t="s">
        <v>28</v>
      </c>
      <c r="C4813" s="4" t="str">
        <f t="shared" si="392"/>
        <v>Thanh Hóa</v>
      </c>
      <c r="D4813" s="3" t="s">
        <v>338</v>
      </c>
      <c r="E4813" s="4" t="str">
        <f t="shared" si="395"/>
        <v>Huyện Lang Chánh</v>
      </c>
      <c r="F4813" s="3" t="s">
        <v>5576</v>
      </c>
      <c r="G4813" s="4" t="str">
        <f>HYPERLINK("https://diaocthongthai.com/xa-tam-van-lang-chanh/","Xã Tam Văn")</f>
        <v>Xã Tam Văn</v>
      </c>
    </row>
    <row r="4814" spans="1:7" x14ac:dyDescent="0.25">
      <c r="A4814" s="2">
        <v>4813</v>
      </c>
      <c r="B4814" s="3" t="s">
        <v>28</v>
      </c>
      <c r="C4814" s="4" t="str">
        <f t="shared" si="392"/>
        <v>Thanh Hóa</v>
      </c>
      <c r="D4814" s="3" t="s">
        <v>338</v>
      </c>
      <c r="E4814" s="4" t="str">
        <f t="shared" si="395"/>
        <v>Huyện Lang Chánh</v>
      </c>
      <c r="F4814" s="3" t="s">
        <v>5577</v>
      </c>
      <c r="G4814" s="4" t="str">
        <f>HYPERLINK("https://diaocthongthai.com/xa-lam-phu-lang-chanh/","Xã Lâm Phú")</f>
        <v>Xã Lâm Phú</v>
      </c>
    </row>
    <row r="4815" spans="1:7" x14ac:dyDescent="0.25">
      <c r="A4815" s="2">
        <v>4814</v>
      </c>
      <c r="B4815" s="3" t="s">
        <v>28</v>
      </c>
      <c r="C4815" s="4" t="str">
        <f t="shared" si="392"/>
        <v>Thanh Hóa</v>
      </c>
      <c r="D4815" s="3" t="s">
        <v>338</v>
      </c>
      <c r="E4815" s="4" t="str">
        <f t="shared" si="395"/>
        <v>Huyện Lang Chánh</v>
      </c>
      <c r="F4815" s="3" t="s">
        <v>5578</v>
      </c>
      <c r="G4815" s="4" t="str">
        <f>HYPERLINK("https://diaocthongthai.com/thi-tran-lang-chanh-lang-chanh/","Thị trấn Lang Chánh")</f>
        <v>Thị trấn Lang Chánh</v>
      </c>
    </row>
    <row r="4816" spans="1:7" x14ac:dyDescent="0.25">
      <c r="A4816" s="2">
        <v>4815</v>
      </c>
      <c r="B4816" s="3" t="s">
        <v>28</v>
      </c>
      <c r="C4816" s="4" t="str">
        <f t="shared" si="392"/>
        <v>Thanh Hóa</v>
      </c>
      <c r="D4816" s="3" t="s">
        <v>338</v>
      </c>
      <c r="E4816" s="4" t="str">
        <f t="shared" si="395"/>
        <v>Huyện Lang Chánh</v>
      </c>
      <c r="F4816" s="3" t="s">
        <v>5579</v>
      </c>
      <c r="G4816" s="4" t="str">
        <f>HYPERLINK("https://diaocthongthai.com/xa-dong-luong-lang-chanh/","Xã Đồng Lương")</f>
        <v>Xã Đồng Lương</v>
      </c>
    </row>
    <row r="4817" spans="1:7" x14ac:dyDescent="0.25">
      <c r="A4817" s="2">
        <v>4816</v>
      </c>
      <c r="B4817" s="3" t="s">
        <v>28</v>
      </c>
      <c r="C4817" s="4" t="str">
        <f t="shared" si="392"/>
        <v>Thanh Hóa</v>
      </c>
      <c r="D4817" s="3" t="s">
        <v>339</v>
      </c>
      <c r="E4817" s="4" t="str">
        <f t="shared" ref="E4817:E4837" si="396">HYPERLINK("https://diaocthongthai.com/ban-do-huyen-ngoc-lac-thanh-hoa/","Huyện Ngọc Lặc")</f>
        <v>Huyện Ngọc Lặc</v>
      </c>
      <c r="F4817" s="3" t="s">
        <v>5580</v>
      </c>
      <c r="G4817" s="4" t="str">
        <f>HYPERLINK("https://diaocthongthai.com/thi-tran-ngoc-lac-ngoc-lac/","Thị Trấn Ngọc Lặc")</f>
        <v>Thị Trấn Ngọc Lặc</v>
      </c>
    </row>
    <row r="4818" spans="1:7" x14ac:dyDescent="0.25">
      <c r="A4818" s="2">
        <v>4817</v>
      </c>
      <c r="B4818" s="3" t="s">
        <v>28</v>
      </c>
      <c r="C4818" s="4" t="str">
        <f t="shared" si="392"/>
        <v>Thanh Hóa</v>
      </c>
      <c r="D4818" s="3" t="s">
        <v>339</v>
      </c>
      <c r="E4818" s="4" t="str">
        <f t="shared" si="396"/>
        <v>Huyện Ngọc Lặc</v>
      </c>
      <c r="F4818" s="3" t="s">
        <v>5581</v>
      </c>
      <c r="G4818" s="4" t="str">
        <f>HYPERLINK("https://diaocthongthai.com/xa-lam-son-ngoc-lac/","Xã Lam Sơn")</f>
        <v>Xã Lam Sơn</v>
      </c>
    </row>
    <row r="4819" spans="1:7" x14ac:dyDescent="0.25">
      <c r="A4819" s="2">
        <v>4818</v>
      </c>
      <c r="B4819" s="3" t="s">
        <v>28</v>
      </c>
      <c r="C4819" s="4" t="str">
        <f t="shared" si="392"/>
        <v>Thanh Hóa</v>
      </c>
      <c r="D4819" s="3" t="s">
        <v>339</v>
      </c>
      <c r="E4819" s="4" t="str">
        <f t="shared" si="396"/>
        <v>Huyện Ngọc Lặc</v>
      </c>
      <c r="F4819" s="3" t="s">
        <v>5582</v>
      </c>
      <c r="G4819" s="4" t="str">
        <f>HYPERLINK("https://diaocthongthai.com/xa-my-tan-ngoc-lac/","Xã Mỹ Tân")</f>
        <v>Xã Mỹ Tân</v>
      </c>
    </row>
    <row r="4820" spans="1:7" x14ac:dyDescent="0.25">
      <c r="A4820" s="2">
        <v>4819</v>
      </c>
      <c r="B4820" s="3" t="s">
        <v>28</v>
      </c>
      <c r="C4820" s="4" t="str">
        <f t="shared" si="392"/>
        <v>Thanh Hóa</v>
      </c>
      <c r="D4820" s="3" t="s">
        <v>339</v>
      </c>
      <c r="E4820" s="4" t="str">
        <f t="shared" si="396"/>
        <v>Huyện Ngọc Lặc</v>
      </c>
      <c r="F4820" s="3" t="s">
        <v>5583</v>
      </c>
      <c r="G4820" s="4" t="str">
        <f>HYPERLINK("https://diaocthongthai.com/xa-thuy-son-ngoc-lac/","Xã Thúy Sơn")</f>
        <v>Xã Thúy Sơn</v>
      </c>
    </row>
    <row r="4821" spans="1:7" x14ac:dyDescent="0.25">
      <c r="A4821" s="2">
        <v>4820</v>
      </c>
      <c r="B4821" s="3" t="s">
        <v>28</v>
      </c>
      <c r="C4821" s="4" t="str">
        <f t="shared" si="392"/>
        <v>Thanh Hóa</v>
      </c>
      <c r="D4821" s="3" t="s">
        <v>339</v>
      </c>
      <c r="E4821" s="4" t="str">
        <f t="shared" si="396"/>
        <v>Huyện Ngọc Lặc</v>
      </c>
      <c r="F4821" s="3" t="s">
        <v>5584</v>
      </c>
      <c r="G4821" s="4" t="str">
        <f>HYPERLINK("https://diaocthongthai.com/xa-thach-lap-ngoc-lac/","Xã Thạch Lập")</f>
        <v>Xã Thạch Lập</v>
      </c>
    </row>
    <row r="4822" spans="1:7" x14ac:dyDescent="0.25">
      <c r="A4822" s="2">
        <v>4821</v>
      </c>
      <c r="B4822" s="3" t="s">
        <v>28</v>
      </c>
      <c r="C4822" s="4" t="str">
        <f t="shared" si="392"/>
        <v>Thanh Hóa</v>
      </c>
      <c r="D4822" s="3" t="s">
        <v>339</v>
      </c>
      <c r="E4822" s="4" t="str">
        <f t="shared" si="396"/>
        <v>Huyện Ngọc Lặc</v>
      </c>
      <c r="F4822" s="3" t="s">
        <v>5585</v>
      </c>
      <c r="G4822" s="4" t="str">
        <f>HYPERLINK("https://diaocthongthai.com/xa-van-am-ngoc-lac/","Xã Vân Âm")</f>
        <v>Xã Vân Âm</v>
      </c>
    </row>
    <row r="4823" spans="1:7" x14ac:dyDescent="0.25">
      <c r="A4823" s="2">
        <v>4822</v>
      </c>
      <c r="B4823" s="3" t="s">
        <v>28</v>
      </c>
      <c r="C4823" s="4" t="str">
        <f t="shared" si="392"/>
        <v>Thanh Hóa</v>
      </c>
      <c r="D4823" s="3" t="s">
        <v>339</v>
      </c>
      <c r="E4823" s="4" t="str">
        <f t="shared" si="396"/>
        <v>Huyện Ngọc Lặc</v>
      </c>
      <c r="F4823" s="3" t="s">
        <v>5586</v>
      </c>
      <c r="G4823" s="4" t="str">
        <f>HYPERLINK("https://diaocthongthai.com/xa-cao-ngoc-ngoc-lac/","Xã Cao Ngọc")</f>
        <v>Xã Cao Ngọc</v>
      </c>
    </row>
    <row r="4824" spans="1:7" x14ac:dyDescent="0.25">
      <c r="A4824" s="2">
        <v>4823</v>
      </c>
      <c r="B4824" s="3" t="s">
        <v>28</v>
      </c>
      <c r="C4824" s="4" t="str">
        <f t="shared" si="392"/>
        <v>Thanh Hóa</v>
      </c>
      <c r="D4824" s="3" t="s">
        <v>339</v>
      </c>
      <c r="E4824" s="4" t="str">
        <f t="shared" si="396"/>
        <v>Huyện Ngọc Lặc</v>
      </c>
      <c r="F4824" s="3" t="s">
        <v>5587</v>
      </c>
      <c r="G4824" s="4" t="str">
        <f>HYPERLINK("https://diaocthongthai.com/xa-quang-trung-ngoc-lac/","Xã Quang Trung")</f>
        <v>Xã Quang Trung</v>
      </c>
    </row>
    <row r="4825" spans="1:7" x14ac:dyDescent="0.25">
      <c r="A4825" s="2">
        <v>4824</v>
      </c>
      <c r="B4825" s="3" t="s">
        <v>28</v>
      </c>
      <c r="C4825" s="4" t="str">
        <f t="shared" si="392"/>
        <v>Thanh Hóa</v>
      </c>
      <c r="D4825" s="3" t="s">
        <v>339</v>
      </c>
      <c r="E4825" s="4" t="str">
        <f t="shared" si="396"/>
        <v>Huyện Ngọc Lặc</v>
      </c>
      <c r="F4825" s="3" t="s">
        <v>5588</v>
      </c>
      <c r="G4825" s="4" t="str">
        <f>HYPERLINK("https://diaocthongthai.com/xa-dong-thinh-ngoc-lac/","Xã Đồng Thịnh")</f>
        <v>Xã Đồng Thịnh</v>
      </c>
    </row>
    <row r="4826" spans="1:7" x14ac:dyDescent="0.25">
      <c r="A4826" s="2">
        <v>4825</v>
      </c>
      <c r="B4826" s="3" t="s">
        <v>28</v>
      </c>
      <c r="C4826" s="4" t="str">
        <f t="shared" si="392"/>
        <v>Thanh Hóa</v>
      </c>
      <c r="D4826" s="3" t="s">
        <v>339</v>
      </c>
      <c r="E4826" s="4" t="str">
        <f t="shared" si="396"/>
        <v>Huyện Ngọc Lặc</v>
      </c>
      <c r="F4826" s="3" t="s">
        <v>5589</v>
      </c>
      <c r="G4826" s="4" t="str">
        <f>HYPERLINK("https://diaocthongthai.com/xa-ngoc-lien-ngoc-lac/","Xã Ngọc Liên")</f>
        <v>Xã Ngọc Liên</v>
      </c>
    </row>
    <row r="4827" spans="1:7" x14ac:dyDescent="0.25">
      <c r="A4827" s="2">
        <v>4826</v>
      </c>
      <c r="B4827" s="3" t="s">
        <v>28</v>
      </c>
      <c r="C4827" s="4" t="str">
        <f t="shared" ref="C4827:C4890" si="397">HYPERLINK("https://diaocthongthai.com/ban-do-thanh-hoa/","Thanh Hóa")</f>
        <v>Thanh Hóa</v>
      </c>
      <c r="D4827" s="3" t="s">
        <v>339</v>
      </c>
      <c r="E4827" s="4" t="str">
        <f t="shared" si="396"/>
        <v>Huyện Ngọc Lặc</v>
      </c>
      <c r="F4827" s="3" t="s">
        <v>5590</v>
      </c>
      <c r="G4827" s="4" t="str">
        <f>HYPERLINK("https://diaocthongthai.com/xa-ngoc-son-ngoc-lac/","Xã Ngọc Sơn")</f>
        <v>Xã Ngọc Sơn</v>
      </c>
    </row>
    <row r="4828" spans="1:7" x14ac:dyDescent="0.25">
      <c r="A4828" s="2">
        <v>4827</v>
      </c>
      <c r="B4828" s="3" t="s">
        <v>28</v>
      </c>
      <c r="C4828" s="4" t="str">
        <f t="shared" si="397"/>
        <v>Thanh Hóa</v>
      </c>
      <c r="D4828" s="3" t="s">
        <v>339</v>
      </c>
      <c r="E4828" s="4" t="str">
        <f t="shared" si="396"/>
        <v>Huyện Ngọc Lặc</v>
      </c>
      <c r="F4828" s="3" t="s">
        <v>5591</v>
      </c>
      <c r="G4828" s="4" t="str">
        <f>HYPERLINK("https://diaocthongthai.com/xa-loc-thinh-ngoc-lac/","Xã Lộc Thịnh")</f>
        <v>Xã Lộc Thịnh</v>
      </c>
    </row>
    <row r="4829" spans="1:7" x14ac:dyDescent="0.25">
      <c r="A4829" s="2">
        <v>4828</v>
      </c>
      <c r="B4829" s="3" t="s">
        <v>28</v>
      </c>
      <c r="C4829" s="4" t="str">
        <f t="shared" si="397"/>
        <v>Thanh Hóa</v>
      </c>
      <c r="D4829" s="3" t="s">
        <v>339</v>
      </c>
      <c r="E4829" s="4" t="str">
        <f t="shared" si="396"/>
        <v>Huyện Ngọc Lặc</v>
      </c>
      <c r="F4829" s="3" t="s">
        <v>5592</v>
      </c>
      <c r="G4829" s="4" t="str">
        <f>HYPERLINK("https://diaocthongthai.com/xa-cao-thinh-ngoc-lac/","Xã Cao Thịnh")</f>
        <v>Xã Cao Thịnh</v>
      </c>
    </row>
    <row r="4830" spans="1:7" x14ac:dyDescent="0.25">
      <c r="A4830" s="2">
        <v>4829</v>
      </c>
      <c r="B4830" s="3" t="s">
        <v>28</v>
      </c>
      <c r="C4830" s="4" t="str">
        <f t="shared" si="397"/>
        <v>Thanh Hóa</v>
      </c>
      <c r="D4830" s="3" t="s">
        <v>339</v>
      </c>
      <c r="E4830" s="4" t="str">
        <f t="shared" si="396"/>
        <v>Huyện Ngọc Lặc</v>
      </c>
      <c r="F4830" s="3" t="s">
        <v>5593</v>
      </c>
      <c r="G4830" s="4" t="str">
        <f>HYPERLINK("https://diaocthongthai.com/xa-ngoc-trung-ngoc-lac/","Xã Ngọc Trung")</f>
        <v>Xã Ngọc Trung</v>
      </c>
    </row>
    <row r="4831" spans="1:7" x14ac:dyDescent="0.25">
      <c r="A4831" s="2">
        <v>4830</v>
      </c>
      <c r="B4831" s="3" t="s">
        <v>28</v>
      </c>
      <c r="C4831" s="4" t="str">
        <f t="shared" si="397"/>
        <v>Thanh Hóa</v>
      </c>
      <c r="D4831" s="3" t="s">
        <v>339</v>
      </c>
      <c r="E4831" s="4" t="str">
        <f t="shared" si="396"/>
        <v>Huyện Ngọc Lặc</v>
      </c>
      <c r="F4831" s="3" t="s">
        <v>5594</v>
      </c>
      <c r="G4831" s="4" t="str">
        <f>HYPERLINK("https://diaocthongthai.com/xa-phung-giao-ngoc-lac/","Xã Phùng Giáo")</f>
        <v>Xã Phùng Giáo</v>
      </c>
    </row>
    <row r="4832" spans="1:7" x14ac:dyDescent="0.25">
      <c r="A4832" s="2">
        <v>4831</v>
      </c>
      <c r="B4832" s="3" t="s">
        <v>28</v>
      </c>
      <c r="C4832" s="4" t="str">
        <f t="shared" si="397"/>
        <v>Thanh Hóa</v>
      </c>
      <c r="D4832" s="3" t="s">
        <v>339</v>
      </c>
      <c r="E4832" s="4" t="str">
        <f t="shared" si="396"/>
        <v>Huyện Ngọc Lặc</v>
      </c>
      <c r="F4832" s="3" t="s">
        <v>5595</v>
      </c>
      <c r="G4832" s="4" t="str">
        <f>HYPERLINK("https://diaocthongthai.com/xa-phung-minh-ngoc-lac/","Xã Phùng Minh")</f>
        <v>Xã Phùng Minh</v>
      </c>
    </row>
    <row r="4833" spans="1:7" x14ac:dyDescent="0.25">
      <c r="A4833" s="2">
        <v>4832</v>
      </c>
      <c r="B4833" s="3" t="s">
        <v>28</v>
      </c>
      <c r="C4833" s="4" t="str">
        <f t="shared" si="397"/>
        <v>Thanh Hóa</v>
      </c>
      <c r="D4833" s="3" t="s">
        <v>339</v>
      </c>
      <c r="E4833" s="4" t="str">
        <f t="shared" si="396"/>
        <v>Huyện Ngọc Lặc</v>
      </c>
      <c r="F4833" s="3" t="s">
        <v>5596</v>
      </c>
      <c r="G4833" s="4" t="str">
        <f>HYPERLINK("https://diaocthongthai.com/xa-phuc-thinh-ngoc-lac/","Xã Phúc Thịnh")</f>
        <v>Xã Phúc Thịnh</v>
      </c>
    </row>
    <row r="4834" spans="1:7" x14ac:dyDescent="0.25">
      <c r="A4834" s="2">
        <v>4833</v>
      </c>
      <c r="B4834" s="3" t="s">
        <v>28</v>
      </c>
      <c r="C4834" s="4" t="str">
        <f t="shared" si="397"/>
        <v>Thanh Hóa</v>
      </c>
      <c r="D4834" s="3" t="s">
        <v>339</v>
      </c>
      <c r="E4834" s="4" t="str">
        <f t="shared" si="396"/>
        <v>Huyện Ngọc Lặc</v>
      </c>
      <c r="F4834" s="3" t="s">
        <v>5597</v>
      </c>
      <c r="G4834" s="4" t="str">
        <f>HYPERLINK("https://diaocthongthai.com/xa-nguyet-an-ngoc-lac/","Xã Nguyệt Ấn")</f>
        <v>Xã Nguyệt Ấn</v>
      </c>
    </row>
    <row r="4835" spans="1:7" x14ac:dyDescent="0.25">
      <c r="A4835" s="2">
        <v>4834</v>
      </c>
      <c r="B4835" s="3" t="s">
        <v>28</v>
      </c>
      <c r="C4835" s="4" t="str">
        <f t="shared" si="397"/>
        <v>Thanh Hóa</v>
      </c>
      <c r="D4835" s="3" t="s">
        <v>339</v>
      </c>
      <c r="E4835" s="4" t="str">
        <f t="shared" si="396"/>
        <v>Huyện Ngọc Lặc</v>
      </c>
      <c r="F4835" s="3" t="s">
        <v>5598</v>
      </c>
      <c r="G4835" s="4" t="str">
        <f>HYPERLINK("https://diaocthongthai.com/xa-kien-tho-ngoc-lac/","Xã Kiên Thọ")</f>
        <v>Xã Kiên Thọ</v>
      </c>
    </row>
    <row r="4836" spans="1:7" x14ac:dyDescent="0.25">
      <c r="A4836" s="2">
        <v>4835</v>
      </c>
      <c r="B4836" s="3" t="s">
        <v>28</v>
      </c>
      <c r="C4836" s="4" t="str">
        <f t="shared" si="397"/>
        <v>Thanh Hóa</v>
      </c>
      <c r="D4836" s="3" t="s">
        <v>339</v>
      </c>
      <c r="E4836" s="4" t="str">
        <f t="shared" si="396"/>
        <v>Huyện Ngọc Lặc</v>
      </c>
      <c r="F4836" s="3" t="s">
        <v>5599</v>
      </c>
      <c r="G4836" s="4" t="str">
        <f>HYPERLINK("https://diaocthongthai.com/xa-minh-tien-ngoc-lac/","Xã Minh Tiến")</f>
        <v>Xã Minh Tiến</v>
      </c>
    </row>
    <row r="4837" spans="1:7" x14ac:dyDescent="0.25">
      <c r="A4837" s="2">
        <v>4836</v>
      </c>
      <c r="B4837" s="3" t="s">
        <v>28</v>
      </c>
      <c r="C4837" s="4" t="str">
        <f t="shared" si="397"/>
        <v>Thanh Hóa</v>
      </c>
      <c r="D4837" s="3" t="s">
        <v>339</v>
      </c>
      <c r="E4837" s="4" t="str">
        <f t="shared" si="396"/>
        <v>Huyện Ngọc Lặc</v>
      </c>
      <c r="F4837" s="3" t="s">
        <v>5600</v>
      </c>
      <c r="G4837" s="4" t="str">
        <f>HYPERLINK("https://diaocthongthai.com/xa-minh-son-ngoc-lac/","Xã Minh Sơn")</f>
        <v>Xã Minh Sơn</v>
      </c>
    </row>
    <row r="4838" spans="1:7" x14ac:dyDescent="0.25">
      <c r="A4838" s="2">
        <v>4837</v>
      </c>
      <c r="B4838" s="3" t="s">
        <v>28</v>
      </c>
      <c r="C4838" s="4" t="str">
        <f t="shared" si="397"/>
        <v>Thanh Hóa</v>
      </c>
      <c r="D4838" s="3" t="s">
        <v>340</v>
      </c>
      <c r="E4838" s="4" t="str">
        <f t="shared" ref="E4838:E4854" si="398">HYPERLINK("https://diaocthongthai.com/ban-do-huyen-cam-thuy-thanh-hoa/","Huyện Cẩm Thủy")</f>
        <v>Huyện Cẩm Thủy</v>
      </c>
      <c r="F4838" s="3" t="s">
        <v>5601</v>
      </c>
      <c r="G4838" s="4" t="str">
        <f>HYPERLINK("https://diaocthongthai.com/thi-tran-phong-son-cam-thuy/","Thị trấn Phong Sơn")</f>
        <v>Thị trấn Phong Sơn</v>
      </c>
    </row>
    <row r="4839" spans="1:7" x14ac:dyDescent="0.25">
      <c r="A4839" s="2">
        <v>4838</v>
      </c>
      <c r="B4839" s="3" t="s">
        <v>28</v>
      </c>
      <c r="C4839" s="4" t="str">
        <f t="shared" si="397"/>
        <v>Thanh Hóa</v>
      </c>
      <c r="D4839" s="3" t="s">
        <v>340</v>
      </c>
      <c r="E4839" s="4" t="str">
        <f t="shared" si="398"/>
        <v>Huyện Cẩm Thủy</v>
      </c>
      <c r="F4839" s="3" t="s">
        <v>5602</v>
      </c>
      <c r="G4839" s="4" t="str">
        <f>HYPERLINK("https://diaocthongthai.com/xa-cam-thanh-cam-thuy/","Xã Cẩm Thành")</f>
        <v>Xã Cẩm Thành</v>
      </c>
    </row>
    <row r="4840" spans="1:7" x14ac:dyDescent="0.25">
      <c r="A4840" s="2">
        <v>4839</v>
      </c>
      <c r="B4840" s="3" t="s">
        <v>28</v>
      </c>
      <c r="C4840" s="4" t="str">
        <f t="shared" si="397"/>
        <v>Thanh Hóa</v>
      </c>
      <c r="D4840" s="3" t="s">
        <v>340</v>
      </c>
      <c r="E4840" s="4" t="str">
        <f t="shared" si="398"/>
        <v>Huyện Cẩm Thủy</v>
      </c>
      <c r="F4840" s="3" t="s">
        <v>5603</v>
      </c>
      <c r="G4840" s="4" t="str">
        <f>HYPERLINK("https://diaocthongthai.com/xa-cam-quy-cam-thuy/","Xã Cẩm Quý")</f>
        <v>Xã Cẩm Quý</v>
      </c>
    </row>
    <row r="4841" spans="1:7" x14ac:dyDescent="0.25">
      <c r="A4841" s="2">
        <v>4840</v>
      </c>
      <c r="B4841" s="3" t="s">
        <v>28</v>
      </c>
      <c r="C4841" s="4" t="str">
        <f t="shared" si="397"/>
        <v>Thanh Hóa</v>
      </c>
      <c r="D4841" s="3" t="s">
        <v>340</v>
      </c>
      <c r="E4841" s="4" t="str">
        <f t="shared" si="398"/>
        <v>Huyện Cẩm Thủy</v>
      </c>
      <c r="F4841" s="3" t="s">
        <v>5604</v>
      </c>
      <c r="G4841" s="4" t="str">
        <f>HYPERLINK("https://diaocthongthai.com/xa-cam-luong-cam-thuy/","Xã Cẩm Lương")</f>
        <v>Xã Cẩm Lương</v>
      </c>
    </row>
    <row r="4842" spans="1:7" x14ac:dyDescent="0.25">
      <c r="A4842" s="2">
        <v>4841</v>
      </c>
      <c r="B4842" s="3" t="s">
        <v>28</v>
      </c>
      <c r="C4842" s="4" t="str">
        <f t="shared" si="397"/>
        <v>Thanh Hóa</v>
      </c>
      <c r="D4842" s="3" t="s">
        <v>340</v>
      </c>
      <c r="E4842" s="4" t="str">
        <f t="shared" si="398"/>
        <v>Huyện Cẩm Thủy</v>
      </c>
      <c r="F4842" s="3" t="s">
        <v>5605</v>
      </c>
      <c r="G4842" s="4" t="str">
        <f>HYPERLINK("https://diaocthongthai.com/xa-cam-thach-cam-thuy/","Xã Cẩm Thạch")</f>
        <v>Xã Cẩm Thạch</v>
      </c>
    </row>
    <row r="4843" spans="1:7" x14ac:dyDescent="0.25">
      <c r="A4843" s="2">
        <v>4842</v>
      </c>
      <c r="B4843" s="3" t="s">
        <v>28</v>
      </c>
      <c r="C4843" s="4" t="str">
        <f t="shared" si="397"/>
        <v>Thanh Hóa</v>
      </c>
      <c r="D4843" s="3" t="s">
        <v>340</v>
      </c>
      <c r="E4843" s="4" t="str">
        <f t="shared" si="398"/>
        <v>Huyện Cẩm Thủy</v>
      </c>
      <c r="F4843" s="3" t="s">
        <v>5606</v>
      </c>
      <c r="G4843" s="4" t="str">
        <f>HYPERLINK("https://diaocthongthai.com/xa-cam-lien-cam-thuy/","Xã Cẩm Liên")</f>
        <v>Xã Cẩm Liên</v>
      </c>
    </row>
    <row r="4844" spans="1:7" x14ac:dyDescent="0.25">
      <c r="A4844" s="2">
        <v>4843</v>
      </c>
      <c r="B4844" s="3" t="s">
        <v>28</v>
      </c>
      <c r="C4844" s="4" t="str">
        <f t="shared" si="397"/>
        <v>Thanh Hóa</v>
      </c>
      <c r="D4844" s="3" t="s">
        <v>340</v>
      </c>
      <c r="E4844" s="4" t="str">
        <f t="shared" si="398"/>
        <v>Huyện Cẩm Thủy</v>
      </c>
      <c r="F4844" s="3" t="s">
        <v>5607</v>
      </c>
      <c r="G4844" s="4" t="str">
        <f>HYPERLINK("https://diaocthongthai.com/xa-cam-giang-cam-thuy/","Xã Cẩm Giang")</f>
        <v>Xã Cẩm Giang</v>
      </c>
    </row>
    <row r="4845" spans="1:7" x14ac:dyDescent="0.25">
      <c r="A4845" s="2">
        <v>4844</v>
      </c>
      <c r="B4845" s="3" t="s">
        <v>28</v>
      </c>
      <c r="C4845" s="4" t="str">
        <f t="shared" si="397"/>
        <v>Thanh Hóa</v>
      </c>
      <c r="D4845" s="3" t="s">
        <v>340</v>
      </c>
      <c r="E4845" s="4" t="str">
        <f t="shared" si="398"/>
        <v>Huyện Cẩm Thủy</v>
      </c>
      <c r="F4845" s="3" t="s">
        <v>5608</v>
      </c>
      <c r="G4845" s="4" t="str">
        <f>HYPERLINK("https://diaocthongthai.com/xa-cam-binh-cam-thuy/","Xã Cẩm Bình")</f>
        <v>Xã Cẩm Bình</v>
      </c>
    </row>
    <row r="4846" spans="1:7" x14ac:dyDescent="0.25">
      <c r="A4846" s="2">
        <v>4845</v>
      </c>
      <c r="B4846" s="3" t="s">
        <v>28</v>
      </c>
      <c r="C4846" s="4" t="str">
        <f t="shared" si="397"/>
        <v>Thanh Hóa</v>
      </c>
      <c r="D4846" s="3" t="s">
        <v>340</v>
      </c>
      <c r="E4846" s="4" t="str">
        <f t="shared" si="398"/>
        <v>Huyện Cẩm Thủy</v>
      </c>
      <c r="F4846" s="3" t="s">
        <v>5609</v>
      </c>
      <c r="G4846" s="4" t="str">
        <f>HYPERLINK("https://diaocthongthai.com/xa-cam-tu-cam-thuy/","Xã Cẩm Tú")</f>
        <v>Xã Cẩm Tú</v>
      </c>
    </row>
    <row r="4847" spans="1:7" x14ac:dyDescent="0.25">
      <c r="A4847" s="2">
        <v>4846</v>
      </c>
      <c r="B4847" s="3" t="s">
        <v>28</v>
      </c>
      <c r="C4847" s="4" t="str">
        <f t="shared" si="397"/>
        <v>Thanh Hóa</v>
      </c>
      <c r="D4847" s="3" t="s">
        <v>340</v>
      </c>
      <c r="E4847" s="4" t="str">
        <f t="shared" si="398"/>
        <v>Huyện Cẩm Thủy</v>
      </c>
      <c r="F4847" s="3" t="s">
        <v>5610</v>
      </c>
      <c r="G4847" s="4" t="str">
        <f>HYPERLINK("https://diaocthongthai.com/xa-cam-chau-cam-thuy/","Xã Cẩm Châu")</f>
        <v>Xã Cẩm Châu</v>
      </c>
    </row>
    <row r="4848" spans="1:7" x14ac:dyDescent="0.25">
      <c r="A4848" s="2">
        <v>4847</v>
      </c>
      <c r="B4848" s="3" t="s">
        <v>28</v>
      </c>
      <c r="C4848" s="4" t="str">
        <f t="shared" si="397"/>
        <v>Thanh Hóa</v>
      </c>
      <c r="D4848" s="3" t="s">
        <v>340</v>
      </c>
      <c r="E4848" s="4" t="str">
        <f t="shared" si="398"/>
        <v>Huyện Cẩm Thủy</v>
      </c>
      <c r="F4848" s="3" t="s">
        <v>5611</v>
      </c>
      <c r="G4848" s="4" t="str">
        <f>HYPERLINK("https://diaocthongthai.com/xa-cam-tam-cam-thuy/","Xã Cẩm Tâm")</f>
        <v>Xã Cẩm Tâm</v>
      </c>
    </row>
    <row r="4849" spans="1:7" x14ac:dyDescent="0.25">
      <c r="A4849" s="2">
        <v>4848</v>
      </c>
      <c r="B4849" s="3" t="s">
        <v>28</v>
      </c>
      <c r="C4849" s="4" t="str">
        <f t="shared" si="397"/>
        <v>Thanh Hóa</v>
      </c>
      <c r="D4849" s="3" t="s">
        <v>340</v>
      </c>
      <c r="E4849" s="4" t="str">
        <f t="shared" si="398"/>
        <v>Huyện Cẩm Thủy</v>
      </c>
      <c r="F4849" s="3" t="s">
        <v>5612</v>
      </c>
      <c r="G4849" s="4" t="str">
        <f>HYPERLINK("https://diaocthongthai.com/xa-cam-ngoc-cam-thuy/","Xã Cẩm Ngọc")</f>
        <v>Xã Cẩm Ngọc</v>
      </c>
    </row>
    <row r="4850" spans="1:7" x14ac:dyDescent="0.25">
      <c r="A4850" s="2">
        <v>4849</v>
      </c>
      <c r="B4850" s="3" t="s">
        <v>28</v>
      </c>
      <c r="C4850" s="4" t="str">
        <f t="shared" si="397"/>
        <v>Thanh Hóa</v>
      </c>
      <c r="D4850" s="3" t="s">
        <v>340</v>
      </c>
      <c r="E4850" s="4" t="str">
        <f t="shared" si="398"/>
        <v>Huyện Cẩm Thủy</v>
      </c>
      <c r="F4850" s="3" t="s">
        <v>5613</v>
      </c>
      <c r="G4850" s="4" t="str">
        <f>HYPERLINK("https://diaocthongthai.com/xa-cam-long-cam-thuy/","Xã Cẩm Long")</f>
        <v>Xã Cẩm Long</v>
      </c>
    </row>
    <row r="4851" spans="1:7" x14ac:dyDescent="0.25">
      <c r="A4851" s="2">
        <v>4850</v>
      </c>
      <c r="B4851" s="3" t="s">
        <v>28</v>
      </c>
      <c r="C4851" s="4" t="str">
        <f t="shared" si="397"/>
        <v>Thanh Hóa</v>
      </c>
      <c r="D4851" s="3" t="s">
        <v>340</v>
      </c>
      <c r="E4851" s="4" t="str">
        <f t="shared" si="398"/>
        <v>Huyện Cẩm Thủy</v>
      </c>
      <c r="F4851" s="3" t="s">
        <v>5614</v>
      </c>
      <c r="G4851" s="4" t="str">
        <f>HYPERLINK("https://diaocthongthai.com/xa-cam-yen-cam-thuy/","Xã Cẩm Yên")</f>
        <v>Xã Cẩm Yên</v>
      </c>
    </row>
    <row r="4852" spans="1:7" x14ac:dyDescent="0.25">
      <c r="A4852" s="2">
        <v>4851</v>
      </c>
      <c r="B4852" s="3" t="s">
        <v>28</v>
      </c>
      <c r="C4852" s="4" t="str">
        <f t="shared" si="397"/>
        <v>Thanh Hóa</v>
      </c>
      <c r="D4852" s="3" t="s">
        <v>340</v>
      </c>
      <c r="E4852" s="4" t="str">
        <f t="shared" si="398"/>
        <v>Huyện Cẩm Thủy</v>
      </c>
      <c r="F4852" s="3" t="s">
        <v>5615</v>
      </c>
      <c r="G4852" s="4" t="str">
        <f>HYPERLINK("https://diaocthongthai.com/xa-cam-tan-cam-thuy/","Xã Cẩm Tân")</f>
        <v>Xã Cẩm Tân</v>
      </c>
    </row>
    <row r="4853" spans="1:7" x14ac:dyDescent="0.25">
      <c r="A4853" s="2">
        <v>4852</v>
      </c>
      <c r="B4853" s="3" t="s">
        <v>28</v>
      </c>
      <c r="C4853" s="4" t="str">
        <f t="shared" si="397"/>
        <v>Thanh Hóa</v>
      </c>
      <c r="D4853" s="3" t="s">
        <v>340</v>
      </c>
      <c r="E4853" s="4" t="str">
        <f t="shared" si="398"/>
        <v>Huyện Cẩm Thủy</v>
      </c>
      <c r="F4853" s="3" t="s">
        <v>5616</v>
      </c>
      <c r="G4853" s="4" t="str">
        <f>HYPERLINK("https://diaocthongthai.com/xa-cam-phu-cam-thuy/","Xã Cẩm Phú")</f>
        <v>Xã Cẩm Phú</v>
      </c>
    </row>
    <row r="4854" spans="1:7" x14ac:dyDescent="0.25">
      <c r="A4854" s="2">
        <v>4853</v>
      </c>
      <c r="B4854" s="3" t="s">
        <v>28</v>
      </c>
      <c r="C4854" s="4" t="str">
        <f t="shared" si="397"/>
        <v>Thanh Hóa</v>
      </c>
      <c r="D4854" s="3" t="s">
        <v>340</v>
      </c>
      <c r="E4854" s="4" t="str">
        <f t="shared" si="398"/>
        <v>Huyện Cẩm Thủy</v>
      </c>
      <c r="F4854" s="3" t="s">
        <v>5617</v>
      </c>
      <c r="G4854" s="4" t="str">
        <f>HYPERLINK("https://diaocthongthai.com/xa-cam-van-cam-thuy/","Xã Cẩm Vân")</f>
        <v>Xã Cẩm Vân</v>
      </c>
    </row>
    <row r="4855" spans="1:7" x14ac:dyDescent="0.25">
      <c r="A4855" s="2">
        <v>4854</v>
      </c>
      <c r="B4855" s="3" t="s">
        <v>28</v>
      </c>
      <c r="C4855" s="4" t="str">
        <f t="shared" si="397"/>
        <v>Thanh Hóa</v>
      </c>
      <c r="D4855" s="3" t="s">
        <v>341</v>
      </c>
      <c r="E4855" s="4" t="str">
        <f t="shared" ref="E4855:E4879" si="399">HYPERLINK("https://diaocthongthai.com/ban-do-huyen-thach-thanh-thanh-hoa/","Huyện Thạch Thành")</f>
        <v>Huyện Thạch Thành</v>
      </c>
      <c r="F4855" s="3" t="s">
        <v>5618</v>
      </c>
      <c r="G4855" s="4" t="str">
        <f>HYPERLINK("https://diaocthongthai.com/thi-tran-kim-tan-thach-thanh/","Thị trấn Kim Tân")</f>
        <v>Thị trấn Kim Tân</v>
      </c>
    </row>
    <row r="4856" spans="1:7" x14ac:dyDescent="0.25">
      <c r="A4856" s="2">
        <v>4855</v>
      </c>
      <c r="B4856" s="3" t="s">
        <v>28</v>
      </c>
      <c r="C4856" s="4" t="str">
        <f t="shared" si="397"/>
        <v>Thanh Hóa</v>
      </c>
      <c r="D4856" s="3" t="s">
        <v>341</v>
      </c>
      <c r="E4856" s="4" t="str">
        <f t="shared" si="399"/>
        <v>Huyện Thạch Thành</v>
      </c>
      <c r="F4856" s="3" t="s">
        <v>5619</v>
      </c>
      <c r="G4856" s="4" t="str">
        <f>HYPERLINK("https://diaocthongthai.com/thi-tran-van-du-thach-thanh/","Thị trấn Vân Du")</f>
        <v>Thị trấn Vân Du</v>
      </c>
    </row>
    <row r="4857" spans="1:7" x14ac:dyDescent="0.25">
      <c r="A4857" s="2">
        <v>4856</v>
      </c>
      <c r="B4857" s="3" t="s">
        <v>28</v>
      </c>
      <c r="C4857" s="4" t="str">
        <f t="shared" si="397"/>
        <v>Thanh Hóa</v>
      </c>
      <c r="D4857" s="3" t="s">
        <v>341</v>
      </c>
      <c r="E4857" s="4" t="str">
        <f t="shared" si="399"/>
        <v>Huyện Thạch Thành</v>
      </c>
      <c r="F4857" s="3" t="s">
        <v>5620</v>
      </c>
      <c r="G4857" s="4" t="str">
        <f>HYPERLINK("https://diaocthongthai.com/xa-thach-lam-thach-thanh/","Xã Thạch Lâm")</f>
        <v>Xã Thạch Lâm</v>
      </c>
    </row>
    <row r="4858" spans="1:7" x14ac:dyDescent="0.25">
      <c r="A4858" s="2">
        <v>4857</v>
      </c>
      <c r="B4858" s="3" t="s">
        <v>28</v>
      </c>
      <c r="C4858" s="4" t="str">
        <f t="shared" si="397"/>
        <v>Thanh Hóa</v>
      </c>
      <c r="D4858" s="3" t="s">
        <v>341</v>
      </c>
      <c r="E4858" s="4" t="str">
        <f t="shared" si="399"/>
        <v>Huyện Thạch Thành</v>
      </c>
      <c r="F4858" s="3" t="s">
        <v>5621</v>
      </c>
      <c r="G4858" s="4" t="str">
        <f>HYPERLINK("https://diaocthongthai.com/xa-thach-quang-thach-thanh/","Xã Thạch Quảng")</f>
        <v>Xã Thạch Quảng</v>
      </c>
    </row>
    <row r="4859" spans="1:7" x14ac:dyDescent="0.25">
      <c r="A4859" s="2">
        <v>4858</v>
      </c>
      <c r="B4859" s="3" t="s">
        <v>28</v>
      </c>
      <c r="C4859" s="4" t="str">
        <f t="shared" si="397"/>
        <v>Thanh Hóa</v>
      </c>
      <c r="D4859" s="3" t="s">
        <v>341</v>
      </c>
      <c r="E4859" s="4" t="str">
        <f t="shared" si="399"/>
        <v>Huyện Thạch Thành</v>
      </c>
      <c r="F4859" s="3" t="s">
        <v>5622</v>
      </c>
      <c r="G4859" s="4" t="str">
        <f>HYPERLINK("https://diaocthongthai.com/xa-thach-tuong-thach-thanh/","Xã Thạch Tượng")</f>
        <v>Xã Thạch Tượng</v>
      </c>
    </row>
    <row r="4860" spans="1:7" x14ac:dyDescent="0.25">
      <c r="A4860" s="2">
        <v>4859</v>
      </c>
      <c r="B4860" s="3" t="s">
        <v>28</v>
      </c>
      <c r="C4860" s="4" t="str">
        <f t="shared" si="397"/>
        <v>Thanh Hóa</v>
      </c>
      <c r="D4860" s="3" t="s">
        <v>341</v>
      </c>
      <c r="E4860" s="4" t="str">
        <f t="shared" si="399"/>
        <v>Huyện Thạch Thành</v>
      </c>
      <c r="F4860" s="3" t="s">
        <v>5623</v>
      </c>
      <c r="G4860" s="4" t="str">
        <f>HYPERLINK("https://diaocthongthai.com/xa-thach-cam-thach-thanh/","Xã Thạch Cẩm")</f>
        <v>Xã Thạch Cẩm</v>
      </c>
    </row>
    <row r="4861" spans="1:7" x14ac:dyDescent="0.25">
      <c r="A4861" s="2">
        <v>4860</v>
      </c>
      <c r="B4861" s="3" t="s">
        <v>28</v>
      </c>
      <c r="C4861" s="4" t="str">
        <f t="shared" si="397"/>
        <v>Thanh Hóa</v>
      </c>
      <c r="D4861" s="3" t="s">
        <v>341</v>
      </c>
      <c r="E4861" s="4" t="str">
        <f t="shared" si="399"/>
        <v>Huyện Thạch Thành</v>
      </c>
      <c r="F4861" s="3" t="s">
        <v>5624</v>
      </c>
      <c r="G4861" s="4" t="str">
        <f>HYPERLINK("https://diaocthongthai.com/xa-thach-son-thach-thanh/","Xã Thạch Sơn")</f>
        <v>Xã Thạch Sơn</v>
      </c>
    </row>
    <row r="4862" spans="1:7" x14ac:dyDescent="0.25">
      <c r="A4862" s="2">
        <v>4861</v>
      </c>
      <c r="B4862" s="3" t="s">
        <v>28</v>
      </c>
      <c r="C4862" s="4" t="str">
        <f t="shared" si="397"/>
        <v>Thanh Hóa</v>
      </c>
      <c r="D4862" s="3" t="s">
        <v>341</v>
      </c>
      <c r="E4862" s="4" t="str">
        <f t="shared" si="399"/>
        <v>Huyện Thạch Thành</v>
      </c>
      <c r="F4862" s="3" t="s">
        <v>5625</v>
      </c>
      <c r="G4862" s="4" t="str">
        <f>HYPERLINK("https://diaocthongthai.com/xa-thach-binh-thach-thanh/","Xã Thạch Bình")</f>
        <v>Xã Thạch Bình</v>
      </c>
    </row>
    <row r="4863" spans="1:7" x14ac:dyDescent="0.25">
      <c r="A4863" s="2">
        <v>4862</v>
      </c>
      <c r="B4863" s="3" t="s">
        <v>28</v>
      </c>
      <c r="C4863" s="4" t="str">
        <f t="shared" si="397"/>
        <v>Thanh Hóa</v>
      </c>
      <c r="D4863" s="3" t="s">
        <v>341</v>
      </c>
      <c r="E4863" s="4" t="str">
        <f t="shared" si="399"/>
        <v>Huyện Thạch Thành</v>
      </c>
      <c r="F4863" s="3" t="s">
        <v>5626</v>
      </c>
      <c r="G4863" s="4" t="str">
        <f>HYPERLINK("https://diaocthongthai.com/xa-thach-dinh-thach-thanh/","Xã Thạch Định")</f>
        <v>Xã Thạch Định</v>
      </c>
    </row>
    <row r="4864" spans="1:7" x14ac:dyDescent="0.25">
      <c r="A4864" s="2">
        <v>4863</v>
      </c>
      <c r="B4864" s="3" t="s">
        <v>28</v>
      </c>
      <c r="C4864" s="4" t="str">
        <f t="shared" si="397"/>
        <v>Thanh Hóa</v>
      </c>
      <c r="D4864" s="3" t="s">
        <v>341</v>
      </c>
      <c r="E4864" s="4" t="str">
        <f t="shared" si="399"/>
        <v>Huyện Thạch Thành</v>
      </c>
      <c r="F4864" s="3" t="s">
        <v>5627</v>
      </c>
      <c r="G4864" s="4" t="str">
        <f>HYPERLINK("https://diaocthongthai.com/xa-thach-dong-thach-thanh/","Xã Thạch Đồng")</f>
        <v>Xã Thạch Đồng</v>
      </c>
    </row>
    <row r="4865" spans="1:7" x14ac:dyDescent="0.25">
      <c r="A4865" s="2">
        <v>4864</v>
      </c>
      <c r="B4865" s="3" t="s">
        <v>28</v>
      </c>
      <c r="C4865" s="4" t="str">
        <f t="shared" si="397"/>
        <v>Thanh Hóa</v>
      </c>
      <c r="D4865" s="3" t="s">
        <v>341</v>
      </c>
      <c r="E4865" s="4" t="str">
        <f t="shared" si="399"/>
        <v>Huyện Thạch Thành</v>
      </c>
      <c r="F4865" s="3" t="s">
        <v>5628</v>
      </c>
      <c r="G4865" s="4" t="str">
        <f>HYPERLINK("https://diaocthongthai.com/xa-thach-long-thach-thanh/","Xã Thạch Long")</f>
        <v>Xã Thạch Long</v>
      </c>
    </row>
    <row r="4866" spans="1:7" x14ac:dyDescent="0.25">
      <c r="A4866" s="2">
        <v>4865</v>
      </c>
      <c r="B4866" s="3" t="s">
        <v>28</v>
      </c>
      <c r="C4866" s="4" t="str">
        <f t="shared" si="397"/>
        <v>Thanh Hóa</v>
      </c>
      <c r="D4866" s="3" t="s">
        <v>341</v>
      </c>
      <c r="E4866" s="4" t="str">
        <f t="shared" si="399"/>
        <v>Huyện Thạch Thành</v>
      </c>
      <c r="F4866" s="3" t="s">
        <v>5629</v>
      </c>
      <c r="G4866" s="4" t="str">
        <f>HYPERLINK("https://diaocthongthai.com/xa-thanh-my-thach-thanh/","Xã Thành Mỹ")</f>
        <v>Xã Thành Mỹ</v>
      </c>
    </row>
    <row r="4867" spans="1:7" x14ac:dyDescent="0.25">
      <c r="A4867" s="2">
        <v>4866</v>
      </c>
      <c r="B4867" s="3" t="s">
        <v>28</v>
      </c>
      <c r="C4867" s="4" t="str">
        <f t="shared" si="397"/>
        <v>Thanh Hóa</v>
      </c>
      <c r="D4867" s="3" t="s">
        <v>341</v>
      </c>
      <c r="E4867" s="4" t="str">
        <f t="shared" si="399"/>
        <v>Huyện Thạch Thành</v>
      </c>
      <c r="F4867" s="3" t="s">
        <v>5630</v>
      </c>
      <c r="G4867" s="4" t="str">
        <f>HYPERLINK("https://diaocthongthai.com/xa-thanh-yen-thach-thanh/","Xã Thành Yên")</f>
        <v>Xã Thành Yên</v>
      </c>
    </row>
    <row r="4868" spans="1:7" x14ac:dyDescent="0.25">
      <c r="A4868" s="2">
        <v>4867</v>
      </c>
      <c r="B4868" s="3" t="s">
        <v>28</v>
      </c>
      <c r="C4868" s="4" t="str">
        <f t="shared" si="397"/>
        <v>Thanh Hóa</v>
      </c>
      <c r="D4868" s="3" t="s">
        <v>341</v>
      </c>
      <c r="E4868" s="4" t="str">
        <f t="shared" si="399"/>
        <v>Huyện Thạch Thành</v>
      </c>
      <c r="F4868" s="3" t="s">
        <v>5631</v>
      </c>
      <c r="G4868" s="4" t="str">
        <f>HYPERLINK("https://diaocthongthai.com/xa-thanh-vinh-thach-thanh/","Xã Thành Vinh")</f>
        <v>Xã Thành Vinh</v>
      </c>
    </row>
    <row r="4869" spans="1:7" x14ac:dyDescent="0.25">
      <c r="A4869" s="2">
        <v>4868</v>
      </c>
      <c r="B4869" s="3" t="s">
        <v>28</v>
      </c>
      <c r="C4869" s="4" t="str">
        <f t="shared" si="397"/>
        <v>Thanh Hóa</v>
      </c>
      <c r="D4869" s="3" t="s">
        <v>341</v>
      </c>
      <c r="E4869" s="4" t="str">
        <f t="shared" si="399"/>
        <v>Huyện Thạch Thành</v>
      </c>
      <c r="F4869" s="3" t="s">
        <v>5632</v>
      </c>
      <c r="G4869" s="4" t="str">
        <f>HYPERLINK("https://diaocthongthai.com/xa-thanh-minh-thach-thanh/","Xã Thành Minh")</f>
        <v>Xã Thành Minh</v>
      </c>
    </row>
    <row r="4870" spans="1:7" x14ac:dyDescent="0.25">
      <c r="A4870" s="2">
        <v>4869</v>
      </c>
      <c r="B4870" s="3" t="s">
        <v>28</v>
      </c>
      <c r="C4870" s="4" t="str">
        <f t="shared" si="397"/>
        <v>Thanh Hóa</v>
      </c>
      <c r="D4870" s="3" t="s">
        <v>341</v>
      </c>
      <c r="E4870" s="4" t="str">
        <f t="shared" si="399"/>
        <v>Huyện Thạch Thành</v>
      </c>
      <c r="F4870" s="3" t="s">
        <v>5633</v>
      </c>
      <c r="G4870" s="4" t="str">
        <f>HYPERLINK("https://diaocthongthai.com/xa-thanh-cong-thach-thanh/","Xã Thành Công")</f>
        <v>Xã Thành Công</v>
      </c>
    </row>
    <row r="4871" spans="1:7" x14ac:dyDescent="0.25">
      <c r="A4871" s="2">
        <v>4870</v>
      </c>
      <c r="B4871" s="3" t="s">
        <v>28</v>
      </c>
      <c r="C4871" s="4" t="str">
        <f t="shared" si="397"/>
        <v>Thanh Hóa</v>
      </c>
      <c r="D4871" s="3" t="s">
        <v>341</v>
      </c>
      <c r="E4871" s="4" t="str">
        <f t="shared" si="399"/>
        <v>Huyện Thạch Thành</v>
      </c>
      <c r="F4871" s="3" t="s">
        <v>5634</v>
      </c>
      <c r="G4871" s="4" t="str">
        <f>HYPERLINK("https://diaocthongthai.com/xa-thanh-tan-thach-thanh/","Xã Thành Tân")</f>
        <v>Xã Thành Tân</v>
      </c>
    </row>
    <row r="4872" spans="1:7" x14ac:dyDescent="0.25">
      <c r="A4872" s="2">
        <v>4871</v>
      </c>
      <c r="B4872" s="3" t="s">
        <v>28</v>
      </c>
      <c r="C4872" s="4" t="str">
        <f t="shared" si="397"/>
        <v>Thanh Hóa</v>
      </c>
      <c r="D4872" s="3" t="s">
        <v>341</v>
      </c>
      <c r="E4872" s="4" t="str">
        <f t="shared" si="399"/>
        <v>Huyện Thạch Thành</v>
      </c>
      <c r="F4872" s="3" t="s">
        <v>5635</v>
      </c>
      <c r="G4872" s="4" t="str">
        <f>HYPERLINK("https://diaocthongthai.com/xa-thanh-truc-thach-thanh/","Xã Thành Trực")</f>
        <v>Xã Thành Trực</v>
      </c>
    </row>
    <row r="4873" spans="1:7" x14ac:dyDescent="0.25">
      <c r="A4873" s="2">
        <v>4872</v>
      </c>
      <c r="B4873" s="3" t="s">
        <v>28</v>
      </c>
      <c r="C4873" s="4" t="str">
        <f t="shared" si="397"/>
        <v>Thanh Hóa</v>
      </c>
      <c r="D4873" s="3" t="s">
        <v>341</v>
      </c>
      <c r="E4873" s="4" t="str">
        <f t="shared" si="399"/>
        <v>Huyện Thạch Thành</v>
      </c>
      <c r="F4873" s="3" t="s">
        <v>5636</v>
      </c>
      <c r="G4873" s="4" t="str">
        <f>HYPERLINK("https://diaocthongthai.com/xa-thanh-tam-thach-thanh/","Xã Thành Tâm")</f>
        <v>Xã Thành Tâm</v>
      </c>
    </row>
    <row r="4874" spans="1:7" x14ac:dyDescent="0.25">
      <c r="A4874" s="2">
        <v>4873</v>
      </c>
      <c r="B4874" s="3" t="s">
        <v>28</v>
      </c>
      <c r="C4874" s="4" t="str">
        <f t="shared" si="397"/>
        <v>Thanh Hóa</v>
      </c>
      <c r="D4874" s="3" t="s">
        <v>341</v>
      </c>
      <c r="E4874" s="4" t="str">
        <f t="shared" si="399"/>
        <v>Huyện Thạch Thành</v>
      </c>
      <c r="F4874" s="3" t="s">
        <v>5637</v>
      </c>
      <c r="G4874" s="4" t="str">
        <f>HYPERLINK("https://diaocthongthai.com/xa-thanh-an-thach-thanh/","Xã Thành An")</f>
        <v>Xã Thành An</v>
      </c>
    </row>
    <row r="4875" spans="1:7" x14ac:dyDescent="0.25">
      <c r="A4875" s="2">
        <v>4874</v>
      </c>
      <c r="B4875" s="3" t="s">
        <v>28</v>
      </c>
      <c r="C4875" s="4" t="str">
        <f t="shared" si="397"/>
        <v>Thanh Hóa</v>
      </c>
      <c r="D4875" s="3" t="s">
        <v>341</v>
      </c>
      <c r="E4875" s="4" t="str">
        <f t="shared" si="399"/>
        <v>Huyện Thạch Thành</v>
      </c>
      <c r="F4875" s="3" t="s">
        <v>5638</v>
      </c>
      <c r="G4875" s="4" t="str">
        <f>HYPERLINK("https://diaocthongthai.com/xa-thanh-tho-thach-thanh/","Xã Thành Thọ")</f>
        <v>Xã Thành Thọ</v>
      </c>
    </row>
    <row r="4876" spans="1:7" x14ac:dyDescent="0.25">
      <c r="A4876" s="2">
        <v>4875</v>
      </c>
      <c r="B4876" s="3" t="s">
        <v>28</v>
      </c>
      <c r="C4876" s="4" t="str">
        <f t="shared" si="397"/>
        <v>Thanh Hóa</v>
      </c>
      <c r="D4876" s="3" t="s">
        <v>341</v>
      </c>
      <c r="E4876" s="4" t="str">
        <f t="shared" si="399"/>
        <v>Huyện Thạch Thành</v>
      </c>
      <c r="F4876" s="3" t="s">
        <v>5639</v>
      </c>
      <c r="G4876" s="4" t="str">
        <f>HYPERLINK("https://diaocthongthai.com/xa-thanh-tien-thach-thanh/","Xã Thành Tiến")</f>
        <v>Xã Thành Tiến</v>
      </c>
    </row>
    <row r="4877" spans="1:7" x14ac:dyDescent="0.25">
      <c r="A4877" s="2">
        <v>4876</v>
      </c>
      <c r="B4877" s="3" t="s">
        <v>28</v>
      </c>
      <c r="C4877" s="4" t="str">
        <f t="shared" si="397"/>
        <v>Thanh Hóa</v>
      </c>
      <c r="D4877" s="3" t="s">
        <v>341</v>
      </c>
      <c r="E4877" s="4" t="str">
        <f t="shared" si="399"/>
        <v>Huyện Thạch Thành</v>
      </c>
      <c r="F4877" s="3" t="s">
        <v>5640</v>
      </c>
      <c r="G4877" s="4" t="str">
        <f>HYPERLINK("https://diaocthongthai.com/xa-thanh-long-thach-thanh/","Xã Thành Long")</f>
        <v>Xã Thành Long</v>
      </c>
    </row>
    <row r="4878" spans="1:7" x14ac:dyDescent="0.25">
      <c r="A4878" s="2">
        <v>4877</v>
      </c>
      <c r="B4878" s="3" t="s">
        <v>28</v>
      </c>
      <c r="C4878" s="4" t="str">
        <f t="shared" si="397"/>
        <v>Thanh Hóa</v>
      </c>
      <c r="D4878" s="3" t="s">
        <v>341</v>
      </c>
      <c r="E4878" s="4" t="str">
        <f t="shared" si="399"/>
        <v>Huyện Thạch Thành</v>
      </c>
      <c r="F4878" s="3" t="s">
        <v>5641</v>
      </c>
      <c r="G4878" s="4" t="str">
        <f>HYPERLINK("https://diaocthongthai.com/xa-thanh-hung-thach-thanh/","Xã Thành Hưng")</f>
        <v>Xã Thành Hưng</v>
      </c>
    </row>
    <row r="4879" spans="1:7" x14ac:dyDescent="0.25">
      <c r="A4879" s="2">
        <v>4878</v>
      </c>
      <c r="B4879" s="3" t="s">
        <v>28</v>
      </c>
      <c r="C4879" s="4" t="str">
        <f t="shared" si="397"/>
        <v>Thanh Hóa</v>
      </c>
      <c r="D4879" s="3" t="s">
        <v>341</v>
      </c>
      <c r="E4879" s="4" t="str">
        <f t="shared" si="399"/>
        <v>Huyện Thạch Thành</v>
      </c>
      <c r="F4879" s="3" t="s">
        <v>5642</v>
      </c>
      <c r="G4879" s="4" t="str">
        <f>HYPERLINK("https://diaocthongthai.com/xa-ngoc-trao-thach-thanh/","Xã Ngọc Trạo")</f>
        <v>Xã Ngọc Trạo</v>
      </c>
    </row>
    <row r="4880" spans="1:7" x14ac:dyDescent="0.25">
      <c r="A4880" s="2">
        <v>4879</v>
      </c>
      <c r="B4880" s="3" t="s">
        <v>28</v>
      </c>
      <c r="C4880" s="4" t="str">
        <f t="shared" si="397"/>
        <v>Thanh Hóa</v>
      </c>
      <c r="D4880" s="3" t="s">
        <v>342</v>
      </c>
      <c r="E4880" s="4" t="str">
        <f t="shared" ref="E4880:E4899" si="400">HYPERLINK("https://diaocthongthai.com/ban-do-huyen-ha-trung-thanh-hoa/","Huyện Hà Trung")</f>
        <v>Huyện Hà Trung</v>
      </c>
      <c r="F4880" s="3" t="s">
        <v>5643</v>
      </c>
      <c r="G4880" s="4" t="str">
        <f>HYPERLINK("https://diaocthongthai.com/thi-tran-ha-trung-ha-trung/","Thị trấn Hà Trung")</f>
        <v>Thị trấn Hà Trung</v>
      </c>
    </row>
    <row r="4881" spans="1:7" x14ac:dyDescent="0.25">
      <c r="A4881" s="2">
        <v>4880</v>
      </c>
      <c r="B4881" s="3" t="s">
        <v>28</v>
      </c>
      <c r="C4881" s="4" t="str">
        <f t="shared" si="397"/>
        <v>Thanh Hóa</v>
      </c>
      <c r="D4881" s="3" t="s">
        <v>342</v>
      </c>
      <c r="E4881" s="4" t="str">
        <f t="shared" si="400"/>
        <v>Huyện Hà Trung</v>
      </c>
      <c r="F4881" s="3" t="s">
        <v>5644</v>
      </c>
      <c r="G4881" s="4" t="str">
        <f>HYPERLINK("https://diaocthongthai.com/xa-ha-long-ha-trung/","Xã Hà Long")</f>
        <v>Xã Hà Long</v>
      </c>
    </row>
    <row r="4882" spans="1:7" x14ac:dyDescent="0.25">
      <c r="A4882" s="2">
        <v>4881</v>
      </c>
      <c r="B4882" s="3" t="s">
        <v>28</v>
      </c>
      <c r="C4882" s="4" t="str">
        <f t="shared" si="397"/>
        <v>Thanh Hóa</v>
      </c>
      <c r="D4882" s="3" t="s">
        <v>342</v>
      </c>
      <c r="E4882" s="4" t="str">
        <f t="shared" si="400"/>
        <v>Huyện Hà Trung</v>
      </c>
      <c r="F4882" s="3" t="s">
        <v>5645</v>
      </c>
      <c r="G4882" s="4" t="str">
        <f>HYPERLINK("https://diaocthongthai.com/xa-ha-vinh-ha-trung/","Xã Hà Vinh")</f>
        <v>Xã Hà Vinh</v>
      </c>
    </row>
    <row r="4883" spans="1:7" x14ac:dyDescent="0.25">
      <c r="A4883" s="2">
        <v>4882</v>
      </c>
      <c r="B4883" s="3" t="s">
        <v>28</v>
      </c>
      <c r="C4883" s="4" t="str">
        <f t="shared" si="397"/>
        <v>Thanh Hóa</v>
      </c>
      <c r="D4883" s="3" t="s">
        <v>342</v>
      </c>
      <c r="E4883" s="4" t="str">
        <f t="shared" si="400"/>
        <v>Huyện Hà Trung</v>
      </c>
      <c r="F4883" s="3" t="s">
        <v>5646</v>
      </c>
      <c r="G4883" s="4" t="str">
        <f>HYPERLINK("https://diaocthongthai.com/xa-ha-bac-ha-trung/","Xã Hà Bắc")</f>
        <v>Xã Hà Bắc</v>
      </c>
    </row>
    <row r="4884" spans="1:7" x14ac:dyDescent="0.25">
      <c r="A4884" s="2">
        <v>4883</v>
      </c>
      <c r="B4884" s="3" t="s">
        <v>28</v>
      </c>
      <c r="C4884" s="4" t="str">
        <f t="shared" si="397"/>
        <v>Thanh Hóa</v>
      </c>
      <c r="D4884" s="3" t="s">
        <v>342</v>
      </c>
      <c r="E4884" s="4" t="str">
        <f t="shared" si="400"/>
        <v>Huyện Hà Trung</v>
      </c>
      <c r="F4884" s="3" t="s">
        <v>5647</v>
      </c>
      <c r="G4884" s="4" t="str">
        <f>HYPERLINK("https://diaocthongthai.com/xa-hoat-giang-ha-trung/","Xã Hoạt Giang")</f>
        <v>Xã Hoạt Giang</v>
      </c>
    </row>
    <row r="4885" spans="1:7" x14ac:dyDescent="0.25">
      <c r="A4885" s="2">
        <v>4884</v>
      </c>
      <c r="B4885" s="3" t="s">
        <v>28</v>
      </c>
      <c r="C4885" s="4" t="str">
        <f t="shared" si="397"/>
        <v>Thanh Hóa</v>
      </c>
      <c r="D4885" s="3" t="s">
        <v>342</v>
      </c>
      <c r="E4885" s="4" t="str">
        <f t="shared" si="400"/>
        <v>Huyện Hà Trung</v>
      </c>
      <c r="F4885" s="3" t="s">
        <v>5648</v>
      </c>
      <c r="G4885" s="4" t="str">
        <f>HYPERLINK("https://diaocthongthai.com/xa-yen-duong-ha-trung/","Xã Yên Dương")</f>
        <v>Xã Yên Dương</v>
      </c>
    </row>
    <row r="4886" spans="1:7" x14ac:dyDescent="0.25">
      <c r="A4886" s="2">
        <v>4885</v>
      </c>
      <c r="B4886" s="3" t="s">
        <v>28</v>
      </c>
      <c r="C4886" s="4" t="str">
        <f t="shared" si="397"/>
        <v>Thanh Hóa</v>
      </c>
      <c r="D4886" s="3" t="s">
        <v>342</v>
      </c>
      <c r="E4886" s="4" t="str">
        <f t="shared" si="400"/>
        <v>Huyện Hà Trung</v>
      </c>
      <c r="F4886" s="3" t="s">
        <v>5649</v>
      </c>
      <c r="G4886" s="4" t="str">
        <f>HYPERLINK("https://diaocthongthai.com/xa-ha-giang-ha-trung/","Xã Hà Giang")</f>
        <v>Xã Hà Giang</v>
      </c>
    </row>
    <row r="4887" spans="1:7" x14ac:dyDescent="0.25">
      <c r="A4887" s="2">
        <v>4886</v>
      </c>
      <c r="B4887" s="3" t="s">
        <v>28</v>
      </c>
      <c r="C4887" s="4" t="str">
        <f t="shared" si="397"/>
        <v>Thanh Hóa</v>
      </c>
      <c r="D4887" s="3" t="s">
        <v>342</v>
      </c>
      <c r="E4887" s="4" t="str">
        <f t="shared" si="400"/>
        <v>Huyện Hà Trung</v>
      </c>
      <c r="F4887" s="3" t="s">
        <v>5650</v>
      </c>
      <c r="G4887" s="4" t="str">
        <f>HYPERLINK("https://diaocthongthai.com/xa-linh-toai-ha-trung/","Xã Lĩnh Toại")</f>
        <v>Xã Lĩnh Toại</v>
      </c>
    </row>
    <row r="4888" spans="1:7" x14ac:dyDescent="0.25">
      <c r="A4888" s="2">
        <v>4887</v>
      </c>
      <c r="B4888" s="3" t="s">
        <v>28</v>
      </c>
      <c r="C4888" s="4" t="str">
        <f t="shared" si="397"/>
        <v>Thanh Hóa</v>
      </c>
      <c r="D4888" s="3" t="s">
        <v>342</v>
      </c>
      <c r="E4888" s="4" t="str">
        <f t="shared" si="400"/>
        <v>Huyện Hà Trung</v>
      </c>
      <c r="F4888" s="3" t="s">
        <v>5651</v>
      </c>
      <c r="G4888" s="4" t="str">
        <f>HYPERLINK("https://diaocthongthai.com/xa-ha-ngoc-ha-trung/","Xã Hà Ngọc")</f>
        <v>Xã Hà Ngọc</v>
      </c>
    </row>
    <row r="4889" spans="1:7" x14ac:dyDescent="0.25">
      <c r="A4889" s="2">
        <v>4888</v>
      </c>
      <c r="B4889" s="3" t="s">
        <v>28</v>
      </c>
      <c r="C4889" s="4" t="str">
        <f t="shared" si="397"/>
        <v>Thanh Hóa</v>
      </c>
      <c r="D4889" s="3" t="s">
        <v>342</v>
      </c>
      <c r="E4889" s="4" t="str">
        <f t="shared" si="400"/>
        <v>Huyện Hà Trung</v>
      </c>
      <c r="F4889" s="3" t="s">
        <v>5652</v>
      </c>
      <c r="G4889" s="4" t="str">
        <f>HYPERLINK("https://diaocthongthai.com/xa-yen-son-ha-trung/","Xã Yến Sơn")</f>
        <v>Xã Yến Sơn</v>
      </c>
    </row>
    <row r="4890" spans="1:7" x14ac:dyDescent="0.25">
      <c r="A4890" s="2">
        <v>4889</v>
      </c>
      <c r="B4890" s="3" t="s">
        <v>28</v>
      </c>
      <c r="C4890" s="4" t="str">
        <f t="shared" si="397"/>
        <v>Thanh Hóa</v>
      </c>
      <c r="D4890" s="3" t="s">
        <v>342</v>
      </c>
      <c r="E4890" s="4" t="str">
        <f t="shared" si="400"/>
        <v>Huyện Hà Trung</v>
      </c>
      <c r="F4890" s="3" t="s">
        <v>5653</v>
      </c>
      <c r="G4890" s="4" t="str">
        <f>HYPERLINK("https://diaocthongthai.com/xa-ha-son-ha-trung/","Xã Hà Sơn")</f>
        <v>Xã Hà Sơn</v>
      </c>
    </row>
    <row r="4891" spans="1:7" x14ac:dyDescent="0.25">
      <c r="A4891" s="2">
        <v>4890</v>
      </c>
      <c r="B4891" s="3" t="s">
        <v>28</v>
      </c>
      <c r="C4891" s="4" t="str">
        <f t="shared" ref="C4891:C4954" si="401">HYPERLINK("https://diaocthongthai.com/ban-do-thanh-hoa/","Thanh Hóa")</f>
        <v>Thanh Hóa</v>
      </c>
      <c r="D4891" s="3" t="s">
        <v>342</v>
      </c>
      <c r="E4891" s="4" t="str">
        <f t="shared" si="400"/>
        <v>Huyện Hà Trung</v>
      </c>
      <c r="F4891" s="3" t="s">
        <v>5654</v>
      </c>
      <c r="G4891" s="4" t="str">
        <f>HYPERLINK("https://diaocthongthai.com/xa-ha-linh-ha-trung/","Xã Hà Lĩnh")</f>
        <v>Xã Hà Lĩnh</v>
      </c>
    </row>
    <row r="4892" spans="1:7" x14ac:dyDescent="0.25">
      <c r="A4892" s="2">
        <v>4891</v>
      </c>
      <c r="B4892" s="3" t="s">
        <v>28</v>
      </c>
      <c r="C4892" s="4" t="str">
        <f t="shared" si="401"/>
        <v>Thanh Hóa</v>
      </c>
      <c r="D4892" s="3" t="s">
        <v>342</v>
      </c>
      <c r="E4892" s="4" t="str">
        <f t="shared" si="400"/>
        <v>Huyện Hà Trung</v>
      </c>
      <c r="F4892" s="3" t="s">
        <v>5655</v>
      </c>
      <c r="G4892" s="4" t="str">
        <f>HYPERLINK("https://diaocthongthai.com/xa-ha-dong-ha-trung/","Xã Hà Đông")</f>
        <v>Xã Hà Đông</v>
      </c>
    </row>
    <row r="4893" spans="1:7" x14ac:dyDescent="0.25">
      <c r="A4893" s="2">
        <v>4892</v>
      </c>
      <c r="B4893" s="3" t="s">
        <v>28</v>
      </c>
      <c r="C4893" s="4" t="str">
        <f t="shared" si="401"/>
        <v>Thanh Hóa</v>
      </c>
      <c r="D4893" s="3" t="s">
        <v>342</v>
      </c>
      <c r="E4893" s="4" t="str">
        <f t="shared" si="400"/>
        <v>Huyện Hà Trung</v>
      </c>
      <c r="F4893" s="3" t="s">
        <v>5656</v>
      </c>
      <c r="G4893" s="4" t="str">
        <f>HYPERLINK("https://diaocthongthai.com/xa-ha-tan-ha-trung/","Xã Hà Tân")</f>
        <v>Xã Hà Tân</v>
      </c>
    </row>
    <row r="4894" spans="1:7" x14ac:dyDescent="0.25">
      <c r="A4894" s="2">
        <v>4893</v>
      </c>
      <c r="B4894" s="3" t="s">
        <v>28</v>
      </c>
      <c r="C4894" s="4" t="str">
        <f t="shared" si="401"/>
        <v>Thanh Hóa</v>
      </c>
      <c r="D4894" s="3" t="s">
        <v>342</v>
      </c>
      <c r="E4894" s="4" t="str">
        <f t="shared" si="400"/>
        <v>Huyện Hà Trung</v>
      </c>
      <c r="F4894" s="3" t="s">
        <v>5657</v>
      </c>
      <c r="G4894" s="4" t="str">
        <f>HYPERLINK("https://diaocthongthai.com/xa-ha-tien-ha-trung/","Xã Hà Tiến")</f>
        <v>Xã Hà Tiến</v>
      </c>
    </row>
    <row r="4895" spans="1:7" x14ac:dyDescent="0.25">
      <c r="A4895" s="2">
        <v>4894</v>
      </c>
      <c r="B4895" s="3" t="s">
        <v>28</v>
      </c>
      <c r="C4895" s="4" t="str">
        <f t="shared" si="401"/>
        <v>Thanh Hóa</v>
      </c>
      <c r="D4895" s="3" t="s">
        <v>342</v>
      </c>
      <c r="E4895" s="4" t="str">
        <f t="shared" si="400"/>
        <v>Huyện Hà Trung</v>
      </c>
      <c r="F4895" s="3" t="s">
        <v>5658</v>
      </c>
      <c r="G4895" s="4" t="str">
        <f>HYPERLINK("https://diaocthongthai.com/xa-ha-binh-ha-trung/","Xã Hà Bình")</f>
        <v>Xã Hà Bình</v>
      </c>
    </row>
    <row r="4896" spans="1:7" x14ac:dyDescent="0.25">
      <c r="A4896" s="2">
        <v>4895</v>
      </c>
      <c r="B4896" s="3" t="s">
        <v>28</v>
      </c>
      <c r="C4896" s="4" t="str">
        <f t="shared" si="401"/>
        <v>Thanh Hóa</v>
      </c>
      <c r="D4896" s="3" t="s">
        <v>342</v>
      </c>
      <c r="E4896" s="4" t="str">
        <f t="shared" si="400"/>
        <v>Huyện Hà Trung</v>
      </c>
      <c r="F4896" s="3" t="s">
        <v>5659</v>
      </c>
      <c r="G4896" s="4" t="str">
        <f>HYPERLINK("https://diaocthongthai.com/xa-ha-lai-ha-trung/","Xã Hà Lai")</f>
        <v>Xã Hà Lai</v>
      </c>
    </row>
    <row r="4897" spans="1:7" x14ac:dyDescent="0.25">
      <c r="A4897" s="2">
        <v>4896</v>
      </c>
      <c r="B4897" s="3" t="s">
        <v>28</v>
      </c>
      <c r="C4897" s="4" t="str">
        <f t="shared" si="401"/>
        <v>Thanh Hóa</v>
      </c>
      <c r="D4897" s="3" t="s">
        <v>342</v>
      </c>
      <c r="E4897" s="4" t="str">
        <f t="shared" si="400"/>
        <v>Huyện Hà Trung</v>
      </c>
      <c r="F4897" s="3" t="s">
        <v>5660</v>
      </c>
      <c r="G4897" s="4" t="str">
        <f>HYPERLINK("https://diaocthongthai.com/xa-ha-chau-ha-trung/","Xã Hà Châu")</f>
        <v>Xã Hà Châu</v>
      </c>
    </row>
    <row r="4898" spans="1:7" x14ac:dyDescent="0.25">
      <c r="A4898" s="2">
        <v>4897</v>
      </c>
      <c r="B4898" s="3" t="s">
        <v>28</v>
      </c>
      <c r="C4898" s="4" t="str">
        <f t="shared" si="401"/>
        <v>Thanh Hóa</v>
      </c>
      <c r="D4898" s="3" t="s">
        <v>342</v>
      </c>
      <c r="E4898" s="4" t="str">
        <f t="shared" si="400"/>
        <v>Huyện Hà Trung</v>
      </c>
      <c r="F4898" s="3" t="s">
        <v>5661</v>
      </c>
      <c r="G4898" s="4" t="str">
        <f>HYPERLINK("https://diaocthongthai.com/xa-ha-thai-ha-trung/","Xã Hà Thái")</f>
        <v>Xã Hà Thái</v>
      </c>
    </row>
    <row r="4899" spans="1:7" x14ac:dyDescent="0.25">
      <c r="A4899" s="2">
        <v>4898</v>
      </c>
      <c r="B4899" s="3" t="s">
        <v>28</v>
      </c>
      <c r="C4899" s="4" t="str">
        <f t="shared" si="401"/>
        <v>Thanh Hóa</v>
      </c>
      <c r="D4899" s="3" t="s">
        <v>342</v>
      </c>
      <c r="E4899" s="4" t="str">
        <f t="shared" si="400"/>
        <v>Huyện Hà Trung</v>
      </c>
      <c r="F4899" s="3" t="s">
        <v>5662</v>
      </c>
      <c r="G4899" s="4" t="str">
        <f>HYPERLINK("https://diaocthongthai.com/xa-ha-hai-ha-trung/","Xã Hà Hải")</f>
        <v>Xã Hà Hải</v>
      </c>
    </row>
    <row r="4900" spans="1:7" x14ac:dyDescent="0.25">
      <c r="A4900" s="2">
        <v>4899</v>
      </c>
      <c r="B4900" s="3" t="s">
        <v>28</v>
      </c>
      <c r="C4900" s="4" t="str">
        <f t="shared" si="401"/>
        <v>Thanh Hóa</v>
      </c>
      <c r="D4900" s="3" t="s">
        <v>343</v>
      </c>
      <c r="E4900" s="4" t="str">
        <f t="shared" ref="E4900:E4912" si="402">HYPERLINK("https://diaocthongthai.com/ban-do-huyen-vinh-loc-thanh-hoa/","Huyện Vĩnh Lộc")</f>
        <v>Huyện Vĩnh Lộc</v>
      </c>
      <c r="F4900" s="3" t="s">
        <v>5663</v>
      </c>
      <c r="G4900" s="4" t="str">
        <f>HYPERLINK("https://diaocthongthai.com/thi-tran-vinh-loc-vinh-loc/","Thị trấn Vĩnh Lộc")</f>
        <v>Thị trấn Vĩnh Lộc</v>
      </c>
    </row>
    <row r="4901" spans="1:7" x14ac:dyDescent="0.25">
      <c r="A4901" s="2">
        <v>4900</v>
      </c>
      <c r="B4901" s="3" t="s">
        <v>28</v>
      </c>
      <c r="C4901" s="4" t="str">
        <f t="shared" si="401"/>
        <v>Thanh Hóa</v>
      </c>
      <c r="D4901" s="3" t="s">
        <v>343</v>
      </c>
      <c r="E4901" s="4" t="str">
        <f t="shared" si="402"/>
        <v>Huyện Vĩnh Lộc</v>
      </c>
      <c r="F4901" s="3" t="s">
        <v>5664</v>
      </c>
      <c r="G4901" s="4" t="str">
        <f>HYPERLINK("https://diaocthongthai.com/xa-vinh-quang-vinh-loc/","Xã Vĩnh Quang")</f>
        <v>Xã Vĩnh Quang</v>
      </c>
    </row>
    <row r="4902" spans="1:7" x14ac:dyDescent="0.25">
      <c r="A4902" s="2">
        <v>4901</v>
      </c>
      <c r="B4902" s="3" t="s">
        <v>28</v>
      </c>
      <c r="C4902" s="4" t="str">
        <f t="shared" si="401"/>
        <v>Thanh Hóa</v>
      </c>
      <c r="D4902" s="3" t="s">
        <v>343</v>
      </c>
      <c r="E4902" s="4" t="str">
        <f t="shared" si="402"/>
        <v>Huyện Vĩnh Lộc</v>
      </c>
      <c r="F4902" s="3" t="s">
        <v>5665</v>
      </c>
      <c r="G4902" s="4" t="str">
        <f>HYPERLINK("https://diaocthongthai.com/xa-vinh-yen-vinh-loc/","Xã Vĩnh Yên")</f>
        <v>Xã Vĩnh Yên</v>
      </c>
    </row>
    <row r="4903" spans="1:7" x14ac:dyDescent="0.25">
      <c r="A4903" s="2">
        <v>4902</v>
      </c>
      <c r="B4903" s="3" t="s">
        <v>28</v>
      </c>
      <c r="C4903" s="4" t="str">
        <f t="shared" si="401"/>
        <v>Thanh Hóa</v>
      </c>
      <c r="D4903" s="3" t="s">
        <v>343</v>
      </c>
      <c r="E4903" s="4" t="str">
        <f t="shared" si="402"/>
        <v>Huyện Vĩnh Lộc</v>
      </c>
      <c r="F4903" s="3" t="s">
        <v>5666</v>
      </c>
      <c r="G4903" s="4" t="str">
        <f>HYPERLINK("https://diaocthongthai.com/xa-vinh-tien-vinh-loc/","Xã Vĩnh Tiến")</f>
        <v>Xã Vĩnh Tiến</v>
      </c>
    </row>
    <row r="4904" spans="1:7" x14ac:dyDescent="0.25">
      <c r="A4904" s="2">
        <v>4903</v>
      </c>
      <c r="B4904" s="3" t="s">
        <v>28</v>
      </c>
      <c r="C4904" s="4" t="str">
        <f t="shared" si="401"/>
        <v>Thanh Hóa</v>
      </c>
      <c r="D4904" s="3" t="s">
        <v>343</v>
      </c>
      <c r="E4904" s="4" t="str">
        <f t="shared" si="402"/>
        <v>Huyện Vĩnh Lộc</v>
      </c>
      <c r="F4904" s="3" t="s">
        <v>5667</v>
      </c>
      <c r="G4904" s="4" t="str">
        <f>HYPERLINK("https://diaocthongthai.com/xa-vinh-long-vinh-loc/","Xã Vĩnh Long")</f>
        <v>Xã Vĩnh Long</v>
      </c>
    </row>
    <row r="4905" spans="1:7" x14ac:dyDescent="0.25">
      <c r="A4905" s="2">
        <v>4904</v>
      </c>
      <c r="B4905" s="3" t="s">
        <v>28</v>
      </c>
      <c r="C4905" s="4" t="str">
        <f t="shared" si="401"/>
        <v>Thanh Hóa</v>
      </c>
      <c r="D4905" s="3" t="s">
        <v>343</v>
      </c>
      <c r="E4905" s="4" t="str">
        <f t="shared" si="402"/>
        <v>Huyện Vĩnh Lộc</v>
      </c>
      <c r="F4905" s="3" t="s">
        <v>5668</v>
      </c>
      <c r="G4905" s="4" t="str">
        <f>HYPERLINK("https://diaocthongthai.com/xa-vinh-phuc-vinh-loc/","Xã Vĩnh Phúc")</f>
        <v>Xã Vĩnh Phúc</v>
      </c>
    </row>
    <row r="4906" spans="1:7" x14ac:dyDescent="0.25">
      <c r="A4906" s="2">
        <v>4905</v>
      </c>
      <c r="B4906" s="3" t="s">
        <v>28</v>
      </c>
      <c r="C4906" s="4" t="str">
        <f t="shared" si="401"/>
        <v>Thanh Hóa</v>
      </c>
      <c r="D4906" s="3" t="s">
        <v>343</v>
      </c>
      <c r="E4906" s="4" t="str">
        <f t="shared" si="402"/>
        <v>Huyện Vĩnh Lộc</v>
      </c>
      <c r="F4906" s="3" t="s">
        <v>5669</v>
      </c>
      <c r="G4906" s="4" t="str">
        <f>HYPERLINK("https://diaocthongthai.com/xa-vinh-hung-2-vinh-loc/","Xã Vĩnh Hưng")</f>
        <v>Xã Vĩnh Hưng</v>
      </c>
    </row>
    <row r="4907" spans="1:7" x14ac:dyDescent="0.25">
      <c r="A4907" s="2">
        <v>4906</v>
      </c>
      <c r="B4907" s="3" t="s">
        <v>28</v>
      </c>
      <c r="C4907" s="4" t="str">
        <f t="shared" si="401"/>
        <v>Thanh Hóa</v>
      </c>
      <c r="D4907" s="3" t="s">
        <v>343</v>
      </c>
      <c r="E4907" s="4" t="str">
        <f t="shared" si="402"/>
        <v>Huyện Vĩnh Lộc</v>
      </c>
      <c r="F4907" s="3" t="s">
        <v>5670</v>
      </c>
      <c r="G4907" s="4" t="str">
        <f>HYPERLINK("https://diaocthongthai.com/xa-vinh-hoa-vinh-loc/","Xã Vĩnh Hòa")</f>
        <v>Xã Vĩnh Hòa</v>
      </c>
    </row>
    <row r="4908" spans="1:7" x14ac:dyDescent="0.25">
      <c r="A4908" s="2">
        <v>4907</v>
      </c>
      <c r="B4908" s="3" t="s">
        <v>28</v>
      </c>
      <c r="C4908" s="4" t="str">
        <f t="shared" si="401"/>
        <v>Thanh Hóa</v>
      </c>
      <c r="D4908" s="3" t="s">
        <v>343</v>
      </c>
      <c r="E4908" s="4" t="str">
        <f t="shared" si="402"/>
        <v>Huyện Vĩnh Lộc</v>
      </c>
      <c r="F4908" s="3" t="s">
        <v>5671</v>
      </c>
      <c r="G4908" s="4" t="str">
        <f>HYPERLINK("https://diaocthongthai.com/xa-vinh-hung-1-vinh-loc/","Xã Vĩnh Hùng")</f>
        <v>Xã Vĩnh Hùng</v>
      </c>
    </row>
    <row r="4909" spans="1:7" x14ac:dyDescent="0.25">
      <c r="A4909" s="2">
        <v>4908</v>
      </c>
      <c r="B4909" s="3" t="s">
        <v>28</v>
      </c>
      <c r="C4909" s="4" t="str">
        <f t="shared" si="401"/>
        <v>Thanh Hóa</v>
      </c>
      <c r="D4909" s="3" t="s">
        <v>343</v>
      </c>
      <c r="E4909" s="4" t="str">
        <f t="shared" si="402"/>
        <v>Huyện Vĩnh Lộc</v>
      </c>
      <c r="F4909" s="3" t="s">
        <v>5672</v>
      </c>
      <c r="G4909" s="4" t="str">
        <f>HYPERLINK("https://diaocthongthai.com/xa-minh-tan-vinh-loc/","Xã Minh Tân")</f>
        <v>Xã Minh Tân</v>
      </c>
    </row>
    <row r="4910" spans="1:7" x14ac:dyDescent="0.25">
      <c r="A4910" s="2">
        <v>4909</v>
      </c>
      <c r="B4910" s="3" t="s">
        <v>28</v>
      </c>
      <c r="C4910" s="4" t="str">
        <f t="shared" si="401"/>
        <v>Thanh Hóa</v>
      </c>
      <c r="D4910" s="3" t="s">
        <v>343</v>
      </c>
      <c r="E4910" s="4" t="str">
        <f t="shared" si="402"/>
        <v>Huyện Vĩnh Lộc</v>
      </c>
      <c r="F4910" s="3" t="s">
        <v>5673</v>
      </c>
      <c r="G4910" s="4" t="str">
        <f>HYPERLINK("https://diaocthongthai.com/xa-ninh-khang-vinh-loc/","Xã Ninh Khang")</f>
        <v>Xã Ninh Khang</v>
      </c>
    </row>
    <row r="4911" spans="1:7" x14ac:dyDescent="0.25">
      <c r="A4911" s="2">
        <v>4910</v>
      </c>
      <c r="B4911" s="3" t="s">
        <v>28</v>
      </c>
      <c r="C4911" s="4" t="str">
        <f t="shared" si="401"/>
        <v>Thanh Hóa</v>
      </c>
      <c r="D4911" s="3" t="s">
        <v>343</v>
      </c>
      <c r="E4911" s="4" t="str">
        <f t="shared" si="402"/>
        <v>Huyện Vĩnh Lộc</v>
      </c>
      <c r="F4911" s="3" t="s">
        <v>5674</v>
      </c>
      <c r="G4911" s="4" t="str">
        <f>HYPERLINK("https://diaocthongthai.com/xa-vinh-thinh-vinh-loc/","Xã Vĩnh Thịnh")</f>
        <v>Xã Vĩnh Thịnh</v>
      </c>
    </row>
    <row r="4912" spans="1:7" x14ac:dyDescent="0.25">
      <c r="A4912" s="2">
        <v>4911</v>
      </c>
      <c r="B4912" s="3" t="s">
        <v>28</v>
      </c>
      <c r="C4912" s="4" t="str">
        <f t="shared" si="401"/>
        <v>Thanh Hóa</v>
      </c>
      <c r="D4912" s="3" t="s">
        <v>343</v>
      </c>
      <c r="E4912" s="4" t="str">
        <f t="shared" si="402"/>
        <v>Huyện Vĩnh Lộc</v>
      </c>
      <c r="F4912" s="3" t="s">
        <v>5675</v>
      </c>
      <c r="G4912" s="4" t="str">
        <f>HYPERLINK("https://diaocthongthai.com/xa-vinh-an-vinh-loc/","Xã Vĩnh An")</f>
        <v>Xã Vĩnh An</v>
      </c>
    </row>
    <row r="4913" spans="1:7" x14ac:dyDescent="0.25">
      <c r="A4913" s="2">
        <v>4912</v>
      </c>
      <c r="B4913" s="3" t="s">
        <v>28</v>
      </c>
      <c r="C4913" s="4" t="str">
        <f t="shared" si="401"/>
        <v>Thanh Hóa</v>
      </c>
      <c r="D4913" s="3" t="s">
        <v>344</v>
      </c>
      <c r="E4913" s="4" t="str">
        <f t="shared" ref="E4913:E4938" si="403">HYPERLINK("https://diaocthongthai.com/ban-do-huyen-yen-dinh-thanh-hoa/","Huyện Yên Định")</f>
        <v>Huyện Yên Định</v>
      </c>
      <c r="F4913" s="3" t="s">
        <v>5676</v>
      </c>
      <c r="G4913" s="4" t="str">
        <f>HYPERLINK("https://diaocthongthai.com/thi-tran-thong-nhat-yen-dinh/","Thị trấn Thống Nhất")</f>
        <v>Thị trấn Thống Nhất</v>
      </c>
    </row>
    <row r="4914" spans="1:7" x14ac:dyDescent="0.25">
      <c r="A4914" s="2">
        <v>4913</v>
      </c>
      <c r="B4914" s="3" t="s">
        <v>28</v>
      </c>
      <c r="C4914" s="4" t="str">
        <f t="shared" si="401"/>
        <v>Thanh Hóa</v>
      </c>
      <c r="D4914" s="3" t="s">
        <v>344</v>
      </c>
      <c r="E4914" s="4" t="str">
        <f t="shared" si="403"/>
        <v>Huyện Yên Định</v>
      </c>
      <c r="F4914" s="3" t="s">
        <v>5677</v>
      </c>
      <c r="G4914" s="4" t="str">
        <f>HYPERLINK("https://diaocthongthai.com/xa-yen-lam-yen-dinh/","Thị trấn Yên Lâm")</f>
        <v>Thị trấn Yên Lâm</v>
      </c>
    </row>
    <row r="4915" spans="1:7" x14ac:dyDescent="0.25">
      <c r="A4915" s="2">
        <v>4914</v>
      </c>
      <c r="B4915" s="3" t="s">
        <v>28</v>
      </c>
      <c r="C4915" s="4" t="str">
        <f t="shared" si="401"/>
        <v>Thanh Hóa</v>
      </c>
      <c r="D4915" s="3" t="s">
        <v>344</v>
      </c>
      <c r="E4915" s="4" t="str">
        <f t="shared" si="403"/>
        <v>Huyện Yên Định</v>
      </c>
      <c r="F4915" s="3" t="s">
        <v>5678</v>
      </c>
      <c r="G4915" s="4" t="str">
        <f>HYPERLINK("https://diaocthongthai.com/xa-yen-tam-yen-dinh/","Xã Yên Tâm")</f>
        <v>Xã Yên Tâm</v>
      </c>
    </row>
    <row r="4916" spans="1:7" x14ac:dyDescent="0.25">
      <c r="A4916" s="2">
        <v>4915</v>
      </c>
      <c r="B4916" s="3" t="s">
        <v>28</v>
      </c>
      <c r="C4916" s="4" t="str">
        <f t="shared" si="401"/>
        <v>Thanh Hóa</v>
      </c>
      <c r="D4916" s="3" t="s">
        <v>344</v>
      </c>
      <c r="E4916" s="4" t="str">
        <f t="shared" si="403"/>
        <v>Huyện Yên Định</v>
      </c>
      <c r="F4916" s="3" t="s">
        <v>5679</v>
      </c>
      <c r="G4916" s="4" t="str">
        <f>HYPERLINK("https://diaocthongthai.com/xa-yen-phu-yen-dinh/","Xã Yên Phú")</f>
        <v>Xã Yên Phú</v>
      </c>
    </row>
    <row r="4917" spans="1:7" x14ac:dyDescent="0.25">
      <c r="A4917" s="2">
        <v>4916</v>
      </c>
      <c r="B4917" s="3" t="s">
        <v>28</v>
      </c>
      <c r="C4917" s="4" t="str">
        <f t="shared" si="401"/>
        <v>Thanh Hóa</v>
      </c>
      <c r="D4917" s="3" t="s">
        <v>344</v>
      </c>
      <c r="E4917" s="4" t="str">
        <f t="shared" si="403"/>
        <v>Huyện Yên Định</v>
      </c>
      <c r="F4917" s="3" t="s">
        <v>5680</v>
      </c>
      <c r="G4917" s="4" t="str">
        <f>HYPERLINK("https://diaocthongthai.com/xa-quy-loc-yen-dinh/","Thị trấn Quý Lộc")</f>
        <v>Thị trấn Quý Lộc</v>
      </c>
    </row>
    <row r="4918" spans="1:7" x14ac:dyDescent="0.25">
      <c r="A4918" s="2">
        <v>4917</v>
      </c>
      <c r="B4918" s="3" t="s">
        <v>28</v>
      </c>
      <c r="C4918" s="4" t="str">
        <f t="shared" si="401"/>
        <v>Thanh Hóa</v>
      </c>
      <c r="D4918" s="3" t="s">
        <v>344</v>
      </c>
      <c r="E4918" s="4" t="str">
        <f t="shared" si="403"/>
        <v>Huyện Yên Định</v>
      </c>
      <c r="F4918" s="3" t="s">
        <v>5681</v>
      </c>
      <c r="G4918" s="4" t="str">
        <f>HYPERLINK("https://diaocthongthai.com/xa-yen-tho-yen-dinh/","Xã Yên Thọ")</f>
        <v>Xã Yên Thọ</v>
      </c>
    </row>
    <row r="4919" spans="1:7" x14ac:dyDescent="0.25">
      <c r="A4919" s="2">
        <v>4918</v>
      </c>
      <c r="B4919" s="3" t="s">
        <v>28</v>
      </c>
      <c r="C4919" s="4" t="str">
        <f t="shared" si="401"/>
        <v>Thanh Hóa</v>
      </c>
      <c r="D4919" s="3" t="s">
        <v>344</v>
      </c>
      <c r="E4919" s="4" t="str">
        <f t="shared" si="403"/>
        <v>Huyện Yên Định</v>
      </c>
      <c r="F4919" s="3" t="s">
        <v>5682</v>
      </c>
      <c r="G4919" s="4" t="str">
        <f>HYPERLINK("https://diaocthongthai.com/xa-yen-trung-yen-dinh/","Xã Yên Trung")</f>
        <v>Xã Yên Trung</v>
      </c>
    </row>
    <row r="4920" spans="1:7" x14ac:dyDescent="0.25">
      <c r="A4920" s="2">
        <v>4919</v>
      </c>
      <c r="B4920" s="3" t="s">
        <v>28</v>
      </c>
      <c r="C4920" s="4" t="str">
        <f t="shared" si="401"/>
        <v>Thanh Hóa</v>
      </c>
      <c r="D4920" s="3" t="s">
        <v>344</v>
      </c>
      <c r="E4920" s="4" t="str">
        <f t="shared" si="403"/>
        <v>Huyện Yên Định</v>
      </c>
      <c r="F4920" s="3" t="s">
        <v>5683</v>
      </c>
      <c r="G4920" s="4" t="str">
        <f>HYPERLINK("https://diaocthongthai.com/xa-yen-truong-yen-dinh/","Xã Yên Trường")</f>
        <v>Xã Yên Trường</v>
      </c>
    </row>
    <row r="4921" spans="1:7" x14ac:dyDescent="0.25">
      <c r="A4921" s="2">
        <v>4920</v>
      </c>
      <c r="B4921" s="3" t="s">
        <v>28</v>
      </c>
      <c r="C4921" s="4" t="str">
        <f t="shared" si="401"/>
        <v>Thanh Hóa</v>
      </c>
      <c r="D4921" s="3" t="s">
        <v>344</v>
      </c>
      <c r="E4921" s="4" t="str">
        <f t="shared" si="403"/>
        <v>Huyện Yên Định</v>
      </c>
      <c r="F4921" s="3" t="s">
        <v>5684</v>
      </c>
      <c r="G4921" s="4" t="str">
        <f>HYPERLINK("https://diaocthongthai.com/xa-yen-phong-yen-dinh/","Xã Yên Phong")</f>
        <v>Xã Yên Phong</v>
      </c>
    </row>
    <row r="4922" spans="1:7" x14ac:dyDescent="0.25">
      <c r="A4922" s="2">
        <v>4921</v>
      </c>
      <c r="B4922" s="3" t="s">
        <v>28</v>
      </c>
      <c r="C4922" s="4" t="str">
        <f t="shared" si="401"/>
        <v>Thanh Hóa</v>
      </c>
      <c r="D4922" s="3" t="s">
        <v>344</v>
      </c>
      <c r="E4922" s="4" t="str">
        <f t="shared" si="403"/>
        <v>Huyện Yên Định</v>
      </c>
      <c r="F4922" s="3" t="s">
        <v>5685</v>
      </c>
      <c r="G4922" s="4" t="str">
        <f>HYPERLINK("https://diaocthongthai.com/xa-yen-thai-yen-dinh/","Xã Yên Thái")</f>
        <v>Xã Yên Thái</v>
      </c>
    </row>
    <row r="4923" spans="1:7" x14ac:dyDescent="0.25">
      <c r="A4923" s="2">
        <v>4922</v>
      </c>
      <c r="B4923" s="3" t="s">
        <v>28</v>
      </c>
      <c r="C4923" s="4" t="str">
        <f t="shared" si="401"/>
        <v>Thanh Hóa</v>
      </c>
      <c r="D4923" s="3" t="s">
        <v>344</v>
      </c>
      <c r="E4923" s="4" t="str">
        <f t="shared" si="403"/>
        <v>Huyện Yên Định</v>
      </c>
      <c r="F4923" s="3" t="s">
        <v>5686</v>
      </c>
      <c r="G4923" s="4" t="str">
        <f>HYPERLINK("https://diaocthongthai.com/xa-yen-hung-yen-dinh/","Xã Yên Hùng")</f>
        <v>Xã Yên Hùng</v>
      </c>
    </row>
    <row r="4924" spans="1:7" x14ac:dyDescent="0.25">
      <c r="A4924" s="2">
        <v>4923</v>
      </c>
      <c r="B4924" s="3" t="s">
        <v>28</v>
      </c>
      <c r="C4924" s="4" t="str">
        <f t="shared" si="401"/>
        <v>Thanh Hóa</v>
      </c>
      <c r="D4924" s="3" t="s">
        <v>344</v>
      </c>
      <c r="E4924" s="4" t="str">
        <f t="shared" si="403"/>
        <v>Huyện Yên Định</v>
      </c>
      <c r="F4924" s="3" t="s">
        <v>5687</v>
      </c>
      <c r="G4924" s="4" t="str">
        <f>HYPERLINK("https://diaocthongthai.com/xa-yen-thinh-yen-dinh/","Xã Yên Thịnh")</f>
        <v>Xã Yên Thịnh</v>
      </c>
    </row>
    <row r="4925" spans="1:7" x14ac:dyDescent="0.25">
      <c r="A4925" s="2">
        <v>4924</v>
      </c>
      <c r="B4925" s="3" t="s">
        <v>28</v>
      </c>
      <c r="C4925" s="4" t="str">
        <f t="shared" si="401"/>
        <v>Thanh Hóa</v>
      </c>
      <c r="D4925" s="3" t="s">
        <v>344</v>
      </c>
      <c r="E4925" s="4" t="str">
        <f t="shared" si="403"/>
        <v>Huyện Yên Định</v>
      </c>
      <c r="F4925" s="3" t="s">
        <v>5688</v>
      </c>
      <c r="G4925" s="4" t="str">
        <f>HYPERLINK("https://diaocthongthai.com/xa-yen-ninh-yen-dinh/","Xã Yên Ninh")</f>
        <v>Xã Yên Ninh</v>
      </c>
    </row>
    <row r="4926" spans="1:7" x14ac:dyDescent="0.25">
      <c r="A4926" s="2">
        <v>4925</v>
      </c>
      <c r="B4926" s="3" t="s">
        <v>28</v>
      </c>
      <c r="C4926" s="4" t="str">
        <f t="shared" si="401"/>
        <v>Thanh Hóa</v>
      </c>
      <c r="D4926" s="3" t="s">
        <v>344</v>
      </c>
      <c r="E4926" s="4" t="str">
        <f t="shared" si="403"/>
        <v>Huyện Yên Định</v>
      </c>
      <c r="F4926" s="3" t="s">
        <v>5689</v>
      </c>
      <c r="G4926" s="4" t="str">
        <f>HYPERLINK("https://diaocthongthai.com/xa-yen-lac-yen-dinh/","Xã Yên Lạc")</f>
        <v>Xã Yên Lạc</v>
      </c>
    </row>
    <row r="4927" spans="1:7" x14ac:dyDescent="0.25">
      <c r="A4927" s="2">
        <v>4926</v>
      </c>
      <c r="B4927" s="3" t="s">
        <v>28</v>
      </c>
      <c r="C4927" s="4" t="str">
        <f t="shared" si="401"/>
        <v>Thanh Hóa</v>
      </c>
      <c r="D4927" s="3" t="s">
        <v>344</v>
      </c>
      <c r="E4927" s="4" t="str">
        <f t="shared" si="403"/>
        <v>Huyện Yên Định</v>
      </c>
      <c r="F4927" s="3" t="s">
        <v>5690</v>
      </c>
      <c r="G4927" s="4" t="str">
        <f>HYPERLINK("https://diaocthongthai.com/xa-dinh-tang-yen-dinh/","Xã Định Tăng")</f>
        <v>Xã Định Tăng</v>
      </c>
    </row>
    <row r="4928" spans="1:7" x14ac:dyDescent="0.25">
      <c r="A4928" s="2">
        <v>4927</v>
      </c>
      <c r="B4928" s="3" t="s">
        <v>28</v>
      </c>
      <c r="C4928" s="4" t="str">
        <f t="shared" si="401"/>
        <v>Thanh Hóa</v>
      </c>
      <c r="D4928" s="3" t="s">
        <v>344</v>
      </c>
      <c r="E4928" s="4" t="str">
        <f t="shared" si="403"/>
        <v>Huyện Yên Định</v>
      </c>
      <c r="F4928" s="3" t="s">
        <v>5691</v>
      </c>
      <c r="G4928" s="4" t="str">
        <f>HYPERLINK("https://diaocthongthai.com/xa-dinh-hoa-yen-dinh/","Xã Định Hòa")</f>
        <v>Xã Định Hòa</v>
      </c>
    </row>
    <row r="4929" spans="1:7" x14ac:dyDescent="0.25">
      <c r="A4929" s="2">
        <v>4928</v>
      </c>
      <c r="B4929" s="3" t="s">
        <v>28</v>
      </c>
      <c r="C4929" s="4" t="str">
        <f t="shared" si="401"/>
        <v>Thanh Hóa</v>
      </c>
      <c r="D4929" s="3" t="s">
        <v>344</v>
      </c>
      <c r="E4929" s="4" t="str">
        <f t="shared" si="403"/>
        <v>Huyện Yên Định</v>
      </c>
      <c r="F4929" s="3" t="s">
        <v>5692</v>
      </c>
      <c r="G4929" s="4" t="str">
        <f>HYPERLINK("https://diaocthongthai.com/xa-dinh-thanh-yen-dinh/","Xã Định Thành")</f>
        <v>Xã Định Thành</v>
      </c>
    </row>
    <row r="4930" spans="1:7" x14ac:dyDescent="0.25">
      <c r="A4930" s="2">
        <v>4929</v>
      </c>
      <c r="B4930" s="3" t="s">
        <v>28</v>
      </c>
      <c r="C4930" s="4" t="str">
        <f t="shared" si="401"/>
        <v>Thanh Hóa</v>
      </c>
      <c r="D4930" s="3" t="s">
        <v>344</v>
      </c>
      <c r="E4930" s="4" t="str">
        <f t="shared" si="403"/>
        <v>Huyện Yên Định</v>
      </c>
      <c r="F4930" s="3" t="s">
        <v>5693</v>
      </c>
      <c r="G4930" s="4" t="str">
        <f>HYPERLINK("https://diaocthongthai.com/xa-dinh-cong-yen-dinh/","Xã Định Công")</f>
        <v>Xã Định Công</v>
      </c>
    </row>
    <row r="4931" spans="1:7" x14ac:dyDescent="0.25">
      <c r="A4931" s="2">
        <v>4930</v>
      </c>
      <c r="B4931" s="3" t="s">
        <v>28</v>
      </c>
      <c r="C4931" s="4" t="str">
        <f t="shared" si="401"/>
        <v>Thanh Hóa</v>
      </c>
      <c r="D4931" s="3" t="s">
        <v>344</v>
      </c>
      <c r="E4931" s="4" t="str">
        <f t="shared" si="403"/>
        <v>Huyện Yên Định</v>
      </c>
      <c r="F4931" s="3" t="s">
        <v>5694</v>
      </c>
      <c r="G4931" s="4" t="str">
        <f>HYPERLINK("https://diaocthongthai.com/xa-dinh-tan-yen-dinh/","Xã Định Tân")</f>
        <v>Xã Định Tân</v>
      </c>
    </row>
    <row r="4932" spans="1:7" x14ac:dyDescent="0.25">
      <c r="A4932" s="2">
        <v>4931</v>
      </c>
      <c r="B4932" s="3" t="s">
        <v>28</v>
      </c>
      <c r="C4932" s="4" t="str">
        <f t="shared" si="401"/>
        <v>Thanh Hóa</v>
      </c>
      <c r="D4932" s="3" t="s">
        <v>344</v>
      </c>
      <c r="E4932" s="4" t="str">
        <f t="shared" si="403"/>
        <v>Huyện Yên Định</v>
      </c>
      <c r="F4932" s="3" t="s">
        <v>5695</v>
      </c>
      <c r="G4932" s="4" t="str">
        <f>HYPERLINK("https://diaocthongthai.com/xa-dinh-tien-yen-dinh/","Xã Định Tiến")</f>
        <v>Xã Định Tiến</v>
      </c>
    </row>
    <row r="4933" spans="1:7" x14ac:dyDescent="0.25">
      <c r="A4933" s="2">
        <v>4932</v>
      </c>
      <c r="B4933" s="3" t="s">
        <v>28</v>
      </c>
      <c r="C4933" s="4" t="str">
        <f t="shared" si="401"/>
        <v>Thanh Hóa</v>
      </c>
      <c r="D4933" s="3" t="s">
        <v>344</v>
      </c>
      <c r="E4933" s="4" t="str">
        <f t="shared" si="403"/>
        <v>Huyện Yên Định</v>
      </c>
      <c r="F4933" s="3" t="s">
        <v>5696</v>
      </c>
      <c r="G4933" s="4" t="str">
        <f>HYPERLINK("https://diaocthongthai.com/xa-dinh-long-yen-dinh/","Xã Định Long")</f>
        <v>Xã Định Long</v>
      </c>
    </row>
    <row r="4934" spans="1:7" x14ac:dyDescent="0.25">
      <c r="A4934" s="2">
        <v>4933</v>
      </c>
      <c r="B4934" s="3" t="s">
        <v>28</v>
      </c>
      <c r="C4934" s="4" t="str">
        <f t="shared" si="401"/>
        <v>Thanh Hóa</v>
      </c>
      <c r="D4934" s="3" t="s">
        <v>344</v>
      </c>
      <c r="E4934" s="4" t="str">
        <f t="shared" si="403"/>
        <v>Huyện Yên Định</v>
      </c>
      <c r="F4934" s="3" t="s">
        <v>5697</v>
      </c>
      <c r="G4934" s="4" t="str">
        <f>HYPERLINK("https://diaocthongthai.com/xa-dinh-lien-yen-dinh/","Xã Định Liên")</f>
        <v>Xã Định Liên</v>
      </c>
    </row>
    <row r="4935" spans="1:7" x14ac:dyDescent="0.25">
      <c r="A4935" s="2">
        <v>4934</v>
      </c>
      <c r="B4935" s="3" t="s">
        <v>28</v>
      </c>
      <c r="C4935" s="4" t="str">
        <f t="shared" si="401"/>
        <v>Thanh Hóa</v>
      </c>
      <c r="D4935" s="3" t="s">
        <v>344</v>
      </c>
      <c r="E4935" s="4" t="str">
        <f t="shared" si="403"/>
        <v>Huyện Yên Định</v>
      </c>
      <c r="F4935" s="3" t="s">
        <v>5698</v>
      </c>
      <c r="G4935" s="4" t="str">
        <f>HYPERLINK("https://diaocthongthai.com/thi-tran-quan-lao-yen-dinh/","Thị trấn Quán Lào")</f>
        <v>Thị trấn Quán Lào</v>
      </c>
    </row>
    <row r="4936" spans="1:7" x14ac:dyDescent="0.25">
      <c r="A4936" s="2">
        <v>4935</v>
      </c>
      <c r="B4936" s="3" t="s">
        <v>28</v>
      </c>
      <c r="C4936" s="4" t="str">
        <f t="shared" si="401"/>
        <v>Thanh Hóa</v>
      </c>
      <c r="D4936" s="3" t="s">
        <v>344</v>
      </c>
      <c r="E4936" s="4" t="str">
        <f t="shared" si="403"/>
        <v>Huyện Yên Định</v>
      </c>
      <c r="F4936" s="3" t="s">
        <v>5699</v>
      </c>
      <c r="G4936" s="4" t="str">
        <f>HYPERLINK("https://diaocthongthai.com/xa-dinh-hung-yen-dinh/","Xã Định Hưng")</f>
        <v>Xã Định Hưng</v>
      </c>
    </row>
    <row r="4937" spans="1:7" x14ac:dyDescent="0.25">
      <c r="A4937" s="2">
        <v>4936</v>
      </c>
      <c r="B4937" s="3" t="s">
        <v>28</v>
      </c>
      <c r="C4937" s="4" t="str">
        <f t="shared" si="401"/>
        <v>Thanh Hóa</v>
      </c>
      <c r="D4937" s="3" t="s">
        <v>344</v>
      </c>
      <c r="E4937" s="4" t="str">
        <f t="shared" si="403"/>
        <v>Huyện Yên Định</v>
      </c>
      <c r="F4937" s="3" t="s">
        <v>5700</v>
      </c>
      <c r="G4937" s="4" t="str">
        <f>HYPERLINK("https://diaocthongthai.com/xa-dinh-hai-yen-dinh/","Xã Định Hải")</f>
        <v>Xã Định Hải</v>
      </c>
    </row>
    <row r="4938" spans="1:7" x14ac:dyDescent="0.25">
      <c r="A4938" s="2">
        <v>4937</v>
      </c>
      <c r="B4938" s="3" t="s">
        <v>28</v>
      </c>
      <c r="C4938" s="4" t="str">
        <f t="shared" si="401"/>
        <v>Thanh Hóa</v>
      </c>
      <c r="D4938" s="3" t="s">
        <v>344</v>
      </c>
      <c r="E4938" s="4" t="str">
        <f t="shared" si="403"/>
        <v>Huyện Yên Định</v>
      </c>
      <c r="F4938" s="3" t="s">
        <v>5701</v>
      </c>
      <c r="G4938" s="4" t="str">
        <f>HYPERLINK("https://diaocthongthai.com/xa-dinh-binh-yen-dinh/","Xã Định Bình")</f>
        <v>Xã Định Bình</v>
      </c>
    </row>
    <row r="4939" spans="1:7" x14ac:dyDescent="0.25">
      <c r="A4939" s="2">
        <v>4938</v>
      </c>
      <c r="B4939" s="3" t="s">
        <v>28</v>
      </c>
      <c r="C4939" s="4" t="str">
        <f t="shared" si="401"/>
        <v>Thanh Hóa</v>
      </c>
      <c r="D4939" s="3" t="s">
        <v>345</v>
      </c>
      <c r="E4939" s="4" t="str">
        <f t="shared" ref="E4939:E4968" si="404">HYPERLINK("https://diaocthongthai.com/ban-do-huyen-tho-xuan-thanh-hoa/","Huyện Thọ Xuân")</f>
        <v>Huyện Thọ Xuân</v>
      </c>
      <c r="F4939" s="3" t="s">
        <v>5702</v>
      </c>
      <c r="G4939" s="4" t="str">
        <f>HYPERLINK("https://diaocthongthai.com/xa-xuan-hong-tho-xuan/","Xã Xuân Hồng")</f>
        <v>Xã Xuân Hồng</v>
      </c>
    </row>
    <row r="4940" spans="1:7" x14ac:dyDescent="0.25">
      <c r="A4940" s="2">
        <v>4939</v>
      </c>
      <c r="B4940" s="3" t="s">
        <v>28</v>
      </c>
      <c r="C4940" s="4" t="str">
        <f t="shared" si="401"/>
        <v>Thanh Hóa</v>
      </c>
      <c r="D4940" s="3" t="s">
        <v>345</v>
      </c>
      <c r="E4940" s="4" t="str">
        <f t="shared" si="404"/>
        <v>Huyện Thọ Xuân</v>
      </c>
      <c r="F4940" s="3" t="s">
        <v>5703</v>
      </c>
      <c r="G4940" s="4" t="str">
        <f>HYPERLINK("https://diaocthongthai.com/thi-tran-tho-xuan-tho-xuan/","Thị trấn Thọ Xuân")</f>
        <v>Thị trấn Thọ Xuân</v>
      </c>
    </row>
    <row r="4941" spans="1:7" x14ac:dyDescent="0.25">
      <c r="A4941" s="2">
        <v>4940</v>
      </c>
      <c r="B4941" s="3" t="s">
        <v>28</v>
      </c>
      <c r="C4941" s="4" t="str">
        <f t="shared" si="401"/>
        <v>Thanh Hóa</v>
      </c>
      <c r="D4941" s="3" t="s">
        <v>345</v>
      </c>
      <c r="E4941" s="4" t="str">
        <f t="shared" si="404"/>
        <v>Huyện Thọ Xuân</v>
      </c>
      <c r="F4941" s="3" t="s">
        <v>5704</v>
      </c>
      <c r="G4941" s="4" t="str">
        <f>HYPERLINK("https://diaocthongthai.com/xa-bac-luong-tho-xuan/","Xã Bắc Lương")</f>
        <v>Xã Bắc Lương</v>
      </c>
    </row>
    <row r="4942" spans="1:7" x14ac:dyDescent="0.25">
      <c r="A4942" s="2">
        <v>4941</v>
      </c>
      <c r="B4942" s="3" t="s">
        <v>28</v>
      </c>
      <c r="C4942" s="4" t="str">
        <f t="shared" si="401"/>
        <v>Thanh Hóa</v>
      </c>
      <c r="D4942" s="3" t="s">
        <v>345</v>
      </c>
      <c r="E4942" s="4" t="str">
        <f t="shared" si="404"/>
        <v>Huyện Thọ Xuân</v>
      </c>
      <c r="F4942" s="3" t="s">
        <v>5705</v>
      </c>
      <c r="G4942" s="4" t="str">
        <f>HYPERLINK("https://diaocthongthai.com/xa-nam-giang-tho-xuan/","Xã Nam Giang")</f>
        <v>Xã Nam Giang</v>
      </c>
    </row>
    <row r="4943" spans="1:7" x14ac:dyDescent="0.25">
      <c r="A4943" s="2">
        <v>4942</v>
      </c>
      <c r="B4943" s="3" t="s">
        <v>28</v>
      </c>
      <c r="C4943" s="4" t="str">
        <f t="shared" si="401"/>
        <v>Thanh Hóa</v>
      </c>
      <c r="D4943" s="3" t="s">
        <v>345</v>
      </c>
      <c r="E4943" s="4" t="str">
        <f t="shared" si="404"/>
        <v>Huyện Thọ Xuân</v>
      </c>
      <c r="F4943" s="3" t="s">
        <v>5706</v>
      </c>
      <c r="G4943" s="4" t="str">
        <f>HYPERLINK("https://diaocthongthai.com/xa-xuan-phong-tho-xuan/","Xã Xuân Phong")</f>
        <v>Xã Xuân Phong</v>
      </c>
    </row>
    <row r="4944" spans="1:7" x14ac:dyDescent="0.25">
      <c r="A4944" s="2">
        <v>4943</v>
      </c>
      <c r="B4944" s="3" t="s">
        <v>28</v>
      </c>
      <c r="C4944" s="4" t="str">
        <f t="shared" si="401"/>
        <v>Thanh Hóa</v>
      </c>
      <c r="D4944" s="3" t="s">
        <v>345</v>
      </c>
      <c r="E4944" s="4" t="str">
        <f t="shared" si="404"/>
        <v>Huyện Thọ Xuân</v>
      </c>
      <c r="F4944" s="3" t="s">
        <v>5707</v>
      </c>
      <c r="G4944" s="4" t="str">
        <f>HYPERLINK("https://diaocthongthai.com/xa-tho-loc-tho-xuan/","Xã Thọ Lộc")</f>
        <v>Xã Thọ Lộc</v>
      </c>
    </row>
    <row r="4945" spans="1:7" x14ac:dyDescent="0.25">
      <c r="A4945" s="2">
        <v>4944</v>
      </c>
      <c r="B4945" s="3" t="s">
        <v>28</v>
      </c>
      <c r="C4945" s="4" t="str">
        <f t="shared" si="401"/>
        <v>Thanh Hóa</v>
      </c>
      <c r="D4945" s="3" t="s">
        <v>345</v>
      </c>
      <c r="E4945" s="4" t="str">
        <f t="shared" si="404"/>
        <v>Huyện Thọ Xuân</v>
      </c>
      <c r="F4945" s="3" t="s">
        <v>5708</v>
      </c>
      <c r="G4945" s="4" t="str">
        <f>HYPERLINK("https://diaocthongthai.com/xa-xuan-truong-tho-xuan/","Xã Xuân Trường")</f>
        <v>Xã Xuân Trường</v>
      </c>
    </row>
    <row r="4946" spans="1:7" x14ac:dyDescent="0.25">
      <c r="A4946" s="2">
        <v>4945</v>
      </c>
      <c r="B4946" s="3" t="s">
        <v>28</v>
      </c>
      <c r="C4946" s="4" t="str">
        <f t="shared" si="401"/>
        <v>Thanh Hóa</v>
      </c>
      <c r="D4946" s="3" t="s">
        <v>345</v>
      </c>
      <c r="E4946" s="4" t="str">
        <f t="shared" si="404"/>
        <v>Huyện Thọ Xuân</v>
      </c>
      <c r="F4946" s="3" t="s">
        <v>5709</v>
      </c>
      <c r="G4946" s="4" t="str">
        <f>HYPERLINK("https://diaocthongthai.com/xa-xuan-hoa-tho-xuan/","Xã Xuân Hòa")</f>
        <v>Xã Xuân Hòa</v>
      </c>
    </row>
    <row r="4947" spans="1:7" x14ac:dyDescent="0.25">
      <c r="A4947" s="2">
        <v>4946</v>
      </c>
      <c r="B4947" s="3" t="s">
        <v>28</v>
      </c>
      <c r="C4947" s="4" t="str">
        <f t="shared" si="401"/>
        <v>Thanh Hóa</v>
      </c>
      <c r="D4947" s="3" t="s">
        <v>345</v>
      </c>
      <c r="E4947" s="4" t="str">
        <f t="shared" si="404"/>
        <v>Huyện Thọ Xuân</v>
      </c>
      <c r="F4947" s="3" t="s">
        <v>5710</v>
      </c>
      <c r="G4947" s="4" t="str">
        <f>HYPERLINK("https://diaocthongthai.com/xa-tho-hai-tho-xuan/","Xã Thọ Hải")</f>
        <v>Xã Thọ Hải</v>
      </c>
    </row>
    <row r="4948" spans="1:7" x14ac:dyDescent="0.25">
      <c r="A4948" s="2">
        <v>4947</v>
      </c>
      <c r="B4948" s="3" t="s">
        <v>28</v>
      </c>
      <c r="C4948" s="4" t="str">
        <f t="shared" si="401"/>
        <v>Thanh Hóa</v>
      </c>
      <c r="D4948" s="3" t="s">
        <v>345</v>
      </c>
      <c r="E4948" s="4" t="str">
        <f t="shared" si="404"/>
        <v>Huyện Thọ Xuân</v>
      </c>
      <c r="F4948" s="3" t="s">
        <v>5711</v>
      </c>
      <c r="G4948" s="4" t="str">
        <f>HYPERLINK("https://diaocthongthai.com/xa-tay-ho-tho-xuan/","Xã Tây Hồ")</f>
        <v>Xã Tây Hồ</v>
      </c>
    </row>
    <row r="4949" spans="1:7" x14ac:dyDescent="0.25">
      <c r="A4949" s="2">
        <v>4948</v>
      </c>
      <c r="B4949" s="3" t="s">
        <v>28</v>
      </c>
      <c r="C4949" s="4" t="str">
        <f t="shared" si="401"/>
        <v>Thanh Hóa</v>
      </c>
      <c r="D4949" s="3" t="s">
        <v>345</v>
      </c>
      <c r="E4949" s="4" t="str">
        <f t="shared" si="404"/>
        <v>Huyện Thọ Xuân</v>
      </c>
      <c r="F4949" s="3" t="s">
        <v>5712</v>
      </c>
      <c r="G4949" s="4" t="str">
        <f>HYPERLINK("https://diaocthongthai.com/xa-xuan-giang-tho-xuan/","Xã Xuân Giang")</f>
        <v>Xã Xuân Giang</v>
      </c>
    </row>
    <row r="4950" spans="1:7" x14ac:dyDescent="0.25">
      <c r="A4950" s="2">
        <v>4949</v>
      </c>
      <c r="B4950" s="3" t="s">
        <v>28</v>
      </c>
      <c r="C4950" s="4" t="str">
        <f t="shared" si="401"/>
        <v>Thanh Hóa</v>
      </c>
      <c r="D4950" s="3" t="s">
        <v>345</v>
      </c>
      <c r="E4950" s="4" t="str">
        <f t="shared" si="404"/>
        <v>Huyện Thọ Xuân</v>
      </c>
      <c r="F4950" s="3" t="s">
        <v>5713</v>
      </c>
      <c r="G4950" s="4" t="str">
        <f>HYPERLINK("https://diaocthongthai.com/xa-xuan-sinh-tho-xuan/","Xã Xuân Sinh")</f>
        <v>Xã Xuân Sinh</v>
      </c>
    </row>
    <row r="4951" spans="1:7" x14ac:dyDescent="0.25">
      <c r="A4951" s="2">
        <v>4950</v>
      </c>
      <c r="B4951" s="3" t="s">
        <v>28</v>
      </c>
      <c r="C4951" s="4" t="str">
        <f t="shared" si="401"/>
        <v>Thanh Hóa</v>
      </c>
      <c r="D4951" s="3" t="s">
        <v>345</v>
      </c>
      <c r="E4951" s="4" t="str">
        <f t="shared" si="404"/>
        <v>Huyện Thọ Xuân</v>
      </c>
      <c r="F4951" s="3" t="s">
        <v>5714</v>
      </c>
      <c r="G4951" s="4" t="str">
        <f>HYPERLINK("https://diaocthongthai.com/xa-xuan-hung-tho-xuan/","Xã Xuân Hưng")</f>
        <v>Xã Xuân Hưng</v>
      </c>
    </row>
    <row r="4952" spans="1:7" x14ac:dyDescent="0.25">
      <c r="A4952" s="2">
        <v>4951</v>
      </c>
      <c r="B4952" s="3" t="s">
        <v>28</v>
      </c>
      <c r="C4952" s="4" t="str">
        <f t="shared" si="401"/>
        <v>Thanh Hóa</v>
      </c>
      <c r="D4952" s="3" t="s">
        <v>345</v>
      </c>
      <c r="E4952" s="4" t="str">
        <f t="shared" si="404"/>
        <v>Huyện Thọ Xuân</v>
      </c>
      <c r="F4952" s="3" t="s">
        <v>5715</v>
      </c>
      <c r="G4952" s="4" t="str">
        <f>HYPERLINK("https://diaocthongthai.com/xa-tho-dien-tho-xuan/","Xã Thọ Diên")</f>
        <v>Xã Thọ Diên</v>
      </c>
    </row>
    <row r="4953" spans="1:7" x14ac:dyDescent="0.25">
      <c r="A4953" s="2">
        <v>4952</v>
      </c>
      <c r="B4953" s="3" t="s">
        <v>28</v>
      </c>
      <c r="C4953" s="4" t="str">
        <f t="shared" si="401"/>
        <v>Thanh Hóa</v>
      </c>
      <c r="D4953" s="3" t="s">
        <v>345</v>
      </c>
      <c r="E4953" s="4" t="str">
        <f t="shared" si="404"/>
        <v>Huyện Thọ Xuân</v>
      </c>
      <c r="F4953" s="3" t="s">
        <v>5716</v>
      </c>
      <c r="G4953" s="4" t="str">
        <f>HYPERLINK("https://diaocthongthai.com/xa-tho-lam-tho-xuan/","Xã Thọ Lâm")</f>
        <v>Xã Thọ Lâm</v>
      </c>
    </row>
    <row r="4954" spans="1:7" x14ac:dyDescent="0.25">
      <c r="A4954" s="2">
        <v>4953</v>
      </c>
      <c r="B4954" s="3" t="s">
        <v>28</v>
      </c>
      <c r="C4954" s="4" t="str">
        <f t="shared" si="401"/>
        <v>Thanh Hóa</v>
      </c>
      <c r="D4954" s="3" t="s">
        <v>345</v>
      </c>
      <c r="E4954" s="4" t="str">
        <f t="shared" si="404"/>
        <v>Huyện Thọ Xuân</v>
      </c>
      <c r="F4954" s="3" t="s">
        <v>5717</v>
      </c>
      <c r="G4954" s="4" t="str">
        <f>HYPERLINK("https://diaocthongthai.com/xa-tho-xuong-tho-xuan/","Xã Thọ Xương")</f>
        <v>Xã Thọ Xương</v>
      </c>
    </row>
    <row r="4955" spans="1:7" x14ac:dyDescent="0.25">
      <c r="A4955" s="2">
        <v>4954</v>
      </c>
      <c r="B4955" s="3" t="s">
        <v>28</v>
      </c>
      <c r="C4955" s="4" t="str">
        <f t="shared" ref="C4955:C5018" si="405">HYPERLINK("https://diaocthongthai.com/ban-do-thanh-hoa/","Thanh Hóa")</f>
        <v>Thanh Hóa</v>
      </c>
      <c r="D4955" s="3" t="s">
        <v>345</v>
      </c>
      <c r="E4955" s="4" t="str">
        <f t="shared" si="404"/>
        <v>Huyện Thọ Xuân</v>
      </c>
      <c r="F4955" s="3" t="s">
        <v>5718</v>
      </c>
      <c r="G4955" s="4" t="str">
        <f>HYPERLINK("https://diaocthongthai.com/xa-xuan-bai-tho-xuan/","Xã Xuân Bái")</f>
        <v>Xã Xuân Bái</v>
      </c>
    </row>
    <row r="4956" spans="1:7" x14ac:dyDescent="0.25">
      <c r="A4956" s="2">
        <v>4955</v>
      </c>
      <c r="B4956" s="3" t="s">
        <v>28</v>
      </c>
      <c r="C4956" s="4" t="str">
        <f t="shared" si="405"/>
        <v>Thanh Hóa</v>
      </c>
      <c r="D4956" s="3" t="s">
        <v>345</v>
      </c>
      <c r="E4956" s="4" t="str">
        <f t="shared" si="404"/>
        <v>Huyện Thọ Xuân</v>
      </c>
      <c r="F4956" s="3" t="s">
        <v>5719</v>
      </c>
      <c r="G4956" s="4" t="str">
        <f>HYPERLINK("https://diaocthongthai.com/xa-xuan-phu-tho-xuan/","Xã Xuân Phú")</f>
        <v>Xã Xuân Phú</v>
      </c>
    </row>
    <row r="4957" spans="1:7" x14ac:dyDescent="0.25">
      <c r="A4957" s="2">
        <v>4956</v>
      </c>
      <c r="B4957" s="3" t="s">
        <v>28</v>
      </c>
      <c r="C4957" s="4" t="str">
        <f t="shared" si="405"/>
        <v>Thanh Hóa</v>
      </c>
      <c r="D4957" s="3" t="s">
        <v>345</v>
      </c>
      <c r="E4957" s="4" t="str">
        <f t="shared" si="404"/>
        <v>Huyện Thọ Xuân</v>
      </c>
      <c r="F4957" s="3" t="s">
        <v>5720</v>
      </c>
      <c r="G4957" s="4" t="str">
        <f>HYPERLINK("https://diaocthongthai.com/thi-tran-sao-vang-tho-xuan/","Thị trấn Sao Vàng")</f>
        <v>Thị trấn Sao Vàng</v>
      </c>
    </row>
    <row r="4958" spans="1:7" x14ac:dyDescent="0.25">
      <c r="A4958" s="2">
        <v>4957</v>
      </c>
      <c r="B4958" s="3" t="s">
        <v>28</v>
      </c>
      <c r="C4958" s="4" t="str">
        <f t="shared" si="405"/>
        <v>Thanh Hóa</v>
      </c>
      <c r="D4958" s="3" t="s">
        <v>345</v>
      </c>
      <c r="E4958" s="4" t="str">
        <f t="shared" si="404"/>
        <v>Huyện Thọ Xuân</v>
      </c>
      <c r="F4958" s="3" t="s">
        <v>5721</v>
      </c>
      <c r="G4958" s="4" t="str">
        <f>HYPERLINK("https://diaocthongthai.com/thi-tran-lam-son-tho-xuan/","Thị trấn Lam Sơn")</f>
        <v>Thị trấn Lam Sơn</v>
      </c>
    </row>
    <row r="4959" spans="1:7" x14ac:dyDescent="0.25">
      <c r="A4959" s="2">
        <v>4958</v>
      </c>
      <c r="B4959" s="3" t="s">
        <v>28</v>
      </c>
      <c r="C4959" s="4" t="str">
        <f t="shared" si="405"/>
        <v>Thanh Hóa</v>
      </c>
      <c r="D4959" s="3" t="s">
        <v>345</v>
      </c>
      <c r="E4959" s="4" t="str">
        <f t="shared" si="404"/>
        <v>Huyện Thọ Xuân</v>
      </c>
      <c r="F4959" s="3" t="s">
        <v>5722</v>
      </c>
      <c r="G4959" s="4" t="str">
        <f>HYPERLINK("https://diaocthongthai.com/xa-xuan-thien-tho-xuan/","Xã Xuân Thiên")</f>
        <v>Xã Xuân Thiên</v>
      </c>
    </row>
    <row r="4960" spans="1:7" x14ac:dyDescent="0.25">
      <c r="A4960" s="2">
        <v>4959</v>
      </c>
      <c r="B4960" s="3" t="s">
        <v>28</v>
      </c>
      <c r="C4960" s="4" t="str">
        <f t="shared" si="405"/>
        <v>Thanh Hóa</v>
      </c>
      <c r="D4960" s="3" t="s">
        <v>345</v>
      </c>
      <c r="E4960" s="4" t="str">
        <f t="shared" si="404"/>
        <v>Huyện Thọ Xuân</v>
      </c>
      <c r="F4960" s="3" t="s">
        <v>5723</v>
      </c>
      <c r="G4960" s="4" t="str">
        <f>HYPERLINK("https://diaocthongthai.com/xa-thuan-minh-tho-xuan/","Xã Thuận Minh")</f>
        <v>Xã Thuận Minh</v>
      </c>
    </row>
    <row r="4961" spans="1:7" x14ac:dyDescent="0.25">
      <c r="A4961" s="2">
        <v>4960</v>
      </c>
      <c r="B4961" s="3" t="s">
        <v>28</v>
      </c>
      <c r="C4961" s="4" t="str">
        <f t="shared" si="405"/>
        <v>Thanh Hóa</v>
      </c>
      <c r="D4961" s="3" t="s">
        <v>345</v>
      </c>
      <c r="E4961" s="4" t="str">
        <f t="shared" si="404"/>
        <v>Huyện Thọ Xuân</v>
      </c>
      <c r="F4961" s="3" t="s">
        <v>5724</v>
      </c>
      <c r="G4961" s="4" t="str">
        <f>HYPERLINK("https://diaocthongthai.com/xa-tho-lap-tho-xuan/","Xã Thọ Lập")</f>
        <v>Xã Thọ Lập</v>
      </c>
    </row>
    <row r="4962" spans="1:7" x14ac:dyDescent="0.25">
      <c r="A4962" s="2">
        <v>4961</v>
      </c>
      <c r="B4962" s="3" t="s">
        <v>28</v>
      </c>
      <c r="C4962" s="4" t="str">
        <f t="shared" si="405"/>
        <v>Thanh Hóa</v>
      </c>
      <c r="D4962" s="3" t="s">
        <v>345</v>
      </c>
      <c r="E4962" s="4" t="str">
        <f t="shared" si="404"/>
        <v>Huyện Thọ Xuân</v>
      </c>
      <c r="F4962" s="3" t="s">
        <v>5725</v>
      </c>
      <c r="G4962" s="4" t="str">
        <f>HYPERLINK("https://diaocthongthai.com/xa-quang-phu-tho-xuan/","Xã Quảng Phú")</f>
        <v>Xã Quảng Phú</v>
      </c>
    </row>
    <row r="4963" spans="1:7" x14ac:dyDescent="0.25">
      <c r="A4963" s="2">
        <v>4962</v>
      </c>
      <c r="B4963" s="3" t="s">
        <v>28</v>
      </c>
      <c r="C4963" s="4" t="str">
        <f t="shared" si="405"/>
        <v>Thanh Hóa</v>
      </c>
      <c r="D4963" s="3" t="s">
        <v>345</v>
      </c>
      <c r="E4963" s="4" t="str">
        <f t="shared" si="404"/>
        <v>Huyện Thọ Xuân</v>
      </c>
      <c r="F4963" s="3" t="s">
        <v>5726</v>
      </c>
      <c r="G4963" s="4" t="str">
        <f>HYPERLINK("https://diaocthongthai.com/xa-xuan-tin-tho-xuan/","Xã Xuân Tín")</f>
        <v>Xã Xuân Tín</v>
      </c>
    </row>
    <row r="4964" spans="1:7" x14ac:dyDescent="0.25">
      <c r="A4964" s="2">
        <v>4963</v>
      </c>
      <c r="B4964" s="3" t="s">
        <v>28</v>
      </c>
      <c r="C4964" s="4" t="str">
        <f t="shared" si="405"/>
        <v>Thanh Hóa</v>
      </c>
      <c r="D4964" s="3" t="s">
        <v>345</v>
      </c>
      <c r="E4964" s="4" t="str">
        <f t="shared" si="404"/>
        <v>Huyện Thọ Xuân</v>
      </c>
      <c r="F4964" s="3" t="s">
        <v>5727</v>
      </c>
      <c r="G4964" s="4" t="str">
        <f>HYPERLINK("https://diaocthongthai.com/xa-phu-xuan-tho-xuan/","Xã Phú Xuân")</f>
        <v>Xã Phú Xuân</v>
      </c>
    </row>
    <row r="4965" spans="1:7" x14ac:dyDescent="0.25">
      <c r="A4965" s="2">
        <v>4964</v>
      </c>
      <c r="B4965" s="3" t="s">
        <v>28</v>
      </c>
      <c r="C4965" s="4" t="str">
        <f t="shared" si="405"/>
        <v>Thanh Hóa</v>
      </c>
      <c r="D4965" s="3" t="s">
        <v>345</v>
      </c>
      <c r="E4965" s="4" t="str">
        <f t="shared" si="404"/>
        <v>Huyện Thọ Xuân</v>
      </c>
      <c r="F4965" s="3" t="s">
        <v>5728</v>
      </c>
      <c r="G4965" s="4" t="str">
        <f>HYPERLINK("https://diaocthongthai.com/xa-xuan-lai-tho-xuan/","Xã Xuân Lai")</f>
        <v>Xã Xuân Lai</v>
      </c>
    </row>
    <row r="4966" spans="1:7" x14ac:dyDescent="0.25">
      <c r="A4966" s="2">
        <v>4965</v>
      </c>
      <c r="B4966" s="3" t="s">
        <v>28</v>
      </c>
      <c r="C4966" s="4" t="str">
        <f t="shared" si="405"/>
        <v>Thanh Hóa</v>
      </c>
      <c r="D4966" s="3" t="s">
        <v>345</v>
      </c>
      <c r="E4966" s="4" t="str">
        <f t="shared" si="404"/>
        <v>Huyện Thọ Xuân</v>
      </c>
      <c r="F4966" s="3" t="s">
        <v>5729</v>
      </c>
      <c r="G4966" s="4" t="str">
        <f>HYPERLINK("https://diaocthongthai.com/xa-xuan-lap-tho-xuan/","Xã Xuân Lập")</f>
        <v>Xã Xuân Lập</v>
      </c>
    </row>
    <row r="4967" spans="1:7" x14ac:dyDescent="0.25">
      <c r="A4967" s="2">
        <v>4966</v>
      </c>
      <c r="B4967" s="3" t="s">
        <v>28</v>
      </c>
      <c r="C4967" s="4" t="str">
        <f t="shared" si="405"/>
        <v>Thanh Hóa</v>
      </c>
      <c r="D4967" s="3" t="s">
        <v>345</v>
      </c>
      <c r="E4967" s="4" t="str">
        <f t="shared" si="404"/>
        <v>Huyện Thọ Xuân</v>
      </c>
      <c r="F4967" s="3" t="s">
        <v>5730</v>
      </c>
      <c r="G4967" s="4" t="str">
        <f>HYPERLINK("https://diaocthongthai.com/xa-xuan-minh-tho-xuan/","Xã Xuân Minh")</f>
        <v>Xã Xuân Minh</v>
      </c>
    </row>
    <row r="4968" spans="1:7" x14ac:dyDescent="0.25">
      <c r="A4968" s="2">
        <v>4967</v>
      </c>
      <c r="B4968" s="3" t="s">
        <v>28</v>
      </c>
      <c r="C4968" s="4" t="str">
        <f t="shared" si="405"/>
        <v>Thanh Hóa</v>
      </c>
      <c r="D4968" s="3" t="s">
        <v>345</v>
      </c>
      <c r="E4968" s="4" t="str">
        <f t="shared" si="404"/>
        <v>Huyện Thọ Xuân</v>
      </c>
      <c r="F4968" s="3" t="s">
        <v>5731</v>
      </c>
      <c r="G4968" s="4" t="str">
        <f>HYPERLINK("https://diaocthongthai.com/xa-truong-xuan-tho-xuan/","Xã Trường Xuân")</f>
        <v>Xã Trường Xuân</v>
      </c>
    </row>
    <row r="4969" spans="1:7" x14ac:dyDescent="0.25">
      <c r="A4969" s="2">
        <v>4968</v>
      </c>
      <c r="B4969" s="3" t="s">
        <v>28</v>
      </c>
      <c r="C4969" s="4" t="str">
        <f t="shared" si="405"/>
        <v>Thanh Hóa</v>
      </c>
      <c r="D4969" s="3" t="s">
        <v>346</v>
      </c>
      <c r="E4969" s="4" t="str">
        <f t="shared" ref="E4969:E4984" si="406">HYPERLINK("https://diaocthongthai.com/ban-do-huyen-thuong-xuan-thanh-hoa/","Huyện Thường Xuân")</f>
        <v>Huyện Thường Xuân</v>
      </c>
      <c r="F4969" s="3" t="s">
        <v>5732</v>
      </c>
      <c r="G4969" s="4" t="str">
        <f>HYPERLINK("https://diaocthongthai.com/xa-bat-mot-thuong-xuan/","Xã Bát Mọt")</f>
        <v>Xã Bát Mọt</v>
      </c>
    </row>
    <row r="4970" spans="1:7" x14ac:dyDescent="0.25">
      <c r="A4970" s="2">
        <v>4969</v>
      </c>
      <c r="B4970" s="3" t="s">
        <v>28</v>
      </c>
      <c r="C4970" s="4" t="str">
        <f t="shared" si="405"/>
        <v>Thanh Hóa</v>
      </c>
      <c r="D4970" s="3" t="s">
        <v>346</v>
      </c>
      <c r="E4970" s="4" t="str">
        <f t="shared" si="406"/>
        <v>Huyện Thường Xuân</v>
      </c>
      <c r="F4970" s="3" t="s">
        <v>5733</v>
      </c>
      <c r="G4970" s="4" t="str">
        <f>HYPERLINK("https://diaocthongthai.com/xa-yen-nhan-thuong-xuan/","Xã Yên Nhân")</f>
        <v>Xã Yên Nhân</v>
      </c>
    </row>
    <row r="4971" spans="1:7" x14ac:dyDescent="0.25">
      <c r="A4971" s="2">
        <v>4970</v>
      </c>
      <c r="B4971" s="3" t="s">
        <v>28</v>
      </c>
      <c r="C4971" s="4" t="str">
        <f t="shared" si="405"/>
        <v>Thanh Hóa</v>
      </c>
      <c r="D4971" s="3" t="s">
        <v>346</v>
      </c>
      <c r="E4971" s="4" t="str">
        <f t="shared" si="406"/>
        <v>Huyện Thường Xuân</v>
      </c>
      <c r="F4971" s="3" t="s">
        <v>5734</v>
      </c>
      <c r="G4971" s="4" t="str">
        <f>HYPERLINK("https://diaocthongthai.com/xa-xuan-le-thuong-xuan/","Xã Xuân Lẹ")</f>
        <v>Xã Xuân Lẹ</v>
      </c>
    </row>
    <row r="4972" spans="1:7" x14ac:dyDescent="0.25">
      <c r="A4972" s="2">
        <v>4971</v>
      </c>
      <c r="B4972" s="3" t="s">
        <v>28</v>
      </c>
      <c r="C4972" s="4" t="str">
        <f t="shared" si="405"/>
        <v>Thanh Hóa</v>
      </c>
      <c r="D4972" s="3" t="s">
        <v>346</v>
      </c>
      <c r="E4972" s="4" t="str">
        <f t="shared" si="406"/>
        <v>Huyện Thường Xuân</v>
      </c>
      <c r="F4972" s="3" t="s">
        <v>5735</v>
      </c>
      <c r="G4972" s="4" t="str">
        <f>HYPERLINK("https://diaocthongthai.com/xa-van-xuan-thuong-xuan/","Xã Vạn Xuân")</f>
        <v>Xã Vạn Xuân</v>
      </c>
    </row>
    <row r="4973" spans="1:7" x14ac:dyDescent="0.25">
      <c r="A4973" s="2">
        <v>4972</v>
      </c>
      <c r="B4973" s="3" t="s">
        <v>28</v>
      </c>
      <c r="C4973" s="4" t="str">
        <f t="shared" si="405"/>
        <v>Thanh Hóa</v>
      </c>
      <c r="D4973" s="3" t="s">
        <v>346</v>
      </c>
      <c r="E4973" s="4" t="str">
        <f t="shared" si="406"/>
        <v>Huyện Thường Xuân</v>
      </c>
      <c r="F4973" s="3" t="s">
        <v>5736</v>
      </c>
      <c r="G4973" s="4" t="str">
        <f>HYPERLINK("https://diaocthongthai.com/xa-luong-son-thuong-xuan/","Xã Lương Sơn")</f>
        <v>Xã Lương Sơn</v>
      </c>
    </row>
    <row r="4974" spans="1:7" x14ac:dyDescent="0.25">
      <c r="A4974" s="2">
        <v>4973</v>
      </c>
      <c r="B4974" s="3" t="s">
        <v>28</v>
      </c>
      <c r="C4974" s="4" t="str">
        <f t="shared" si="405"/>
        <v>Thanh Hóa</v>
      </c>
      <c r="D4974" s="3" t="s">
        <v>346</v>
      </c>
      <c r="E4974" s="4" t="str">
        <f t="shared" si="406"/>
        <v>Huyện Thường Xuân</v>
      </c>
      <c r="F4974" s="3" t="s">
        <v>5737</v>
      </c>
      <c r="G4974" s="4" t="str">
        <f>HYPERLINK("https://diaocthongthai.com/xa-xuan-cao-thuong-xuan/","Xã Xuân Cao")</f>
        <v>Xã Xuân Cao</v>
      </c>
    </row>
    <row r="4975" spans="1:7" x14ac:dyDescent="0.25">
      <c r="A4975" s="2">
        <v>4974</v>
      </c>
      <c r="B4975" s="3" t="s">
        <v>28</v>
      </c>
      <c r="C4975" s="4" t="str">
        <f t="shared" si="405"/>
        <v>Thanh Hóa</v>
      </c>
      <c r="D4975" s="3" t="s">
        <v>346</v>
      </c>
      <c r="E4975" s="4" t="str">
        <f t="shared" si="406"/>
        <v>Huyện Thường Xuân</v>
      </c>
      <c r="F4975" s="3" t="s">
        <v>5738</v>
      </c>
      <c r="G4975" s="4" t="str">
        <f>HYPERLINK("https://diaocthongthai.com/xa-luan-thanh-thuong-xuan/","Xã Luận Thành")</f>
        <v>Xã Luận Thành</v>
      </c>
    </row>
    <row r="4976" spans="1:7" x14ac:dyDescent="0.25">
      <c r="A4976" s="2">
        <v>4975</v>
      </c>
      <c r="B4976" s="3" t="s">
        <v>28</v>
      </c>
      <c r="C4976" s="4" t="str">
        <f t="shared" si="405"/>
        <v>Thanh Hóa</v>
      </c>
      <c r="D4976" s="3" t="s">
        <v>346</v>
      </c>
      <c r="E4976" s="4" t="str">
        <f t="shared" si="406"/>
        <v>Huyện Thường Xuân</v>
      </c>
      <c r="F4976" s="3" t="s">
        <v>5739</v>
      </c>
      <c r="G4976" s="4" t="str">
        <f>HYPERLINK("https://diaocthongthai.com/xa-luan-khe-thuong-xuan/","Xã Luận Khê")</f>
        <v>Xã Luận Khê</v>
      </c>
    </row>
    <row r="4977" spans="1:7" x14ac:dyDescent="0.25">
      <c r="A4977" s="2">
        <v>4976</v>
      </c>
      <c r="B4977" s="3" t="s">
        <v>28</v>
      </c>
      <c r="C4977" s="4" t="str">
        <f t="shared" si="405"/>
        <v>Thanh Hóa</v>
      </c>
      <c r="D4977" s="3" t="s">
        <v>346</v>
      </c>
      <c r="E4977" s="4" t="str">
        <f t="shared" si="406"/>
        <v>Huyện Thường Xuân</v>
      </c>
      <c r="F4977" s="3" t="s">
        <v>5740</v>
      </c>
      <c r="G4977" s="4" t="str">
        <f>HYPERLINK("https://diaocthongthai.com/xa-xuan-thang-thuong-xuan/","Xã Xuân Thắng")</f>
        <v>Xã Xuân Thắng</v>
      </c>
    </row>
    <row r="4978" spans="1:7" x14ac:dyDescent="0.25">
      <c r="A4978" s="2">
        <v>4977</v>
      </c>
      <c r="B4978" s="3" t="s">
        <v>28</v>
      </c>
      <c r="C4978" s="4" t="str">
        <f t="shared" si="405"/>
        <v>Thanh Hóa</v>
      </c>
      <c r="D4978" s="3" t="s">
        <v>346</v>
      </c>
      <c r="E4978" s="4" t="str">
        <f t="shared" si="406"/>
        <v>Huyện Thường Xuân</v>
      </c>
      <c r="F4978" s="3" t="s">
        <v>5741</v>
      </c>
      <c r="G4978" s="4" t="str">
        <f>HYPERLINK("https://diaocthongthai.com/xa-xuan-loc-thuong-xuan/","Xã Xuân Lộc")</f>
        <v>Xã Xuân Lộc</v>
      </c>
    </row>
    <row r="4979" spans="1:7" x14ac:dyDescent="0.25">
      <c r="A4979" s="2">
        <v>4978</v>
      </c>
      <c r="B4979" s="3" t="s">
        <v>28</v>
      </c>
      <c r="C4979" s="4" t="str">
        <f t="shared" si="405"/>
        <v>Thanh Hóa</v>
      </c>
      <c r="D4979" s="3" t="s">
        <v>346</v>
      </c>
      <c r="E4979" s="4" t="str">
        <f t="shared" si="406"/>
        <v>Huyện Thường Xuân</v>
      </c>
      <c r="F4979" s="3" t="s">
        <v>5742</v>
      </c>
      <c r="G4979" s="4" t="str">
        <f>HYPERLINK("https://diaocthongthai.com/thi-tran-thuong-xuan-thuong-xuan/","Thị trấn Thường Xuân")</f>
        <v>Thị trấn Thường Xuân</v>
      </c>
    </row>
    <row r="4980" spans="1:7" x14ac:dyDescent="0.25">
      <c r="A4980" s="2">
        <v>4979</v>
      </c>
      <c r="B4980" s="3" t="s">
        <v>28</v>
      </c>
      <c r="C4980" s="4" t="str">
        <f t="shared" si="405"/>
        <v>Thanh Hóa</v>
      </c>
      <c r="D4980" s="3" t="s">
        <v>346</v>
      </c>
      <c r="E4980" s="4" t="str">
        <f t="shared" si="406"/>
        <v>Huyện Thường Xuân</v>
      </c>
      <c r="F4980" s="3" t="s">
        <v>5743</v>
      </c>
      <c r="G4980" s="4" t="str">
        <f>HYPERLINK("https://diaocthongthai.com/xa-xuan-duong-thuong-xuan/","Xã Xuân Dương")</f>
        <v>Xã Xuân Dương</v>
      </c>
    </row>
    <row r="4981" spans="1:7" x14ac:dyDescent="0.25">
      <c r="A4981" s="2">
        <v>4980</v>
      </c>
      <c r="B4981" s="3" t="s">
        <v>28</v>
      </c>
      <c r="C4981" s="4" t="str">
        <f t="shared" si="405"/>
        <v>Thanh Hóa</v>
      </c>
      <c r="D4981" s="3" t="s">
        <v>346</v>
      </c>
      <c r="E4981" s="4" t="str">
        <f t="shared" si="406"/>
        <v>Huyện Thường Xuân</v>
      </c>
      <c r="F4981" s="3" t="s">
        <v>5744</v>
      </c>
      <c r="G4981" s="4" t="str">
        <f>HYPERLINK("https://diaocthongthai.com/xa-tho-thanh-thuong-xuan/","Xã Thọ Thanh")</f>
        <v>Xã Thọ Thanh</v>
      </c>
    </row>
    <row r="4982" spans="1:7" x14ac:dyDescent="0.25">
      <c r="A4982" s="2">
        <v>4981</v>
      </c>
      <c r="B4982" s="3" t="s">
        <v>28</v>
      </c>
      <c r="C4982" s="4" t="str">
        <f t="shared" si="405"/>
        <v>Thanh Hóa</v>
      </c>
      <c r="D4982" s="3" t="s">
        <v>346</v>
      </c>
      <c r="E4982" s="4" t="str">
        <f t="shared" si="406"/>
        <v>Huyện Thường Xuân</v>
      </c>
      <c r="F4982" s="3" t="s">
        <v>5745</v>
      </c>
      <c r="G4982" s="4" t="str">
        <f>HYPERLINK("https://diaocthongthai.com/xa-ngoc-phung-thuong-xuan/","Xã Ngọc Phụng")</f>
        <v>Xã Ngọc Phụng</v>
      </c>
    </row>
    <row r="4983" spans="1:7" x14ac:dyDescent="0.25">
      <c r="A4983" s="2">
        <v>4982</v>
      </c>
      <c r="B4983" s="3" t="s">
        <v>28</v>
      </c>
      <c r="C4983" s="4" t="str">
        <f t="shared" si="405"/>
        <v>Thanh Hóa</v>
      </c>
      <c r="D4983" s="3" t="s">
        <v>346</v>
      </c>
      <c r="E4983" s="4" t="str">
        <f t="shared" si="406"/>
        <v>Huyện Thường Xuân</v>
      </c>
      <c r="F4983" s="3" t="s">
        <v>5746</v>
      </c>
      <c r="G4983" s="4" t="str">
        <f>HYPERLINK("https://diaocthongthai.com/xa-xuan-chinh-thuong-xuan/","Xã Xuân Chinh")</f>
        <v>Xã Xuân Chinh</v>
      </c>
    </row>
    <row r="4984" spans="1:7" x14ac:dyDescent="0.25">
      <c r="A4984" s="2">
        <v>4983</v>
      </c>
      <c r="B4984" s="3" t="s">
        <v>28</v>
      </c>
      <c r="C4984" s="4" t="str">
        <f t="shared" si="405"/>
        <v>Thanh Hóa</v>
      </c>
      <c r="D4984" s="3" t="s">
        <v>346</v>
      </c>
      <c r="E4984" s="4" t="str">
        <f t="shared" si="406"/>
        <v>Huyện Thường Xuân</v>
      </c>
      <c r="F4984" s="3" t="s">
        <v>5747</v>
      </c>
      <c r="G4984" s="4" t="str">
        <f>HYPERLINK("https://diaocthongthai.com/xa-tan-thanh-thuong-xuan/","Xã Tân Thành")</f>
        <v>Xã Tân Thành</v>
      </c>
    </row>
    <row r="4985" spans="1:7" x14ac:dyDescent="0.25">
      <c r="A4985" s="2">
        <v>4984</v>
      </c>
      <c r="B4985" s="3" t="s">
        <v>28</v>
      </c>
      <c r="C4985" s="4" t="str">
        <f t="shared" si="405"/>
        <v>Thanh Hóa</v>
      </c>
      <c r="D4985" s="3" t="s">
        <v>347</v>
      </c>
      <c r="E4985" s="4" t="str">
        <f t="shared" ref="E4985:E5018" si="407">HYPERLINK("https://diaocthongthai.com/ban-do-huyen-trieu-son-thanh-hoa/","Huyện Triệu Sơn")</f>
        <v>Huyện Triệu Sơn</v>
      </c>
      <c r="F4985" s="3" t="s">
        <v>5748</v>
      </c>
      <c r="G4985" s="4" t="str">
        <f>HYPERLINK("https://diaocthongthai.com/thi-tran-trieu-son-trieu-son/","Thị trấn Triệu Sơn")</f>
        <v>Thị trấn Triệu Sơn</v>
      </c>
    </row>
    <row r="4986" spans="1:7" x14ac:dyDescent="0.25">
      <c r="A4986" s="2">
        <v>4985</v>
      </c>
      <c r="B4986" s="3" t="s">
        <v>28</v>
      </c>
      <c r="C4986" s="4" t="str">
        <f t="shared" si="405"/>
        <v>Thanh Hóa</v>
      </c>
      <c r="D4986" s="3" t="s">
        <v>347</v>
      </c>
      <c r="E4986" s="4" t="str">
        <f t="shared" si="407"/>
        <v>Huyện Triệu Sơn</v>
      </c>
      <c r="F4986" s="3" t="s">
        <v>5749</v>
      </c>
      <c r="G4986" s="4" t="str">
        <f>HYPERLINK("https://diaocthongthai.com/xa-tho-son-trieu-son/","Xã Thọ Sơn")</f>
        <v>Xã Thọ Sơn</v>
      </c>
    </row>
    <row r="4987" spans="1:7" x14ac:dyDescent="0.25">
      <c r="A4987" s="2">
        <v>4986</v>
      </c>
      <c r="B4987" s="3" t="s">
        <v>28</v>
      </c>
      <c r="C4987" s="4" t="str">
        <f t="shared" si="405"/>
        <v>Thanh Hóa</v>
      </c>
      <c r="D4987" s="3" t="s">
        <v>347</v>
      </c>
      <c r="E4987" s="4" t="str">
        <f t="shared" si="407"/>
        <v>Huyện Triệu Sơn</v>
      </c>
      <c r="F4987" s="3" t="s">
        <v>5750</v>
      </c>
      <c r="G4987" s="4" t="str">
        <f>HYPERLINK("https://diaocthongthai.com/xa-tho-binh-trieu-son/","Xã Thọ Bình")</f>
        <v>Xã Thọ Bình</v>
      </c>
    </row>
    <row r="4988" spans="1:7" x14ac:dyDescent="0.25">
      <c r="A4988" s="2">
        <v>4987</v>
      </c>
      <c r="B4988" s="3" t="s">
        <v>28</v>
      </c>
      <c r="C4988" s="4" t="str">
        <f t="shared" si="405"/>
        <v>Thanh Hóa</v>
      </c>
      <c r="D4988" s="3" t="s">
        <v>347</v>
      </c>
      <c r="E4988" s="4" t="str">
        <f t="shared" si="407"/>
        <v>Huyện Triệu Sơn</v>
      </c>
      <c r="F4988" s="3" t="s">
        <v>5751</v>
      </c>
      <c r="G4988" s="4" t="str">
        <f>HYPERLINK("https://diaocthongthai.com/xa-tho-tien-trieu-son/","Xã Thọ Tiến")</f>
        <v>Xã Thọ Tiến</v>
      </c>
    </row>
    <row r="4989" spans="1:7" x14ac:dyDescent="0.25">
      <c r="A4989" s="2">
        <v>4988</v>
      </c>
      <c r="B4989" s="3" t="s">
        <v>28</v>
      </c>
      <c r="C4989" s="4" t="str">
        <f t="shared" si="405"/>
        <v>Thanh Hóa</v>
      </c>
      <c r="D4989" s="3" t="s">
        <v>347</v>
      </c>
      <c r="E4989" s="4" t="str">
        <f t="shared" si="407"/>
        <v>Huyện Triệu Sơn</v>
      </c>
      <c r="F4989" s="3" t="s">
        <v>5752</v>
      </c>
      <c r="G4989" s="4" t="str">
        <f>HYPERLINK("https://diaocthongthai.com/xa-hop-ly-trieu-son/","Xã Hợp Lý")</f>
        <v>Xã Hợp Lý</v>
      </c>
    </row>
    <row r="4990" spans="1:7" x14ac:dyDescent="0.25">
      <c r="A4990" s="2">
        <v>4989</v>
      </c>
      <c r="B4990" s="3" t="s">
        <v>28</v>
      </c>
      <c r="C4990" s="4" t="str">
        <f t="shared" si="405"/>
        <v>Thanh Hóa</v>
      </c>
      <c r="D4990" s="3" t="s">
        <v>347</v>
      </c>
      <c r="E4990" s="4" t="str">
        <f t="shared" si="407"/>
        <v>Huyện Triệu Sơn</v>
      </c>
      <c r="F4990" s="3" t="s">
        <v>5753</v>
      </c>
      <c r="G4990" s="4" t="str">
        <f>HYPERLINK("https://diaocthongthai.com/xa-hop-tien-trieu-son/","Xã Hợp Tiến")</f>
        <v>Xã Hợp Tiến</v>
      </c>
    </row>
    <row r="4991" spans="1:7" x14ac:dyDescent="0.25">
      <c r="A4991" s="2">
        <v>4990</v>
      </c>
      <c r="B4991" s="3" t="s">
        <v>28</v>
      </c>
      <c r="C4991" s="4" t="str">
        <f t="shared" si="405"/>
        <v>Thanh Hóa</v>
      </c>
      <c r="D4991" s="3" t="s">
        <v>347</v>
      </c>
      <c r="E4991" s="4" t="str">
        <f t="shared" si="407"/>
        <v>Huyện Triệu Sơn</v>
      </c>
      <c r="F4991" s="3" t="s">
        <v>5754</v>
      </c>
      <c r="G4991" s="4" t="str">
        <f>HYPERLINK("https://diaocthongthai.com/xa-hop-thanh-trieu-son/","Xã Hợp Thành")</f>
        <v>Xã Hợp Thành</v>
      </c>
    </row>
    <row r="4992" spans="1:7" x14ac:dyDescent="0.25">
      <c r="A4992" s="2">
        <v>4991</v>
      </c>
      <c r="B4992" s="3" t="s">
        <v>28</v>
      </c>
      <c r="C4992" s="4" t="str">
        <f t="shared" si="405"/>
        <v>Thanh Hóa</v>
      </c>
      <c r="D4992" s="3" t="s">
        <v>347</v>
      </c>
      <c r="E4992" s="4" t="str">
        <f t="shared" si="407"/>
        <v>Huyện Triệu Sơn</v>
      </c>
      <c r="F4992" s="3" t="s">
        <v>5755</v>
      </c>
      <c r="G4992" s="4" t="str">
        <f>HYPERLINK("https://diaocthongthai.com/xa-trieu-thanh-trieu-son/","Xã Triệu Thành")</f>
        <v>Xã Triệu Thành</v>
      </c>
    </row>
    <row r="4993" spans="1:7" x14ac:dyDescent="0.25">
      <c r="A4993" s="2">
        <v>4992</v>
      </c>
      <c r="B4993" s="3" t="s">
        <v>28</v>
      </c>
      <c r="C4993" s="4" t="str">
        <f t="shared" si="405"/>
        <v>Thanh Hóa</v>
      </c>
      <c r="D4993" s="3" t="s">
        <v>347</v>
      </c>
      <c r="E4993" s="4" t="str">
        <f t="shared" si="407"/>
        <v>Huyện Triệu Sơn</v>
      </c>
      <c r="F4993" s="3" t="s">
        <v>5756</v>
      </c>
      <c r="G4993" s="4" t="str">
        <f>HYPERLINK("https://diaocthongthai.com/xa-hop-thang-trieu-son/","Xã Hợp Thắng")</f>
        <v>Xã Hợp Thắng</v>
      </c>
    </row>
    <row r="4994" spans="1:7" x14ac:dyDescent="0.25">
      <c r="A4994" s="2">
        <v>4993</v>
      </c>
      <c r="B4994" s="3" t="s">
        <v>28</v>
      </c>
      <c r="C4994" s="4" t="str">
        <f t="shared" si="405"/>
        <v>Thanh Hóa</v>
      </c>
      <c r="D4994" s="3" t="s">
        <v>347</v>
      </c>
      <c r="E4994" s="4" t="str">
        <f t="shared" si="407"/>
        <v>Huyện Triệu Sơn</v>
      </c>
      <c r="F4994" s="3" t="s">
        <v>5757</v>
      </c>
      <c r="G4994" s="4" t="str">
        <f>HYPERLINK("https://diaocthongthai.com/xa-minh-son-trieu-son/","Xã Minh Sơn")</f>
        <v>Xã Minh Sơn</v>
      </c>
    </row>
    <row r="4995" spans="1:7" x14ac:dyDescent="0.25">
      <c r="A4995" s="2">
        <v>4994</v>
      </c>
      <c r="B4995" s="3" t="s">
        <v>28</v>
      </c>
      <c r="C4995" s="4" t="str">
        <f t="shared" si="405"/>
        <v>Thanh Hóa</v>
      </c>
      <c r="D4995" s="3" t="s">
        <v>347</v>
      </c>
      <c r="E4995" s="4" t="str">
        <f t="shared" si="407"/>
        <v>Huyện Triệu Sơn</v>
      </c>
      <c r="F4995" s="3" t="s">
        <v>5758</v>
      </c>
      <c r="G4995" s="4" t="str">
        <f>HYPERLINK("https://diaocthongthai.com/xa-dan-luc-trieu-son/","Xã Dân Lực")</f>
        <v>Xã Dân Lực</v>
      </c>
    </row>
    <row r="4996" spans="1:7" x14ac:dyDescent="0.25">
      <c r="A4996" s="2">
        <v>4995</v>
      </c>
      <c r="B4996" s="3" t="s">
        <v>28</v>
      </c>
      <c r="C4996" s="4" t="str">
        <f t="shared" si="405"/>
        <v>Thanh Hóa</v>
      </c>
      <c r="D4996" s="3" t="s">
        <v>347</v>
      </c>
      <c r="E4996" s="4" t="str">
        <f t="shared" si="407"/>
        <v>Huyện Triệu Sơn</v>
      </c>
      <c r="F4996" s="3" t="s">
        <v>5759</v>
      </c>
      <c r="G4996" s="4" t="str">
        <f>HYPERLINK("https://diaocthongthai.com/xa-dan-ly-trieu-son/","Xã Dân Lý")</f>
        <v>Xã Dân Lý</v>
      </c>
    </row>
    <row r="4997" spans="1:7" x14ac:dyDescent="0.25">
      <c r="A4997" s="2">
        <v>4996</v>
      </c>
      <c r="B4997" s="3" t="s">
        <v>28</v>
      </c>
      <c r="C4997" s="4" t="str">
        <f t="shared" si="405"/>
        <v>Thanh Hóa</v>
      </c>
      <c r="D4997" s="3" t="s">
        <v>347</v>
      </c>
      <c r="E4997" s="4" t="str">
        <f t="shared" si="407"/>
        <v>Huyện Triệu Sơn</v>
      </c>
      <c r="F4997" s="3" t="s">
        <v>5760</v>
      </c>
      <c r="G4997" s="4" t="str">
        <f>HYPERLINK("https://diaocthongthai.com/xa-dan-quyen-trieu-son/","Xã Dân Quyền")</f>
        <v>Xã Dân Quyền</v>
      </c>
    </row>
    <row r="4998" spans="1:7" x14ac:dyDescent="0.25">
      <c r="A4998" s="2">
        <v>4997</v>
      </c>
      <c r="B4998" s="3" t="s">
        <v>28</v>
      </c>
      <c r="C4998" s="4" t="str">
        <f t="shared" si="405"/>
        <v>Thanh Hóa</v>
      </c>
      <c r="D4998" s="3" t="s">
        <v>347</v>
      </c>
      <c r="E4998" s="4" t="str">
        <f t="shared" si="407"/>
        <v>Huyện Triệu Sơn</v>
      </c>
      <c r="F4998" s="3" t="s">
        <v>5761</v>
      </c>
      <c r="G4998" s="4" t="str">
        <f>HYPERLINK("https://diaocthongthai.com/xa-an-nong-trieu-son/","Xã An Nông")</f>
        <v>Xã An Nông</v>
      </c>
    </row>
    <row r="4999" spans="1:7" x14ac:dyDescent="0.25">
      <c r="A4999" s="2">
        <v>4998</v>
      </c>
      <c r="B4999" s="3" t="s">
        <v>28</v>
      </c>
      <c r="C4999" s="4" t="str">
        <f t="shared" si="405"/>
        <v>Thanh Hóa</v>
      </c>
      <c r="D4999" s="3" t="s">
        <v>347</v>
      </c>
      <c r="E4999" s="4" t="str">
        <f t="shared" si="407"/>
        <v>Huyện Triệu Sơn</v>
      </c>
      <c r="F4999" s="3" t="s">
        <v>5762</v>
      </c>
      <c r="G4999" s="4" t="str">
        <f>HYPERLINK("https://diaocthongthai.com/xa-van-son-trieu-son/","Xã Văn Sơn")</f>
        <v>Xã Văn Sơn</v>
      </c>
    </row>
    <row r="5000" spans="1:7" x14ac:dyDescent="0.25">
      <c r="A5000" s="2">
        <v>4999</v>
      </c>
      <c r="B5000" s="3" t="s">
        <v>28</v>
      </c>
      <c r="C5000" s="4" t="str">
        <f t="shared" si="405"/>
        <v>Thanh Hóa</v>
      </c>
      <c r="D5000" s="3" t="s">
        <v>347</v>
      </c>
      <c r="E5000" s="4" t="str">
        <f t="shared" si="407"/>
        <v>Huyện Triệu Sơn</v>
      </c>
      <c r="F5000" s="3" t="s">
        <v>5763</v>
      </c>
      <c r="G5000" s="4" t="str">
        <f>HYPERLINK("https://diaocthongthai.com/xa-thai-hoa-trieu-son/","Xã Thái Hòa")</f>
        <v>Xã Thái Hòa</v>
      </c>
    </row>
    <row r="5001" spans="1:7" x14ac:dyDescent="0.25">
      <c r="A5001" s="2">
        <v>5000</v>
      </c>
      <c r="B5001" s="3" t="s">
        <v>28</v>
      </c>
      <c r="C5001" s="4" t="str">
        <f t="shared" si="405"/>
        <v>Thanh Hóa</v>
      </c>
      <c r="D5001" s="3" t="s">
        <v>347</v>
      </c>
      <c r="E5001" s="4" t="str">
        <f t="shared" si="407"/>
        <v>Huyện Triệu Sơn</v>
      </c>
      <c r="F5001" s="3" t="s">
        <v>5764</v>
      </c>
      <c r="G5001" s="4" t="str">
        <f>HYPERLINK("https://diaocthongthai.com/thi-tran-nua-trieu-son/","Thị trấn Nưa")</f>
        <v>Thị trấn Nưa</v>
      </c>
    </row>
    <row r="5002" spans="1:7" x14ac:dyDescent="0.25">
      <c r="A5002" s="2">
        <v>5001</v>
      </c>
      <c r="B5002" s="3" t="s">
        <v>28</v>
      </c>
      <c r="C5002" s="4" t="str">
        <f t="shared" si="405"/>
        <v>Thanh Hóa</v>
      </c>
      <c r="D5002" s="3" t="s">
        <v>347</v>
      </c>
      <c r="E5002" s="4" t="str">
        <f t="shared" si="407"/>
        <v>Huyện Triệu Sơn</v>
      </c>
      <c r="F5002" s="3" t="s">
        <v>5765</v>
      </c>
      <c r="G5002" s="4" t="str">
        <f>HYPERLINK("https://diaocthongthai.com/xa-dong-loi-trieu-son/","Xã Đồng Lợi")</f>
        <v>Xã Đồng Lợi</v>
      </c>
    </row>
    <row r="5003" spans="1:7" x14ac:dyDescent="0.25">
      <c r="A5003" s="2">
        <v>5002</v>
      </c>
      <c r="B5003" s="3" t="s">
        <v>28</v>
      </c>
      <c r="C5003" s="4" t="str">
        <f t="shared" si="405"/>
        <v>Thanh Hóa</v>
      </c>
      <c r="D5003" s="3" t="s">
        <v>347</v>
      </c>
      <c r="E5003" s="4" t="str">
        <f t="shared" si="407"/>
        <v>Huyện Triệu Sơn</v>
      </c>
      <c r="F5003" s="3" t="s">
        <v>5766</v>
      </c>
      <c r="G5003" s="4" t="str">
        <f>HYPERLINK("https://diaocthongthai.com/xa-dong-tien-trieu-son/","Xã Đồng Tiến")</f>
        <v>Xã Đồng Tiến</v>
      </c>
    </row>
    <row r="5004" spans="1:7" x14ac:dyDescent="0.25">
      <c r="A5004" s="2">
        <v>5003</v>
      </c>
      <c r="B5004" s="3" t="s">
        <v>28</v>
      </c>
      <c r="C5004" s="4" t="str">
        <f t="shared" si="405"/>
        <v>Thanh Hóa</v>
      </c>
      <c r="D5004" s="3" t="s">
        <v>347</v>
      </c>
      <c r="E5004" s="4" t="str">
        <f t="shared" si="407"/>
        <v>Huyện Triệu Sơn</v>
      </c>
      <c r="F5004" s="3" t="s">
        <v>5767</v>
      </c>
      <c r="G5004" s="4" t="str">
        <f>HYPERLINK("https://diaocthongthai.com/xa-dong-thang-trieu-son/","Xã Đồng Thắng")</f>
        <v>Xã Đồng Thắng</v>
      </c>
    </row>
    <row r="5005" spans="1:7" x14ac:dyDescent="0.25">
      <c r="A5005" s="2">
        <v>5004</v>
      </c>
      <c r="B5005" s="3" t="s">
        <v>28</v>
      </c>
      <c r="C5005" s="4" t="str">
        <f t="shared" si="405"/>
        <v>Thanh Hóa</v>
      </c>
      <c r="D5005" s="3" t="s">
        <v>347</v>
      </c>
      <c r="E5005" s="4" t="str">
        <f t="shared" si="407"/>
        <v>Huyện Triệu Sơn</v>
      </c>
      <c r="F5005" s="3" t="s">
        <v>5768</v>
      </c>
      <c r="G5005" s="4" t="str">
        <f>HYPERLINK("https://diaocthongthai.com/xa-tien-nong-trieu-son/","Xã Tiến Nông")</f>
        <v>Xã Tiến Nông</v>
      </c>
    </row>
    <row r="5006" spans="1:7" x14ac:dyDescent="0.25">
      <c r="A5006" s="2">
        <v>5005</v>
      </c>
      <c r="B5006" s="3" t="s">
        <v>28</v>
      </c>
      <c r="C5006" s="4" t="str">
        <f t="shared" si="405"/>
        <v>Thanh Hóa</v>
      </c>
      <c r="D5006" s="3" t="s">
        <v>347</v>
      </c>
      <c r="E5006" s="4" t="str">
        <f t="shared" si="407"/>
        <v>Huyện Triệu Sơn</v>
      </c>
      <c r="F5006" s="3" t="s">
        <v>5769</v>
      </c>
      <c r="G5006" s="4" t="str">
        <f>HYPERLINK("https://diaocthongthai.com/xa-khuyen-nong-trieu-son/","Xã Khuyến Nông")</f>
        <v>Xã Khuyến Nông</v>
      </c>
    </row>
    <row r="5007" spans="1:7" x14ac:dyDescent="0.25">
      <c r="A5007" s="2">
        <v>5006</v>
      </c>
      <c r="B5007" s="3" t="s">
        <v>28</v>
      </c>
      <c r="C5007" s="4" t="str">
        <f t="shared" si="405"/>
        <v>Thanh Hóa</v>
      </c>
      <c r="D5007" s="3" t="s">
        <v>347</v>
      </c>
      <c r="E5007" s="4" t="str">
        <f t="shared" si="407"/>
        <v>Huyện Triệu Sơn</v>
      </c>
      <c r="F5007" s="3" t="s">
        <v>5770</v>
      </c>
      <c r="G5007" s="4" t="str">
        <f>HYPERLINK("https://diaocthongthai.com/xa-xuan-thinh-trieu-son/","Xã Xuân Thịnh")</f>
        <v>Xã Xuân Thịnh</v>
      </c>
    </row>
    <row r="5008" spans="1:7" x14ac:dyDescent="0.25">
      <c r="A5008" s="2">
        <v>5007</v>
      </c>
      <c r="B5008" s="3" t="s">
        <v>28</v>
      </c>
      <c r="C5008" s="4" t="str">
        <f t="shared" si="405"/>
        <v>Thanh Hóa</v>
      </c>
      <c r="D5008" s="3" t="s">
        <v>347</v>
      </c>
      <c r="E5008" s="4" t="str">
        <f t="shared" si="407"/>
        <v>Huyện Triệu Sơn</v>
      </c>
      <c r="F5008" s="3" t="s">
        <v>5771</v>
      </c>
      <c r="G5008" s="4" t="str">
        <f>HYPERLINK("https://diaocthongthai.com/xa-xuan-loc-trieu-son/","Xã Xuân Lộc")</f>
        <v>Xã Xuân Lộc</v>
      </c>
    </row>
    <row r="5009" spans="1:7" x14ac:dyDescent="0.25">
      <c r="A5009" s="2">
        <v>5008</v>
      </c>
      <c r="B5009" s="3" t="s">
        <v>28</v>
      </c>
      <c r="C5009" s="4" t="str">
        <f t="shared" si="405"/>
        <v>Thanh Hóa</v>
      </c>
      <c r="D5009" s="3" t="s">
        <v>347</v>
      </c>
      <c r="E5009" s="4" t="str">
        <f t="shared" si="407"/>
        <v>Huyện Triệu Sơn</v>
      </c>
      <c r="F5009" s="3" t="s">
        <v>5772</v>
      </c>
      <c r="G5009" s="4" t="str">
        <f>HYPERLINK("https://diaocthongthai.com/xa-tho-dan-trieu-son/","Xã Thọ Dân")</f>
        <v>Xã Thọ Dân</v>
      </c>
    </row>
    <row r="5010" spans="1:7" x14ac:dyDescent="0.25">
      <c r="A5010" s="2">
        <v>5009</v>
      </c>
      <c r="B5010" s="3" t="s">
        <v>28</v>
      </c>
      <c r="C5010" s="4" t="str">
        <f t="shared" si="405"/>
        <v>Thanh Hóa</v>
      </c>
      <c r="D5010" s="3" t="s">
        <v>347</v>
      </c>
      <c r="E5010" s="4" t="str">
        <f t="shared" si="407"/>
        <v>Huyện Triệu Sơn</v>
      </c>
      <c r="F5010" s="3" t="s">
        <v>5773</v>
      </c>
      <c r="G5010" s="4" t="str">
        <f>HYPERLINK("https://diaocthongthai.com/xa-xuan-tho-trieu-son/","Xã Xuân Thọ")</f>
        <v>Xã Xuân Thọ</v>
      </c>
    </row>
    <row r="5011" spans="1:7" x14ac:dyDescent="0.25">
      <c r="A5011" s="2">
        <v>5010</v>
      </c>
      <c r="B5011" s="3" t="s">
        <v>28</v>
      </c>
      <c r="C5011" s="4" t="str">
        <f t="shared" si="405"/>
        <v>Thanh Hóa</v>
      </c>
      <c r="D5011" s="3" t="s">
        <v>347</v>
      </c>
      <c r="E5011" s="4" t="str">
        <f t="shared" si="407"/>
        <v>Huyện Triệu Sơn</v>
      </c>
      <c r="F5011" s="3" t="s">
        <v>5774</v>
      </c>
      <c r="G5011" s="4" t="str">
        <f>HYPERLINK("https://diaocthongthai.com/xa-tho-tan-trieu-son/","Xã Thọ Tân")</f>
        <v>Xã Thọ Tân</v>
      </c>
    </row>
    <row r="5012" spans="1:7" x14ac:dyDescent="0.25">
      <c r="A5012" s="2">
        <v>5011</v>
      </c>
      <c r="B5012" s="3" t="s">
        <v>28</v>
      </c>
      <c r="C5012" s="4" t="str">
        <f t="shared" si="405"/>
        <v>Thanh Hóa</v>
      </c>
      <c r="D5012" s="3" t="s">
        <v>347</v>
      </c>
      <c r="E5012" s="4" t="str">
        <f t="shared" si="407"/>
        <v>Huyện Triệu Sơn</v>
      </c>
      <c r="F5012" s="3" t="s">
        <v>5775</v>
      </c>
      <c r="G5012" s="4" t="str">
        <f>HYPERLINK("https://diaocthongthai.com/xa-tho-ngoc-trieu-son/","Xã Thọ Ngọc")</f>
        <v>Xã Thọ Ngọc</v>
      </c>
    </row>
    <row r="5013" spans="1:7" x14ac:dyDescent="0.25">
      <c r="A5013" s="2">
        <v>5012</v>
      </c>
      <c r="B5013" s="3" t="s">
        <v>28</v>
      </c>
      <c r="C5013" s="4" t="str">
        <f t="shared" si="405"/>
        <v>Thanh Hóa</v>
      </c>
      <c r="D5013" s="3" t="s">
        <v>347</v>
      </c>
      <c r="E5013" s="4" t="str">
        <f t="shared" si="407"/>
        <v>Huyện Triệu Sơn</v>
      </c>
      <c r="F5013" s="3" t="s">
        <v>5776</v>
      </c>
      <c r="G5013" s="4" t="str">
        <f>HYPERLINK("https://diaocthongthai.com/xa-tho-cuong-trieu-son/","Xã Thọ Cường")</f>
        <v>Xã Thọ Cường</v>
      </c>
    </row>
    <row r="5014" spans="1:7" x14ac:dyDescent="0.25">
      <c r="A5014" s="2">
        <v>5013</v>
      </c>
      <c r="B5014" s="3" t="s">
        <v>28</v>
      </c>
      <c r="C5014" s="4" t="str">
        <f t="shared" si="405"/>
        <v>Thanh Hóa</v>
      </c>
      <c r="D5014" s="3" t="s">
        <v>347</v>
      </c>
      <c r="E5014" s="4" t="str">
        <f t="shared" si="407"/>
        <v>Huyện Triệu Sơn</v>
      </c>
      <c r="F5014" s="3" t="s">
        <v>5777</v>
      </c>
      <c r="G5014" s="4" t="str">
        <f>HYPERLINK("https://diaocthongthai.com/xa-tho-phu-trieu-son/","Xã Thọ Phú")</f>
        <v>Xã Thọ Phú</v>
      </c>
    </row>
    <row r="5015" spans="1:7" x14ac:dyDescent="0.25">
      <c r="A5015" s="2">
        <v>5014</v>
      </c>
      <c r="B5015" s="3" t="s">
        <v>28</v>
      </c>
      <c r="C5015" s="4" t="str">
        <f t="shared" si="405"/>
        <v>Thanh Hóa</v>
      </c>
      <c r="D5015" s="3" t="s">
        <v>347</v>
      </c>
      <c r="E5015" s="4" t="str">
        <f t="shared" si="407"/>
        <v>Huyện Triệu Sơn</v>
      </c>
      <c r="F5015" s="3" t="s">
        <v>5778</v>
      </c>
      <c r="G5015" s="4" t="str">
        <f>HYPERLINK("https://diaocthongthai.com/xa-tho-vuc-trieu-son/","Xã Thọ Vực")</f>
        <v>Xã Thọ Vực</v>
      </c>
    </row>
    <row r="5016" spans="1:7" x14ac:dyDescent="0.25">
      <c r="A5016" s="2">
        <v>5015</v>
      </c>
      <c r="B5016" s="3" t="s">
        <v>28</v>
      </c>
      <c r="C5016" s="4" t="str">
        <f t="shared" si="405"/>
        <v>Thanh Hóa</v>
      </c>
      <c r="D5016" s="3" t="s">
        <v>347</v>
      </c>
      <c r="E5016" s="4" t="str">
        <f t="shared" si="407"/>
        <v>Huyện Triệu Sơn</v>
      </c>
      <c r="F5016" s="3" t="s">
        <v>5779</v>
      </c>
      <c r="G5016" s="4" t="str">
        <f>HYPERLINK("https://diaocthongthai.com/xa-tho-the-trieu-son/","Xã Thọ Thế")</f>
        <v>Xã Thọ Thế</v>
      </c>
    </row>
    <row r="5017" spans="1:7" x14ac:dyDescent="0.25">
      <c r="A5017" s="2">
        <v>5016</v>
      </c>
      <c r="B5017" s="3" t="s">
        <v>28</v>
      </c>
      <c r="C5017" s="4" t="str">
        <f t="shared" si="405"/>
        <v>Thanh Hóa</v>
      </c>
      <c r="D5017" s="3" t="s">
        <v>347</v>
      </c>
      <c r="E5017" s="4" t="str">
        <f t="shared" si="407"/>
        <v>Huyện Triệu Sơn</v>
      </c>
      <c r="F5017" s="3" t="s">
        <v>5780</v>
      </c>
      <c r="G5017" s="4" t="str">
        <f>HYPERLINK("https://diaocthongthai.com/xa-nong-truong-trieu-son/","Xã Nông Trường")</f>
        <v>Xã Nông Trường</v>
      </c>
    </row>
    <row r="5018" spans="1:7" x14ac:dyDescent="0.25">
      <c r="A5018" s="2">
        <v>5017</v>
      </c>
      <c r="B5018" s="3" t="s">
        <v>28</v>
      </c>
      <c r="C5018" s="4" t="str">
        <f t="shared" si="405"/>
        <v>Thanh Hóa</v>
      </c>
      <c r="D5018" s="3" t="s">
        <v>347</v>
      </c>
      <c r="E5018" s="4" t="str">
        <f t="shared" si="407"/>
        <v>Huyện Triệu Sơn</v>
      </c>
      <c r="F5018" s="3" t="s">
        <v>5781</v>
      </c>
      <c r="G5018" s="4" t="str">
        <f>HYPERLINK("https://diaocthongthai.com/xa-binh-son-trieu-son/","Xã Bình Sơn")</f>
        <v>Xã Bình Sơn</v>
      </c>
    </row>
    <row r="5019" spans="1:7" x14ac:dyDescent="0.25">
      <c r="A5019" s="2">
        <v>5018</v>
      </c>
      <c r="B5019" s="3" t="s">
        <v>28</v>
      </c>
      <c r="C5019" s="4" t="str">
        <f t="shared" ref="C5019:C5082" si="408">HYPERLINK("https://diaocthongthai.com/ban-do-thanh-hoa/","Thanh Hóa")</f>
        <v>Thanh Hóa</v>
      </c>
      <c r="D5019" s="3" t="s">
        <v>348</v>
      </c>
      <c r="E5019" s="4" t="str">
        <f t="shared" ref="E5019:E5043" si="409">HYPERLINK("https://diaocthongthai.com/ban-do-huyen-thieu-hoa-thanh-hoa/","Huyện Thiệu Hóa")</f>
        <v>Huyện Thiệu Hóa</v>
      </c>
      <c r="F5019" s="3" t="s">
        <v>5782</v>
      </c>
      <c r="G5019" s="4" t="str">
        <f>HYPERLINK("https://diaocthongthai.com/thi-tran-thieu-hoa-thieu-hoa/","Thị trấn Thiệu Hóa")</f>
        <v>Thị trấn Thiệu Hóa</v>
      </c>
    </row>
    <row r="5020" spans="1:7" x14ac:dyDescent="0.25">
      <c r="A5020" s="2">
        <v>5019</v>
      </c>
      <c r="B5020" s="3" t="s">
        <v>28</v>
      </c>
      <c r="C5020" s="4" t="str">
        <f t="shared" si="408"/>
        <v>Thanh Hóa</v>
      </c>
      <c r="D5020" s="3" t="s">
        <v>348</v>
      </c>
      <c r="E5020" s="4" t="str">
        <f t="shared" si="409"/>
        <v>Huyện Thiệu Hóa</v>
      </c>
      <c r="F5020" s="3" t="s">
        <v>5783</v>
      </c>
      <c r="G5020" s="4" t="str">
        <f>HYPERLINK("https://diaocthongthai.com/xa-thieu-ngoc-thieu-hoa/","Xã Thiệu Ngọc")</f>
        <v>Xã Thiệu Ngọc</v>
      </c>
    </row>
    <row r="5021" spans="1:7" x14ac:dyDescent="0.25">
      <c r="A5021" s="2">
        <v>5020</v>
      </c>
      <c r="B5021" s="3" t="s">
        <v>28</v>
      </c>
      <c r="C5021" s="4" t="str">
        <f t="shared" si="408"/>
        <v>Thanh Hóa</v>
      </c>
      <c r="D5021" s="3" t="s">
        <v>348</v>
      </c>
      <c r="E5021" s="4" t="str">
        <f t="shared" si="409"/>
        <v>Huyện Thiệu Hóa</v>
      </c>
      <c r="F5021" s="3" t="s">
        <v>5784</v>
      </c>
      <c r="G5021" s="4" t="str">
        <f>HYPERLINK("https://diaocthongthai.com/xa-thieu-vu-thieu-hoa/","Xã Thiệu Vũ")</f>
        <v>Xã Thiệu Vũ</v>
      </c>
    </row>
    <row r="5022" spans="1:7" x14ac:dyDescent="0.25">
      <c r="A5022" s="2">
        <v>5021</v>
      </c>
      <c r="B5022" s="3" t="s">
        <v>28</v>
      </c>
      <c r="C5022" s="4" t="str">
        <f t="shared" si="408"/>
        <v>Thanh Hóa</v>
      </c>
      <c r="D5022" s="3" t="s">
        <v>348</v>
      </c>
      <c r="E5022" s="4" t="str">
        <f t="shared" si="409"/>
        <v>Huyện Thiệu Hóa</v>
      </c>
      <c r="F5022" s="3" t="s">
        <v>5785</v>
      </c>
      <c r="G5022" s="4" t="str">
        <f>HYPERLINK("https://diaocthongthai.com/xa-thieu-phuc-thieu-hoa/","Xã Thiệu Phúc")</f>
        <v>Xã Thiệu Phúc</v>
      </c>
    </row>
    <row r="5023" spans="1:7" x14ac:dyDescent="0.25">
      <c r="A5023" s="2">
        <v>5022</v>
      </c>
      <c r="B5023" s="3" t="s">
        <v>28</v>
      </c>
      <c r="C5023" s="4" t="str">
        <f t="shared" si="408"/>
        <v>Thanh Hóa</v>
      </c>
      <c r="D5023" s="3" t="s">
        <v>348</v>
      </c>
      <c r="E5023" s="4" t="str">
        <f t="shared" si="409"/>
        <v>Huyện Thiệu Hóa</v>
      </c>
      <c r="F5023" s="3" t="s">
        <v>5786</v>
      </c>
      <c r="G5023" s="4" t="str">
        <f>HYPERLINK("https://diaocthongthai.com/xa-thieu-tien-thieu-hoa/","Xã Thiệu Tiến")</f>
        <v>Xã Thiệu Tiến</v>
      </c>
    </row>
    <row r="5024" spans="1:7" x14ac:dyDescent="0.25">
      <c r="A5024" s="2">
        <v>5023</v>
      </c>
      <c r="B5024" s="3" t="s">
        <v>28</v>
      </c>
      <c r="C5024" s="4" t="str">
        <f t="shared" si="408"/>
        <v>Thanh Hóa</v>
      </c>
      <c r="D5024" s="3" t="s">
        <v>348</v>
      </c>
      <c r="E5024" s="4" t="str">
        <f t="shared" si="409"/>
        <v>Huyện Thiệu Hóa</v>
      </c>
      <c r="F5024" s="3" t="s">
        <v>5787</v>
      </c>
      <c r="G5024" s="4" t="str">
        <f>HYPERLINK("https://diaocthongthai.com/xa-thieu-cong-thieu-hoa/","Xã Thiệu Công")</f>
        <v>Xã Thiệu Công</v>
      </c>
    </row>
    <row r="5025" spans="1:7" x14ac:dyDescent="0.25">
      <c r="A5025" s="2">
        <v>5024</v>
      </c>
      <c r="B5025" s="3" t="s">
        <v>28</v>
      </c>
      <c r="C5025" s="4" t="str">
        <f t="shared" si="408"/>
        <v>Thanh Hóa</v>
      </c>
      <c r="D5025" s="3" t="s">
        <v>348</v>
      </c>
      <c r="E5025" s="4" t="str">
        <f t="shared" si="409"/>
        <v>Huyện Thiệu Hóa</v>
      </c>
      <c r="F5025" s="3" t="s">
        <v>5788</v>
      </c>
      <c r="G5025" s="4" t="str">
        <f>HYPERLINK("https://diaocthongthai.com/xa-thieu-phu-thieu-hoa/","Xã Thiệu Phú")</f>
        <v>Xã Thiệu Phú</v>
      </c>
    </row>
    <row r="5026" spans="1:7" x14ac:dyDescent="0.25">
      <c r="A5026" s="2">
        <v>5025</v>
      </c>
      <c r="B5026" s="3" t="s">
        <v>28</v>
      </c>
      <c r="C5026" s="4" t="str">
        <f t="shared" si="408"/>
        <v>Thanh Hóa</v>
      </c>
      <c r="D5026" s="3" t="s">
        <v>348</v>
      </c>
      <c r="E5026" s="4" t="str">
        <f t="shared" si="409"/>
        <v>Huyện Thiệu Hóa</v>
      </c>
      <c r="F5026" s="3" t="s">
        <v>5789</v>
      </c>
      <c r="G5026" s="4" t="str">
        <f>HYPERLINK("https://diaocthongthai.com/xa-thieu-long-thieu-hoa/","Xã Thiệu Long")</f>
        <v>Xã Thiệu Long</v>
      </c>
    </row>
    <row r="5027" spans="1:7" x14ac:dyDescent="0.25">
      <c r="A5027" s="2">
        <v>5026</v>
      </c>
      <c r="B5027" s="3" t="s">
        <v>28</v>
      </c>
      <c r="C5027" s="4" t="str">
        <f t="shared" si="408"/>
        <v>Thanh Hóa</v>
      </c>
      <c r="D5027" s="3" t="s">
        <v>348</v>
      </c>
      <c r="E5027" s="4" t="str">
        <f t="shared" si="409"/>
        <v>Huyện Thiệu Hóa</v>
      </c>
      <c r="F5027" s="3" t="s">
        <v>5790</v>
      </c>
      <c r="G5027" s="4" t="str">
        <f>HYPERLINK("https://diaocthongthai.com/xa-thieu-giang-thieu-hoa/","Xã Thiệu Giang")</f>
        <v>Xã Thiệu Giang</v>
      </c>
    </row>
    <row r="5028" spans="1:7" x14ac:dyDescent="0.25">
      <c r="A5028" s="2">
        <v>5027</v>
      </c>
      <c r="B5028" s="3" t="s">
        <v>28</v>
      </c>
      <c r="C5028" s="4" t="str">
        <f t="shared" si="408"/>
        <v>Thanh Hóa</v>
      </c>
      <c r="D5028" s="3" t="s">
        <v>348</v>
      </c>
      <c r="E5028" s="4" t="str">
        <f t="shared" si="409"/>
        <v>Huyện Thiệu Hóa</v>
      </c>
      <c r="F5028" s="3" t="s">
        <v>5791</v>
      </c>
      <c r="G5028" s="4" t="str">
        <f>HYPERLINK("https://diaocthongthai.com/xa-thieu-duy-thieu-hoa/","Xã Thiệu Duy")</f>
        <v>Xã Thiệu Duy</v>
      </c>
    </row>
    <row r="5029" spans="1:7" x14ac:dyDescent="0.25">
      <c r="A5029" s="2">
        <v>5028</v>
      </c>
      <c r="B5029" s="3" t="s">
        <v>28</v>
      </c>
      <c r="C5029" s="4" t="str">
        <f t="shared" si="408"/>
        <v>Thanh Hóa</v>
      </c>
      <c r="D5029" s="3" t="s">
        <v>348</v>
      </c>
      <c r="E5029" s="4" t="str">
        <f t="shared" si="409"/>
        <v>Huyện Thiệu Hóa</v>
      </c>
      <c r="F5029" s="3" t="s">
        <v>5792</v>
      </c>
      <c r="G5029" s="4" t="str">
        <f>HYPERLINK("https://diaocthongthai.com/xa-thieu-nguyen-thieu-hoa/","Xã Thiệu Nguyên")</f>
        <v>Xã Thiệu Nguyên</v>
      </c>
    </row>
    <row r="5030" spans="1:7" x14ac:dyDescent="0.25">
      <c r="A5030" s="2">
        <v>5029</v>
      </c>
      <c r="B5030" s="3" t="s">
        <v>28</v>
      </c>
      <c r="C5030" s="4" t="str">
        <f t="shared" si="408"/>
        <v>Thanh Hóa</v>
      </c>
      <c r="D5030" s="3" t="s">
        <v>348</v>
      </c>
      <c r="E5030" s="4" t="str">
        <f t="shared" si="409"/>
        <v>Huyện Thiệu Hóa</v>
      </c>
      <c r="F5030" s="3" t="s">
        <v>5793</v>
      </c>
      <c r="G5030" s="4" t="str">
        <f>HYPERLINK("https://diaocthongthai.com/xa-thieu-hop-thieu-hoa/","Xã Thiệu Hợp")</f>
        <v>Xã Thiệu Hợp</v>
      </c>
    </row>
    <row r="5031" spans="1:7" x14ac:dyDescent="0.25">
      <c r="A5031" s="2">
        <v>5030</v>
      </c>
      <c r="B5031" s="3" t="s">
        <v>28</v>
      </c>
      <c r="C5031" s="4" t="str">
        <f t="shared" si="408"/>
        <v>Thanh Hóa</v>
      </c>
      <c r="D5031" s="3" t="s">
        <v>348</v>
      </c>
      <c r="E5031" s="4" t="str">
        <f t="shared" si="409"/>
        <v>Huyện Thiệu Hóa</v>
      </c>
      <c r="F5031" s="3" t="s">
        <v>5794</v>
      </c>
      <c r="G5031" s="4" t="str">
        <f>HYPERLINK("https://diaocthongthai.com/xa-thieu-thinh-thieu-hoa/","Xã Thiệu Thịnh")</f>
        <v>Xã Thiệu Thịnh</v>
      </c>
    </row>
    <row r="5032" spans="1:7" x14ac:dyDescent="0.25">
      <c r="A5032" s="2">
        <v>5031</v>
      </c>
      <c r="B5032" s="3" t="s">
        <v>28</v>
      </c>
      <c r="C5032" s="4" t="str">
        <f t="shared" si="408"/>
        <v>Thanh Hóa</v>
      </c>
      <c r="D5032" s="3" t="s">
        <v>348</v>
      </c>
      <c r="E5032" s="4" t="str">
        <f t="shared" si="409"/>
        <v>Huyện Thiệu Hóa</v>
      </c>
      <c r="F5032" s="3" t="s">
        <v>5795</v>
      </c>
      <c r="G5032" s="4" t="str">
        <f>HYPERLINK("https://diaocthongthai.com/xa-thieu-quang-thieu-hoa/","Xã Thiệu Quang")</f>
        <v>Xã Thiệu Quang</v>
      </c>
    </row>
    <row r="5033" spans="1:7" x14ac:dyDescent="0.25">
      <c r="A5033" s="2">
        <v>5032</v>
      </c>
      <c r="B5033" s="3" t="s">
        <v>28</v>
      </c>
      <c r="C5033" s="4" t="str">
        <f t="shared" si="408"/>
        <v>Thanh Hóa</v>
      </c>
      <c r="D5033" s="3" t="s">
        <v>348</v>
      </c>
      <c r="E5033" s="4" t="str">
        <f t="shared" si="409"/>
        <v>Huyện Thiệu Hóa</v>
      </c>
      <c r="F5033" s="3" t="s">
        <v>5796</v>
      </c>
      <c r="G5033" s="4" t="str">
        <f>HYPERLINK("https://diaocthongthai.com/xa-thieu-thanh-thieu-hoa/","Xã Thiệu Thành")</f>
        <v>Xã Thiệu Thành</v>
      </c>
    </row>
    <row r="5034" spans="1:7" x14ac:dyDescent="0.25">
      <c r="A5034" s="2">
        <v>5033</v>
      </c>
      <c r="B5034" s="3" t="s">
        <v>28</v>
      </c>
      <c r="C5034" s="4" t="str">
        <f t="shared" si="408"/>
        <v>Thanh Hóa</v>
      </c>
      <c r="D5034" s="3" t="s">
        <v>348</v>
      </c>
      <c r="E5034" s="4" t="str">
        <f t="shared" si="409"/>
        <v>Huyện Thiệu Hóa</v>
      </c>
      <c r="F5034" s="3" t="s">
        <v>5797</v>
      </c>
      <c r="G5034" s="4" t="str">
        <f>HYPERLINK("https://diaocthongthai.com/xa-thieu-toan-thieu-hoa/","Xã Thiệu Toán")</f>
        <v>Xã Thiệu Toán</v>
      </c>
    </row>
    <row r="5035" spans="1:7" x14ac:dyDescent="0.25">
      <c r="A5035" s="2">
        <v>5034</v>
      </c>
      <c r="B5035" s="3" t="s">
        <v>28</v>
      </c>
      <c r="C5035" s="4" t="str">
        <f t="shared" si="408"/>
        <v>Thanh Hóa</v>
      </c>
      <c r="D5035" s="3" t="s">
        <v>348</v>
      </c>
      <c r="E5035" s="4" t="str">
        <f t="shared" si="409"/>
        <v>Huyện Thiệu Hóa</v>
      </c>
      <c r="F5035" s="3" t="s">
        <v>5798</v>
      </c>
      <c r="G5035" s="4" t="str">
        <f>HYPERLINK("https://diaocthongthai.com/xa-thieu-chinh-thieu-hoa/","Xã Thiệu Chính")</f>
        <v>Xã Thiệu Chính</v>
      </c>
    </row>
    <row r="5036" spans="1:7" x14ac:dyDescent="0.25">
      <c r="A5036" s="2">
        <v>5035</v>
      </c>
      <c r="B5036" s="3" t="s">
        <v>28</v>
      </c>
      <c r="C5036" s="4" t="str">
        <f t="shared" si="408"/>
        <v>Thanh Hóa</v>
      </c>
      <c r="D5036" s="3" t="s">
        <v>348</v>
      </c>
      <c r="E5036" s="4" t="str">
        <f t="shared" si="409"/>
        <v>Huyện Thiệu Hóa</v>
      </c>
      <c r="F5036" s="3" t="s">
        <v>5799</v>
      </c>
      <c r="G5036" s="4" t="str">
        <f>HYPERLINK("https://diaocthongthai.com/xa-thieu-hoa-thieu-hoa/","Xã Thiệu Hòa")</f>
        <v>Xã Thiệu Hòa</v>
      </c>
    </row>
    <row r="5037" spans="1:7" x14ac:dyDescent="0.25">
      <c r="A5037" s="2">
        <v>5036</v>
      </c>
      <c r="B5037" s="3" t="s">
        <v>28</v>
      </c>
      <c r="C5037" s="4" t="str">
        <f t="shared" si="408"/>
        <v>Thanh Hóa</v>
      </c>
      <c r="D5037" s="3" t="s">
        <v>348</v>
      </c>
      <c r="E5037" s="4" t="str">
        <f t="shared" si="409"/>
        <v>Huyện Thiệu Hóa</v>
      </c>
      <c r="F5037" s="3" t="s">
        <v>5800</v>
      </c>
      <c r="G5037" s="4" t="str">
        <f>HYPERLINK("https://diaocthongthai.com/xa-minh-tam-thieu-hoa/","Xã Minh Tâm")</f>
        <v>Xã Minh Tâm</v>
      </c>
    </row>
    <row r="5038" spans="1:7" x14ac:dyDescent="0.25">
      <c r="A5038" s="2">
        <v>5037</v>
      </c>
      <c r="B5038" s="3" t="s">
        <v>28</v>
      </c>
      <c r="C5038" s="4" t="str">
        <f t="shared" si="408"/>
        <v>Thanh Hóa</v>
      </c>
      <c r="D5038" s="3" t="s">
        <v>348</v>
      </c>
      <c r="E5038" s="4" t="str">
        <f t="shared" si="409"/>
        <v>Huyện Thiệu Hóa</v>
      </c>
      <c r="F5038" s="3" t="s">
        <v>5801</v>
      </c>
      <c r="G5038" s="4" t="str">
        <f>HYPERLINK("https://diaocthongthai.com/xa-thieu-vien-thieu-hoa/","Xã Thiệu Viên")</f>
        <v>Xã Thiệu Viên</v>
      </c>
    </row>
    <row r="5039" spans="1:7" x14ac:dyDescent="0.25">
      <c r="A5039" s="2">
        <v>5038</v>
      </c>
      <c r="B5039" s="3" t="s">
        <v>28</v>
      </c>
      <c r="C5039" s="4" t="str">
        <f t="shared" si="408"/>
        <v>Thanh Hóa</v>
      </c>
      <c r="D5039" s="3" t="s">
        <v>348</v>
      </c>
      <c r="E5039" s="4" t="str">
        <f t="shared" si="409"/>
        <v>Huyện Thiệu Hóa</v>
      </c>
      <c r="F5039" s="3" t="s">
        <v>5802</v>
      </c>
      <c r="G5039" s="4" t="str">
        <f>HYPERLINK("https://diaocthongthai.com/xa-thieu-ly-thieu-hoa/","Xã Thiệu Lý")</f>
        <v>Xã Thiệu Lý</v>
      </c>
    </row>
    <row r="5040" spans="1:7" x14ac:dyDescent="0.25">
      <c r="A5040" s="2">
        <v>5039</v>
      </c>
      <c r="B5040" s="3" t="s">
        <v>28</v>
      </c>
      <c r="C5040" s="4" t="str">
        <f t="shared" si="408"/>
        <v>Thanh Hóa</v>
      </c>
      <c r="D5040" s="3" t="s">
        <v>348</v>
      </c>
      <c r="E5040" s="4" t="str">
        <f t="shared" si="409"/>
        <v>Huyện Thiệu Hóa</v>
      </c>
      <c r="F5040" s="3" t="s">
        <v>5803</v>
      </c>
      <c r="G5040" s="4" t="str">
        <f>HYPERLINK("https://diaocthongthai.com/xa-thieu-van-thieu-hoa/","Xã Thiệu Vận")</f>
        <v>Xã Thiệu Vận</v>
      </c>
    </row>
    <row r="5041" spans="1:7" x14ac:dyDescent="0.25">
      <c r="A5041" s="2">
        <v>5040</v>
      </c>
      <c r="B5041" s="3" t="s">
        <v>28</v>
      </c>
      <c r="C5041" s="4" t="str">
        <f t="shared" si="408"/>
        <v>Thanh Hóa</v>
      </c>
      <c r="D5041" s="3" t="s">
        <v>348</v>
      </c>
      <c r="E5041" s="4" t="str">
        <f t="shared" si="409"/>
        <v>Huyện Thiệu Hóa</v>
      </c>
      <c r="F5041" s="3" t="s">
        <v>5804</v>
      </c>
      <c r="G5041" s="4" t="str">
        <f>HYPERLINK("https://diaocthongthai.com/xa-thieu-trung-thieu-hoa/","Xã Thiệu Trung")</f>
        <v>Xã Thiệu Trung</v>
      </c>
    </row>
    <row r="5042" spans="1:7" x14ac:dyDescent="0.25">
      <c r="A5042" s="2">
        <v>5041</v>
      </c>
      <c r="B5042" s="3" t="s">
        <v>28</v>
      </c>
      <c r="C5042" s="4" t="str">
        <f t="shared" si="408"/>
        <v>Thanh Hóa</v>
      </c>
      <c r="D5042" s="3" t="s">
        <v>348</v>
      </c>
      <c r="E5042" s="4" t="str">
        <f t="shared" si="409"/>
        <v>Huyện Thiệu Hóa</v>
      </c>
      <c r="F5042" s="3" t="s">
        <v>5805</v>
      </c>
      <c r="G5042" s="4" t="str">
        <f>HYPERLINK("https://diaocthongthai.com/xa-tan-chau-thieu-hoa/","Xã Tân Châu")</f>
        <v>Xã Tân Châu</v>
      </c>
    </row>
    <row r="5043" spans="1:7" x14ac:dyDescent="0.25">
      <c r="A5043" s="2">
        <v>5042</v>
      </c>
      <c r="B5043" s="3" t="s">
        <v>28</v>
      </c>
      <c r="C5043" s="4" t="str">
        <f t="shared" si="408"/>
        <v>Thanh Hóa</v>
      </c>
      <c r="D5043" s="3" t="s">
        <v>348</v>
      </c>
      <c r="E5043" s="4" t="str">
        <f t="shared" si="409"/>
        <v>Huyện Thiệu Hóa</v>
      </c>
      <c r="F5043" s="3" t="s">
        <v>5806</v>
      </c>
      <c r="G5043" s="4" t="str">
        <f>HYPERLINK("https://diaocthongthai.com/xa-thieu-giao-thieu-hoa/","Xã Thiệu Giao")</f>
        <v>Xã Thiệu Giao</v>
      </c>
    </row>
    <row r="5044" spans="1:7" x14ac:dyDescent="0.25">
      <c r="A5044" s="2">
        <v>5043</v>
      </c>
      <c r="B5044" s="3" t="s">
        <v>28</v>
      </c>
      <c r="C5044" s="4" t="str">
        <f t="shared" si="408"/>
        <v>Thanh Hóa</v>
      </c>
      <c r="D5044" s="3" t="s">
        <v>349</v>
      </c>
      <c r="E5044" s="4" t="str">
        <f t="shared" ref="E5044:E5080" si="410">HYPERLINK("https://diaocthongthai.com/ban-do-huyen-hoang-hoa-thanh-hoa/","Huyện Hoằng Hóa")</f>
        <v>Huyện Hoằng Hóa</v>
      </c>
      <c r="F5044" s="3" t="s">
        <v>5807</v>
      </c>
      <c r="G5044" s="4" t="str">
        <f>HYPERLINK("https://diaocthongthai.com/thi-tran-but-son-hoang-hoa/","Thị trấn Bút Sơn")</f>
        <v>Thị trấn Bút Sơn</v>
      </c>
    </row>
    <row r="5045" spans="1:7" x14ac:dyDescent="0.25">
      <c r="A5045" s="2">
        <v>5044</v>
      </c>
      <c r="B5045" s="3" t="s">
        <v>28</v>
      </c>
      <c r="C5045" s="4" t="str">
        <f t="shared" si="408"/>
        <v>Thanh Hóa</v>
      </c>
      <c r="D5045" s="3" t="s">
        <v>349</v>
      </c>
      <c r="E5045" s="4" t="str">
        <f t="shared" si="410"/>
        <v>Huyện Hoằng Hóa</v>
      </c>
      <c r="F5045" s="3" t="s">
        <v>5808</v>
      </c>
      <c r="G5045" s="4" t="str">
        <f>HYPERLINK("https://diaocthongthai.com/xa-hoang-giang-hoang-hoa/","Xã Hoằng Giang")</f>
        <v>Xã Hoằng Giang</v>
      </c>
    </row>
    <row r="5046" spans="1:7" x14ac:dyDescent="0.25">
      <c r="A5046" s="2">
        <v>5045</v>
      </c>
      <c r="B5046" s="3" t="s">
        <v>28</v>
      </c>
      <c r="C5046" s="4" t="str">
        <f t="shared" si="408"/>
        <v>Thanh Hóa</v>
      </c>
      <c r="D5046" s="3" t="s">
        <v>349</v>
      </c>
      <c r="E5046" s="4" t="str">
        <f t="shared" si="410"/>
        <v>Huyện Hoằng Hóa</v>
      </c>
      <c r="F5046" s="3" t="s">
        <v>5809</v>
      </c>
      <c r="G5046" s="4" t="str">
        <f>HYPERLINK("https://diaocthongthai.com/xa-hoang-xuan-hoang-hoa/","Xã Hoằng Xuân")</f>
        <v>Xã Hoằng Xuân</v>
      </c>
    </row>
    <row r="5047" spans="1:7" x14ac:dyDescent="0.25">
      <c r="A5047" s="2">
        <v>5046</v>
      </c>
      <c r="B5047" s="3" t="s">
        <v>28</v>
      </c>
      <c r="C5047" s="4" t="str">
        <f t="shared" si="408"/>
        <v>Thanh Hóa</v>
      </c>
      <c r="D5047" s="3" t="s">
        <v>349</v>
      </c>
      <c r="E5047" s="4" t="str">
        <f t="shared" si="410"/>
        <v>Huyện Hoằng Hóa</v>
      </c>
      <c r="F5047" s="3" t="s">
        <v>5810</v>
      </c>
      <c r="G5047" s="4" t="str">
        <f>HYPERLINK("https://diaocthongthai.com/xa-hoang-phuong-hoang-hoa/","Xã Hoằng Phượng")</f>
        <v>Xã Hoằng Phượng</v>
      </c>
    </row>
    <row r="5048" spans="1:7" x14ac:dyDescent="0.25">
      <c r="A5048" s="2">
        <v>5047</v>
      </c>
      <c r="B5048" s="3" t="s">
        <v>28</v>
      </c>
      <c r="C5048" s="4" t="str">
        <f t="shared" si="408"/>
        <v>Thanh Hóa</v>
      </c>
      <c r="D5048" s="3" t="s">
        <v>349</v>
      </c>
      <c r="E5048" s="4" t="str">
        <f t="shared" si="410"/>
        <v>Huyện Hoằng Hóa</v>
      </c>
      <c r="F5048" s="3" t="s">
        <v>5811</v>
      </c>
      <c r="G5048" s="4" t="str">
        <f>HYPERLINK("https://diaocthongthai.com/xa-hoang-phu-1-hoang-hoa/","Xã Hoằng Phú")</f>
        <v>Xã Hoằng Phú</v>
      </c>
    </row>
    <row r="5049" spans="1:7" x14ac:dyDescent="0.25">
      <c r="A5049" s="2">
        <v>5048</v>
      </c>
      <c r="B5049" s="3" t="s">
        <v>28</v>
      </c>
      <c r="C5049" s="4" t="str">
        <f t="shared" si="408"/>
        <v>Thanh Hóa</v>
      </c>
      <c r="D5049" s="3" t="s">
        <v>349</v>
      </c>
      <c r="E5049" s="4" t="str">
        <f t="shared" si="410"/>
        <v>Huyện Hoằng Hóa</v>
      </c>
      <c r="F5049" s="3" t="s">
        <v>5812</v>
      </c>
      <c r="G5049" s="4" t="str">
        <f>HYPERLINK("https://diaocthongthai.com/xa-hoang-quy-1-hoang-hoa/","Xã Hoằng Quỳ")</f>
        <v>Xã Hoằng Quỳ</v>
      </c>
    </row>
    <row r="5050" spans="1:7" x14ac:dyDescent="0.25">
      <c r="A5050" s="2">
        <v>5049</v>
      </c>
      <c r="B5050" s="3" t="s">
        <v>28</v>
      </c>
      <c r="C5050" s="4" t="str">
        <f t="shared" si="408"/>
        <v>Thanh Hóa</v>
      </c>
      <c r="D5050" s="3" t="s">
        <v>349</v>
      </c>
      <c r="E5050" s="4" t="str">
        <f t="shared" si="410"/>
        <v>Huyện Hoằng Hóa</v>
      </c>
      <c r="F5050" s="3" t="s">
        <v>5813</v>
      </c>
      <c r="G5050" s="4" t="str">
        <f>HYPERLINK("https://diaocthongthai.com/xa-hoang-kim-hoang-hoa/","Xã Hoằng Kim")</f>
        <v>Xã Hoằng Kim</v>
      </c>
    </row>
    <row r="5051" spans="1:7" x14ac:dyDescent="0.25">
      <c r="A5051" s="2">
        <v>5050</v>
      </c>
      <c r="B5051" s="3" t="s">
        <v>28</v>
      </c>
      <c r="C5051" s="4" t="str">
        <f t="shared" si="408"/>
        <v>Thanh Hóa</v>
      </c>
      <c r="D5051" s="3" t="s">
        <v>349</v>
      </c>
      <c r="E5051" s="4" t="str">
        <f t="shared" si="410"/>
        <v>Huyện Hoằng Hóa</v>
      </c>
      <c r="F5051" s="3" t="s">
        <v>5814</v>
      </c>
      <c r="G5051" s="4" t="str">
        <f>HYPERLINK("https://diaocthongthai.com/xa-hoang-trung-hoang-hoa/","Xã Hoằng Trung")</f>
        <v>Xã Hoằng Trung</v>
      </c>
    </row>
    <row r="5052" spans="1:7" x14ac:dyDescent="0.25">
      <c r="A5052" s="2">
        <v>5051</v>
      </c>
      <c r="B5052" s="3" t="s">
        <v>28</v>
      </c>
      <c r="C5052" s="4" t="str">
        <f t="shared" si="408"/>
        <v>Thanh Hóa</v>
      </c>
      <c r="D5052" s="3" t="s">
        <v>349</v>
      </c>
      <c r="E5052" s="4" t="str">
        <f t="shared" si="410"/>
        <v>Huyện Hoằng Hóa</v>
      </c>
      <c r="F5052" s="3" t="s">
        <v>5815</v>
      </c>
      <c r="G5052" s="4" t="str">
        <f>HYPERLINK("https://diaocthongthai.com/xa-hoang-trinh-hoang-hoa/","Xã Hoằng Trinh")</f>
        <v>Xã Hoằng Trinh</v>
      </c>
    </row>
    <row r="5053" spans="1:7" x14ac:dyDescent="0.25">
      <c r="A5053" s="2">
        <v>5052</v>
      </c>
      <c r="B5053" s="3" t="s">
        <v>28</v>
      </c>
      <c r="C5053" s="4" t="str">
        <f t="shared" si="408"/>
        <v>Thanh Hóa</v>
      </c>
      <c r="D5053" s="3" t="s">
        <v>349</v>
      </c>
      <c r="E5053" s="4" t="str">
        <f t="shared" si="410"/>
        <v>Huyện Hoằng Hóa</v>
      </c>
      <c r="F5053" s="3" t="s">
        <v>5816</v>
      </c>
      <c r="G5053" s="4" t="str">
        <f>HYPERLINK("https://diaocthongthai.com/xa-hoang-son-hoang-hoa/","Xã Hoằng Sơn")</f>
        <v>Xã Hoằng Sơn</v>
      </c>
    </row>
    <row r="5054" spans="1:7" x14ac:dyDescent="0.25">
      <c r="A5054" s="2">
        <v>5053</v>
      </c>
      <c r="B5054" s="3" t="s">
        <v>28</v>
      </c>
      <c r="C5054" s="4" t="str">
        <f t="shared" si="408"/>
        <v>Thanh Hóa</v>
      </c>
      <c r="D5054" s="3" t="s">
        <v>349</v>
      </c>
      <c r="E5054" s="4" t="str">
        <f t="shared" si="410"/>
        <v>Huyện Hoằng Hóa</v>
      </c>
      <c r="F5054" s="3" t="s">
        <v>5817</v>
      </c>
      <c r="G5054" s="4" t="str">
        <f>HYPERLINK("https://diaocthongthai.com/xa-hoang-cat-hoang-hoa/","Xã Hoằng Cát")</f>
        <v>Xã Hoằng Cát</v>
      </c>
    </row>
    <row r="5055" spans="1:7" x14ac:dyDescent="0.25">
      <c r="A5055" s="2">
        <v>5054</v>
      </c>
      <c r="B5055" s="3" t="s">
        <v>28</v>
      </c>
      <c r="C5055" s="4" t="str">
        <f t="shared" si="408"/>
        <v>Thanh Hóa</v>
      </c>
      <c r="D5055" s="3" t="s">
        <v>349</v>
      </c>
      <c r="E5055" s="4" t="str">
        <f t="shared" si="410"/>
        <v>Huyện Hoằng Hóa</v>
      </c>
      <c r="F5055" s="3" t="s">
        <v>5818</v>
      </c>
      <c r="G5055" s="4" t="str">
        <f>HYPERLINK("https://diaocthongthai.com/xa-hoang-xuyen-hoang-hoa/","Xã Hoằng Xuyên")</f>
        <v>Xã Hoằng Xuyên</v>
      </c>
    </row>
    <row r="5056" spans="1:7" x14ac:dyDescent="0.25">
      <c r="A5056" s="2">
        <v>5055</v>
      </c>
      <c r="B5056" s="3" t="s">
        <v>28</v>
      </c>
      <c r="C5056" s="4" t="str">
        <f t="shared" si="408"/>
        <v>Thanh Hóa</v>
      </c>
      <c r="D5056" s="3" t="s">
        <v>349</v>
      </c>
      <c r="E5056" s="4" t="str">
        <f t="shared" si="410"/>
        <v>Huyện Hoằng Hóa</v>
      </c>
      <c r="F5056" s="3" t="s">
        <v>5819</v>
      </c>
      <c r="G5056" s="4" t="str">
        <f>HYPERLINK("https://diaocthongthai.com/xa-hoang-quy-2-hoang-hoa/","Xã Hoằng Quý")</f>
        <v>Xã Hoằng Quý</v>
      </c>
    </row>
    <row r="5057" spans="1:7" x14ac:dyDescent="0.25">
      <c r="A5057" s="2">
        <v>5056</v>
      </c>
      <c r="B5057" s="3" t="s">
        <v>28</v>
      </c>
      <c r="C5057" s="4" t="str">
        <f t="shared" si="408"/>
        <v>Thanh Hóa</v>
      </c>
      <c r="D5057" s="3" t="s">
        <v>349</v>
      </c>
      <c r="E5057" s="4" t="str">
        <f t="shared" si="410"/>
        <v>Huyện Hoằng Hóa</v>
      </c>
      <c r="F5057" s="3" t="s">
        <v>5820</v>
      </c>
      <c r="G5057" s="4" t="str">
        <f>HYPERLINK("https://diaocthongthai.com/xa-hoang-hop-hoang-hoa/","Xã Hoằng Hợp")</f>
        <v>Xã Hoằng Hợp</v>
      </c>
    </row>
    <row r="5058" spans="1:7" x14ac:dyDescent="0.25">
      <c r="A5058" s="2">
        <v>5057</v>
      </c>
      <c r="B5058" s="3" t="s">
        <v>28</v>
      </c>
      <c r="C5058" s="4" t="str">
        <f t="shared" si="408"/>
        <v>Thanh Hóa</v>
      </c>
      <c r="D5058" s="3" t="s">
        <v>349</v>
      </c>
      <c r="E5058" s="4" t="str">
        <f t="shared" si="410"/>
        <v>Huyện Hoằng Hóa</v>
      </c>
      <c r="F5058" s="3" t="s">
        <v>5821</v>
      </c>
      <c r="G5058" s="4" t="str">
        <f>HYPERLINK("https://diaocthongthai.com/xa-hoang-duc-hoang-hoa/","Xã Hoằng Đức")</f>
        <v>Xã Hoằng Đức</v>
      </c>
    </row>
    <row r="5059" spans="1:7" x14ac:dyDescent="0.25">
      <c r="A5059" s="2">
        <v>5058</v>
      </c>
      <c r="B5059" s="3" t="s">
        <v>28</v>
      </c>
      <c r="C5059" s="4" t="str">
        <f t="shared" si="408"/>
        <v>Thanh Hóa</v>
      </c>
      <c r="D5059" s="3" t="s">
        <v>349</v>
      </c>
      <c r="E5059" s="4" t="str">
        <f t="shared" si="410"/>
        <v>Huyện Hoằng Hóa</v>
      </c>
      <c r="F5059" s="3" t="s">
        <v>5822</v>
      </c>
      <c r="G5059" s="4" t="str">
        <f>HYPERLINK("https://diaocthongthai.com/xa-hoang-ha-hoang-hoa/","Xã Hoằng Hà")</f>
        <v>Xã Hoằng Hà</v>
      </c>
    </row>
    <row r="5060" spans="1:7" x14ac:dyDescent="0.25">
      <c r="A5060" s="2">
        <v>5059</v>
      </c>
      <c r="B5060" s="3" t="s">
        <v>28</v>
      </c>
      <c r="C5060" s="4" t="str">
        <f t="shared" si="408"/>
        <v>Thanh Hóa</v>
      </c>
      <c r="D5060" s="3" t="s">
        <v>349</v>
      </c>
      <c r="E5060" s="4" t="str">
        <f t="shared" si="410"/>
        <v>Huyện Hoằng Hóa</v>
      </c>
      <c r="F5060" s="3" t="s">
        <v>5823</v>
      </c>
      <c r="G5060" s="4" t="str">
        <f>HYPERLINK("https://diaocthongthai.com/xa-hoang-dat-hoang-hoa/","Xã Hoằng Đạt")</f>
        <v>Xã Hoằng Đạt</v>
      </c>
    </row>
    <row r="5061" spans="1:7" x14ac:dyDescent="0.25">
      <c r="A5061" s="2">
        <v>5060</v>
      </c>
      <c r="B5061" s="3" t="s">
        <v>28</v>
      </c>
      <c r="C5061" s="4" t="str">
        <f t="shared" si="408"/>
        <v>Thanh Hóa</v>
      </c>
      <c r="D5061" s="3" t="s">
        <v>349</v>
      </c>
      <c r="E5061" s="4" t="str">
        <f t="shared" si="410"/>
        <v>Huyện Hoằng Hóa</v>
      </c>
      <c r="F5061" s="3" t="s">
        <v>5824</v>
      </c>
      <c r="G5061" s="4" t="str">
        <f>HYPERLINK("https://diaocthongthai.com/xa-hoang-dao-hoang-hoa/","Xã Hoằng Đạo")</f>
        <v>Xã Hoằng Đạo</v>
      </c>
    </row>
    <row r="5062" spans="1:7" x14ac:dyDescent="0.25">
      <c r="A5062" s="2">
        <v>5061</v>
      </c>
      <c r="B5062" s="3" t="s">
        <v>28</v>
      </c>
      <c r="C5062" s="4" t="str">
        <f t="shared" si="408"/>
        <v>Thanh Hóa</v>
      </c>
      <c r="D5062" s="3" t="s">
        <v>349</v>
      </c>
      <c r="E5062" s="4" t="str">
        <f t="shared" si="410"/>
        <v>Huyện Hoằng Hóa</v>
      </c>
      <c r="F5062" s="3" t="s">
        <v>5825</v>
      </c>
      <c r="G5062" s="4" t="str">
        <f>HYPERLINK("https://diaocthongthai.com/xa-hoang-thang-hoang-hoa/","Xã Hoằng Thắng")</f>
        <v>Xã Hoằng Thắng</v>
      </c>
    </row>
    <row r="5063" spans="1:7" x14ac:dyDescent="0.25">
      <c r="A5063" s="2">
        <v>5062</v>
      </c>
      <c r="B5063" s="3" t="s">
        <v>28</v>
      </c>
      <c r="C5063" s="4" t="str">
        <f t="shared" si="408"/>
        <v>Thanh Hóa</v>
      </c>
      <c r="D5063" s="3" t="s">
        <v>349</v>
      </c>
      <c r="E5063" s="4" t="str">
        <f t="shared" si="410"/>
        <v>Huyện Hoằng Hóa</v>
      </c>
      <c r="F5063" s="3" t="s">
        <v>5826</v>
      </c>
      <c r="G5063" s="4" t="str">
        <f>HYPERLINK("https://diaocthongthai.com/xa-hoang-dong-2-hoang-hoa/","Xã Hoằng Đồng")</f>
        <v>Xã Hoằng Đồng</v>
      </c>
    </row>
    <row r="5064" spans="1:7" x14ac:dyDescent="0.25">
      <c r="A5064" s="2">
        <v>5063</v>
      </c>
      <c r="B5064" s="3" t="s">
        <v>28</v>
      </c>
      <c r="C5064" s="4" t="str">
        <f t="shared" si="408"/>
        <v>Thanh Hóa</v>
      </c>
      <c r="D5064" s="3" t="s">
        <v>349</v>
      </c>
      <c r="E5064" s="4" t="str">
        <f t="shared" si="410"/>
        <v>Huyện Hoằng Hóa</v>
      </c>
      <c r="F5064" s="3" t="s">
        <v>5827</v>
      </c>
      <c r="G5064" s="4" t="str">
        <f>HYPERLINK("https://diaocthongthai.com/xa-hoang-thai-hoang-hoa/","Xã Hoằng Thái")</f>
        <v>Xã Hoằng Thái</v>
      </c>
    </row>
    <row r="5065" spans="1:7" x14ac:dyDescent="0.25">
      <c r="A5065" s="2">
        <v>5064</v>
      </c>
      <c r="B5065" s="3" t="s">
        <v>28</v>
      </c>
      <c r="C5065" s="4" t="str">
        <f t="shared" si="408"/>
        <v>Thanh Hóa</v>
      </c>
      <c r="D5065" s="3" t="s">
        <v>349</v>
      </c>
      <c r="E5065" s="4" t="str">
        <f t="shared" si="410"/>
        <v>Huyện Hoằng Hóa</v>
      </c>
      <c r="F5065" s="3" t="s">
        <v>5828</v>
      </c>
      <c r="G5065" s="4" t="str">
        <f>HYPERLINK("https://diaocthongthai.com/xa-hoang-thinh-hoang-hoa/","Xã Hoằng Thịnh")</f>
        <v>Xã Hoằng Thịnh</v>
      </c>
    </row>
    <row r="5066" spans="1:7" x14ac:dyDescent="0.25">
      <c r="A5066" s="2">
        <v>5065</v>
      </c>
      <c r="B5066" s="3" t="s">
        <v>28</v>
      </c>
      <c r="C5066" s="4" t="str">
        <f t="shared" si="408"/>
        <v>Thanh Hóa</v>
      </c>
      <c r="D5066" s="3" t="s">
        <v>349</v>
      </c>
      <c r="E5066" s="4" t="str">
        <f t="shared" si="410"/>
        <v>Huyện Hoằng Hóa</v>
      </c>
      <c r="F5066" s="3" t="s">
        <v>5829</v>
      </c>
      <c r="G5066" s="4" t="str">
        <f>HYPERLINK("https://diaocthongthai.com/xa-hoang-thanh-2-hoang-hoa/","Xã Hoằng Thành")</f>
        <v>Xã Hoằng Thành</v>
      </c>
    </row>
    <row r="5067" spans="1:7" x14ac:dyDescent="0.25">
      <c r="A5067" s="2">
        <v>5066</v>
      </c>
      <c r="B5067" s="3" t="s">
        <v>28</v>
      </c>
      <c r="C5067" s="4" t="str">
        <f t="shared" si="408"/>
        <v>Thanh Hóa</v>
      </c>
      <c r="D5067" s="3" t="s">
        <v>349</v>
      </c>
      <c r="E5067" s="4" t="str">
        <f t="shared" si="410"/>
        <v>Huyện Hoằng Hóa</v>
      </c>
      <c r="F5067" s="3" t="s">
        <v>5830</v>
      </c>
      <c r="G5067" s="4" t="str">
        <f>HYPERLINK("https://diaocthongthai.com/xa-hoang-loc-hoang-hoa/","Xã Hoằng Lộc")</f>
        <v>Xã Hoằng Lộc</v>
      </c>
    </row>
    <row r="5068" spans="1:7" x14ac:dyDescent="0.25">
      <c r="A5068" s="2">
        <v>5067</v>
      </c>
      <c r="B5068" s="3" t="s">
        <v>28</v>
      </c>
      <c r="C5068" s="4" t="str">
        <f t="shared" si="408"/>
        <v>Thanh Hóa</v>
      </c>
      <c r="D5068" s="3" t="s">
        <v>349</v>
      </c>
      <c r="E5068" s="4" t="str">
        <f t="shared" si="410"/>
        <v>Huyện Hoằng Hóa</v>
      </c>
      <c r="F5068" s="3" t="s">
        <v>5831</v>
      </c>
      <c r="G5068" s="4" t="str">
        <f>HYPERLINK("https://diaocthongthai.com/xa-hoang-trach-hoang-hoa/","Xã Hoằng Trạch")</f>
        <v>Xã Hoằng Trạch</v>
      </c>
    </row>
    <row r="5069" spans="1:7" x14ac:dyDescent="0.25">
      <c r="A5069" s="2">
        <v>5068</v>
      </c>
      <c r="B5069" s="3" t="s">
        <v>28</v>
      </c>
      <c r="C5069" s="4" t="str">
        <f t="shared" si="408"/>
        <v>Thanh Hóa</v>
      </c>
      <c r="D5069" s="3" t="s">
        <v>349</v>
      </c>
      <c r="E5069" s="4" t="str">
        <f t="shared" si="410"/>
        <v>Huyện Hoằng Hóa</v>
      </c>
      <c r="F5069" s="3" t="s">
        <v>5832</v>
      </c>
      <c r="G5069" s="4" t="str">
        <f>HYPERLINK("https://diaocthongthai.com/xa-hoang-phong-hoang-hoa/","Xã Hoằng Phong")</f>
        <v>Xã Hoằng Phong</v>
      </c>
    </row>
    <row r="5070" spans="1:7" x14ac:dyDescent="0.25">
      <c r="A5070" s="2">
        <v>5069</v>
      </c>
      <c r="B5070" s="3" t="s">
        <v>28</v>
      </c>
      <c r="C5070" s="4" t="str">
        <f t="shared" si="408"/>
        <v>Thanh Hóa</v>
      </c>
      <c r="D5070" s="3" t="s">
        <v>349</v>
      </c>
      <c r="E5070" s="4" t="str">
        <f t="shared" si="410"/>
        <v>Huyện Hoằng Hóa</v>
      </c>
      <c r="F5070" s="3" t="s">
        <v>5833</v>
      </c>
      <c r="G5070" s="4" t="str">
        <f>HYPERLINK("https://diaocthongthai.com/xa-hoang-luu-hoang-hoa/","Xã Hoằng Lưu")</f>
        <v>Xã Hoằng Lưu</v>
      </c>
    </row>
    <row r="5071" spans="1:7" x14ac:dyDescent="0.25">
      <c r="A5071" s="2">
        <v>5070</v>
      </c>
      <c r="B5071" s="3" t="s">
        <v>28</v>
      </c>
      <c r="C5071" s="4" t="str">
        <f t="shared" si="408"/>
        <v>Thanh Hóa</v>
      </c>
      <c r="D5071" s="3" t="s">
        <v>349</v>
      </c>
      <c r="E5071" s="4" t="str">
        <f t="shared" si="410"/>
        <v>Huyện Hoằng Hóa</v>
      </c>
      <c r="F5071" s="3" t="s">
        <v>5834</v>
      </c>
      <c r="G5071" s="4" t="str">
        <f>HYPERLINK("https://diaocthongthai.com/xa-hoang-chau-hoang-hoa/","Xã Hoằng Châu")</f>
        <v>Xã Hoằng Châu</v>
      </c>
    </row>
    <row r="5072" spans="1:7" x14ac:dyDescent="0.25">
      <c r="A5072" s="2">
        <v>5071</v>
      </c>
      <c r="B5072" s="3" t="s">
        <v>28</v>
      </c>
      <c r="C5072" s="4" t="str">
        <f t="shared" si="408"/>
        <v>Thanh Hóa</v>
      </c>
      <c r="D5072" s="3" t="s">
        <v>349</v>
      </c>
      <c r="E5072" s="4" t="str">
        <f t="shared" si="410"/>
        <v>Huyện Hoằng Hóa</v>
      </c>
      <c r="F5072" s="3" t="s">
        <v>5835</v>
      </c>
      <c r="G5072" s="4" t="str">
        <f>HYPERLINK("https://diaocthongthai.com/xa-hoang-tan-hoang-hoa/","Xã Hoằng Tân")</f>
        <v>Xã Hoằng Tân</v>
      </c>
    </row>
    <row r="5073" spans="1:7" x14ac:dyDescent="0.25">
      <c r="A5073" s="2">
        <v>5072</v>
      </c>
      <c r="B5073" s="3" t="s">
        <v>28</v>
      </c>
      <c r="C5073" s="4" t="str">
        <f t="shared" si="408"/>
        <v>Thanh Hóa</v>
      </c>
      <c r="D5073" s="3" t="s">
        <v>349</v>
      </c>
      <c r="E5073" s="4" t="str">
        <f t="shared" si="410"/>
        <v>Huyện Hoằng Hóa</v>
      </c>
      <c r="F5073" s="3" t="s">
        <v>5836</v>
      </c>
      <c r="G5073" s="4" t="str">
        <f>HYPERLINK("https://diaocthongthai.com/xa-hoang-yen-hoang-hoa/","Xã Hoằng Yến")</f>
        <v>Xã Hoằng Yến</v>
      </c>
    </row>
    <row r="5074" spans="1:7" x14ac:dyDescent="0.25">
      <c r="A5074" s="2">
        <v>5073</v>
      </c>
      <c r="B5074" s="3" t="s">
        <v>28</v>
      </c>
      <c r="C5074" s="4" t="str">
        <f t="shared" si="408"/>
        <v>Thanh Hóa</v>
      </c>
      <c r="D5074" s="3" t="s">
        <v>349</v>
      </c>
      <c r="E5074" s="4" t="str">
        <f t="shared" si="410"/>
        <v>Huyện Hoằng Hóa</v>
      </c>
      <c r="F5074" s="3" t="s">
        <v>5837</v>
      </c>
      <c r="G5074" s="4" t="str">
        <f>HYPERLINK("https://diaocthongthai.com/xa-hoang-tien-hoang-hoa/","Xã Hoằng Tiến")</f>
        <v>Xã Hoằng Tiến</v>
      </c>
    </row>
    <row r="5075" spans="1:7" x14ac:dyDescent="0.25">
      <c r="A5075" s="2">
        <v>5074</v>
      </c>
      <c r="B5075" s="3" t="s">
        <v>28</v>
      </c>
      <c r="C5075" s="4" t="str">
        <f t="shared" si="408"/>
        <v>Thanh Hóa</v>
      </c>
      <c r="D5075" s="3" t="s">
        <v>349</v>
      </c>
      <c r="E5075" s="4" t="str">
        <f t="shared" si="410"/>
        <v>Huyện Hoằng Hóa</v>
      </c>
      <c r="F5075" s="3" t="s">
        <v>5838</v>
      </c>
      <c r="G5075" s="4" t="str">
        <f>HYPERLINK("https://diaocthongthai.com/xa-hoang-hai-hoang-hoa/","Xã Hoằng Hải")</f>
        <v>Xã Hoằng Hải</v>
      </c>
    </row>
    <row r="5076" spans="1:7" x14ac:dyDescent="0.25">
      <c r="A5076" s="2">
        <v>5075</v>
      </c>
      <c r="B5076" s="3" t="s">
        <v>28</v>
      </c>
      <c r="C5076" s="4" t="str">
        <f t="shared" si="408"/>
        <v>Thanh Hóa</v>
      </c>
      <c r="D5076" s="3" t="s">
        <v>349</v>
      </c>
      <c r="E5076" s="4" t="str">
        <f t="shared" si="410"/>
        <v>Huyện Hoằng Hóa</v>
      </c>
      <c r="F5076" s="3" t="s">
        <v>5839</v>
      </c>
      <c r="G5076" s="4" t="str">
        <f>HYPERLINK("https://diaocthongthai.com/xa-hoang-ngoc-hoang-hoa/","Xã Hoằng Ngọc")</f>
        <v>Xã Hoằng Ngọc</v>
      </c>
    </row>
    <row r="5077" spans="1:7" x14ac:dyDescent="0.25">
      <c r="A5077" s="2">
        <v>5076</v>
      </c>
      <c r="B5077" s="3" t="s">
        <v>28</v>
      </c>
      <c r="C5077" s="4" t="str">
        <f t="shared" si="408"/>
        <v>Thanh Hóa</v>
      </c>
      <c r="D5077" s="3" t="s">
        <v>349</v>
      </c>
      <c r="E5077" s="4" t="str">
        <f t="shared" si="410"/>
        <v>Huyện Hoằng Hóa</v>
      </c>
      <c r="F5077" s="3" t="s">
        <v>5840</v>
      </c>
      <c r="G5077" s="4" t="str">
        <f>HYPERLINK("https://diaocthongthai.com/xa-hoang-dong-1-hoang-hoa/","Xã Hoằng Đông")</f>
        <v>Xã Hoằng Đông</v>
      </c>
    </row>
    <row r="5078" spans="1:7" x14ac:dyDescent="0.25">
      <c r="A5078" s="2">
        <v>5077</v>
      </c>
      <c r="B5078" s="3" t="s">
        <v>28</v>
      </c>
      <c r="C5078" s="4" t="str">
        <f t="shared" si="408"/>
        <v>Thanh Hóa</v>
      </c>
      <c r="D5078" s="3" t="s">
        <v>349</v>
      </c>
      <c r="E5078" s="4" t="str">
        <f t="shared" si="410"/>
        <v>Huyện Hoằng Hóa</v>
      </c>
      <c r="F5078" s="3" t="s">
        <v>5841</v>
      </c>
      <c r="G5078" s="4" t="str">
        <f>HYPERLINK("https://diaocthongthai.com/xa-hoang-thanh-1-hoang-hoa/","Xã Hoằng Thanh")</f>
        <v>Xã Hoằng Thanh</v>
      </c>
    </row>
    <row r="5079" spans="1:7" x14ac:dyDescent="0.25">
      <c r="A5079" s="2">
        <v>5078</v>
      </c>
      <c r="B5079" s="3" t="s">
        <v>28</v>
      </c>
      <c r="C5079" s="4" t="str">
        <f t="shared" si="408"/>
        <v>Thanh Hóa</v>
      </c>
      <c r="D5079" s="3" t="s">
        <v>349</v>
      </c>
      <c r="E5079" s="4" t="str">
        <f t="shared" si="410"/>
        <v>Huyện Hoằng Hóa</v>
      </c>
      <c r="F5079" s="3" t="s">
        <v>5842</v>
      </c>
      <c r="G5079" s="4" t="str">
        <f>HYPERLINK("https://diaocthongthai.com/xa-hoang-phu-2-hoang-hoa/","Xã Hoằng Phụ")</f>
        <v>Xã Hoằng Phụ</v>
      </c>
    </row>
    <row r="5080" spans="1:7" x14ac:dyDescent="0.25">
      <c r="A5080" s="2">
        <v>5079</v>
      </c>
      <c r="B5080" s="3" t="s">
        <v>28</v>
      </c>
      <c r="C5080" s="4" t="str">
        <f t="shared" si="408"/>
        <v>Thanh Hóa</v>
      </c>
      <c r="D5080" s="3" t="s">
        <v>349</v>
      </c>
      <c r="E5080" s="4" t="str">
        <f t="shared" si="410"/>
        <v>Huyện Hoằng Hóa</v>
      </c>
      <c r="F5080" s="3" t="s">
        <v>5843</v>
      </c>
      <c r="G5080" s="4" t="str">
        <f>HYPERLINK("https://diaocthongthai.com/xa-hoang-truong-hoang-hoa/","Xã Hoằng Trường")</f>
        <v>Xã Hoằng Trường</v>
      </c>
    </row>
    <row r="5081" spans="1:7" x14ac:dyDescent="0.25">
      <c r="A5081" s="2">
        <v>5080</v>
      </c>
      <c r="B5081" s="3" t="s">
        <v>28</v>
      </c>
      <c r="C5081" s="4" t="str">
        <f t="shared" si="408"/>
        <v>Thanh Hóa</v>
      </c>
      <c r="D5081" s="3" t="s">
        <v>350</v>
      </c>
      <c r="E5081" s="4" t="str">
        <f t="shared" ref="E5081:E5103" si="411">HYPERLINK("https://diaocthongthai.com/ban-do-huyen-hau-loc-thanh-hoa/","Huyện Hậu Lộc")</f>
        <v>Huyện Hậu Lộc</v>
      </c>
      <c r="F5081" s="3" t="s">
        <v>5844</v>
      </c>
      <c r="G5081" s="4" t="str">
        <f>HYPERLINK("https://diaocthongthai.com/thi-tran-hau-loc-hau-loc/","Thị trấn Hậu Lộc")</f>
        <v>Thị trấn Hậu Lộc</v>
      </c>
    </row>
    <row r="5082" spans="1:7" x14ac:dyDescent="0.25">
      <c r="A5082" s="2">
        <v>5081</v>
      </c>
      <c r="B5082" s="3" t="s">
        <v>28</v>
      </c>
      <c r="C5082" s="4" t="str">
        <f t="shared" si="408"/>
        <v>Thanh Hóa</v>
      </c>
      <c r="D5082" s="3" t="s">
        <v>350</v>
      </c>
      <c r="E5082" s="4" t="str">
        <f t="shared" si="411"/>
        <v>Huyện Hậu Lộc</v>
      </c>
      <c r="F5082" s="3" t="s">
        <v>5845</v>
      </c>
      <c r="G5082" s="4" t="str">
        <f>HYPERLINK("https://diaocthongthai.com/xa-dong-loc-hau-loc/","Xã Đồng Lộc")</f>
        <v>Xã Đồng Lộc</v>
      </c>
    </row>
    <row r="5083" spans="1:7" x14ac:dyDescent="0.25">
      <c r="A5083" s="2">
        <v>5082</v>
      </c>
      <c r="B5083" s="3" t="s">
        <v>28</v>
      </c>
      <c r="C5083" s="4" t="str">
        <f t="shared" ref="C5083:C5146" si="412">HYPERLINK("https://diaocthongthai.com/ban-do-thanh-hoa/","Thanh Hóa")</f>
        <v>Thanh Hóa</v>
      </c>
      <c r="D5083" s="3" t="s">
        <v>350</v>
      </c>
      <c r="E5083" s="4" t="str">
        <f t="shared" si="411"/>
        <v>Huyện Hậu Lộc</v>
      </c>
      <c r="F5083" s="3" t="s">
        <v>5846</v>
      </c>
      <c r="G5083" s="4" t="str">
        <f>HYPERLINK("https://diaocthongthai.com/xa-dai-loc-hau-loc/","Xã Đại Lộc")</f>
        <v>Xã Đại Lộc</v>
      </c>
    </row>
    <row r="5084" spans="1:7" x14ac:dyDescent="0.25">
      <c r="A5084" s="2">
        <v>5083</v>
      </c>
      <c r="B5084" s="3" t="s">
        <v>28</v>
      </c>
      <c r="C5084" s="4" t="str">
        <f t="shared" si="412"/>
        <v>Thanh Hóa</v>
      </c>
      <c r="D5084" s="3" t="s">
        <v>350</v>
      </c>
      <c r="E5084" s="4" t="str">
        <f t="shared" si="411"/>
        <v>Huyện Hậu Lộc</v>
      </c>
      <c r="F5084" s="3" t="s">
        <v>5847</v>
      </c>
      <c r="G5084" s="4" t="str">
        <f>HYPERLINK("https://diaocthongthai.com/xa-trieu-loc-hau-loc/","Xã Triệu Lộc")</f>
        <v>Xã Triệu Lộc</v>
      </c>
    </row>
    <row r="5085" spans="1:7" x14ac:dyDescent="0.25">
      <c r="A5085" s="2">
        <v>5084</v>
      </c>
      <c r="B5085" s="3" t="s">
        <v>28</v>
      </c>
      <c r="C5085" s="4" t="str">
        <f t="shared" si="412"/>
        <v>Thanh Hóa</v>
      </c>
      <c r="D5085" s="3" t="s">
        <v>350</v>
      </c>
      <c r="E5085" s="4" t="str">
        <f t="shared" si="411"/>
        <v>Huyện Hậu Lộc</v>
      </c>
      <c r="F5085" s="3" t="s">
        <v>5848</v>
      </c>
      <c r="G5085" s="4" t="str">
        <f>HYPERLINK("https://diaocthongthai.com/xa-tien-loc-hau-loc/","Xã Tiến Lộc")</f>
        <v>Xã Tiến Lộc</v>
      </c>
    </row>
    <row r="5086" spans="1:7" x14ac:dyDescent="0.25">
      <c r="A5086" s="2">
        <v>5085</v>
      </c>
      <c r="B5086" s="3" t="s">
        <v>28</v>
      </c>
      <c r="C5086" s="4" t="str">
        <f t="shared" si="412"/>
        <v>Thanh Hóa</v>
      </c>
      <c r="D5086" s="3" t="s">
        <v>350</v>
      </c>
      <c r="E5086" s="4" t="str">
        <f t="shared" si="411"/>
        <v>Huyện Hậu Lộc</v>
      </c>
      <c r="F5086" s="3" t="s">
        <v>5849</v>
      </c>
      <c r="G5086" s="4" t="str">
        <f>HYPERLINK("https://diaocthongthai.com/xa-loc-son-hau-loc/","Xã Lộc Sơn")</f>
        <v>Xã Lộc Sơn</v>
      </c>
    </row>
    <row r="5087" spans="1:7" x14ac:dyDescent="0.25">
      <c r="A5087" s="2">
        <v>5086</v>
      </c>
      <c r="B5087" s="3" t="s">
        <v>28</v>
      </c>
      <c r="C5087" s="4" t="str">
        <f t="shared" si="412"/>
        <v>Thanh Hóa</v>
      </c>
      <c r="D5087" s="3" t="s">
        <v>350</v>
      </c>
      <c r="E5087" s="4" t="str">
        <f t="shared" si="411"/>
        <v>Huyện Hậu Lộc</v>
      </c>
      <c r="F5087" s="3" t="s">
        <v>5850</v>
      </c>
      <c r="G5087" s="4" t="str">
        <f>HYPERLINK("https://diaocthongthai.com/xa-cau-loc-hau-loc/","Xã Cầu Lộc")</f>
        <v>Xã Cầu Lộc</v>
      </c>
    </row>
    <row r="5088" spans="1:7" x14ac:dyDescent="0.25">
      <c r="A5088" s="2">
        <v>5087</v>
      </c>
      <c r="B5088" s="3" t="s">
        <v>28</v>
      </c>
      <c r="C5088" s="4" t="str">
        <f t="shared" si="412"/>
        <v>Thanh Hóa</v>
      </c>
      <c r="D5088" s="3" t="s">
        <v>350</v>
      </c>
      <c r="E5088" s="4" t="str">
        <f t="shared" si="411"/>
        <v>Huyện Hậu Lộc</v>
      </c>
      <c r="F5088" s="3" t="s">
        <v>5851</v>
      </c>
      <c r="G5088" s="4" t="str">
        <f>HYPERLINK("https://diaocthongthai.com/xa-thanh-loc-hau-loc/","Xã Thành Lộc")</f>
        <v>Xã Thành Lộc</v>
      </c>
    </row>
    <row r="5089" spans="1:7" x14ac:dyDescent="0.25">
      <c r="A5089" s="2">
        <v>5088</v>
      </c>
      <c r="B5089" s="3" t="s">
        <v>28</v>
      </c>
      <c r="C5089" s="4" t="str">
        <f t="shared" si="412"/>
        <v>Thanh Hóa</v>
      </c>
      <c r="D5089" s="3" t="s">
        <v>350</v>
      </c>
      <c r="E5089" s="4" t="str">
        <f t="shared" si="411"/>
        <v>Huyện Hậu Lộc</v>
      </c>
      <c r="F5089" s="3" t="s">
        <v>5852</v>
      </c>
      <c r="G5089" s="4" t="str">
        <f>HYPERLINK("https://diaocthongthai.com/xa-tuy-loc-hau-loc/","Xã Tuy Lộc")</f>
        <v>Xã Tuy Lộc</v>
      </c>
    </row>
    <row r="5090" spans="1:7" x14ac:dyDescent="0.25">
      <c r="A5090" s="2">
        <v>5089</v>
      </c>
      <c r="B5090" s="3" t="s">
        <v>28</v>
      </c>
      <c r="C5090" s="4" t="str">
        <f t="shared" si="412"/>
        <v>Thanh Hóa</v>
      </c>
      <c r="D5090" s="3" t="s">
        <v>350</v>
      </c>
      <c r="E5090" s="4" t="str">
        <f t="shared" si="411"/>
        <v>Huyện Hậu Lộc</v>
      </c>
      <c r="F5090" s="3" t="s">
        <v>5853</v>
      </c>
      <c r="G5090" s="4" t="str">
        <f>HYPERLINK("https://diaocthongthai.com/xa-phong-loc-hau-loc/","Xã Phong Lộc")</f>
        <v>Xã Phong Lộc</v>
      </c>
    </row>
    <row r="5091" spans="1:7" x14ac:dyDescent="0.25">
      <c r="A5091" s="2">
        <v>5090</v>
      </c>
      <c r="B5091" s="3" t="s">
        <v>28</v>
      </c>
      <c r="C5091" s="4" t="str">
        <f t="shared" si="412"/>
        <v>Thanh Hóa</v>
      </c>
      <c r="D5091" s="3" t="s">
        <v>350</v>
      </c>
      <c r="E5091" s="4" t="str">
        <f t="shared" si="411"/>
        <v>Huyện Hậu Lộc</v>
      </c>
      <c r="F5091" s="3" t="s">
        <v>5854</v>
      </c>
      <c r="G5091" s="4" t="str">
        <f>HYPERLINK("https://diaocthongthai.com/xa-my-loc-hau-loc/","Xã Mỹ Lộc")</f>
        <v>Xã Mỹ Lộc</v>
      </c>
    </row>
    <row r="5092" spans="1:7" x14ac:dyDescent="0.25">
      <c r="A5092" s="2">
        <v>5091</v>
      </c>
      <c r="B5092" s="3" t="s">
        <v>28</v>
      </c>
      <c r="C5092" s="4" t="str">
        <f t="shared" si="412"/>
        <v>Thanh Hóa</v>
      </c>
      <c r="D5092" s="3" t="s">
        <v>350</v>
      </c>
      <c r="E5092" s="4" t="str">
        <f t="shared" si="411"/>
        <v>Huyện Hậu Lộc</v>
      </c>
      <c r="F5092" s="3" t="s">
        <v>5855</v>
      </c>
      <c r="G5092" s="4" t="str">
        <f>HYPERLINK("https://diaocthongthai.com/xa-thuan-loc-hau-loc/","Xã Thuần Lộc")</f>
        <v>Xã Thuần Lộc</v>
      </c>
    </row>
    <row r="5093" spans="1:7" x14ac:dyDescent="0.25">
      <c r="A5093" s="2">
        <v>5092</v>
      </c>
      <c r="B5093" s="3" t="s">
        <v>28</v>
      </c>
      <c r="C5093" s="4" t="str">
        <f t="shared" si="412"/>
        <v>Thanh Hóa</v>
      </c>
      <c r="D5093" s="3" t="s">
        <v>350</v>
      </c>
      <c r="E5093" s="4" t="str">
        <f t="shared" si="411"/>
        <v>Huyện Hậu Lộc</v>
      </c>
      <c r="F5093" s="3" t="s">
        <v>5856</v>
      </c>
      <c r="G5093" s="4" t="str">
        <f>HYPERLINK("https://diaocthongthai.com/xa-xuan-loc-hau-loc/","Xã Xuân Lộc")</f>
        <v>Xã Xuân Lộc</v>
      </c>
    </row>
    <row r="5094" spans="1:7" x14ac:dyDescent="0.25">
      <c r="A5094" s="2">
        <v>5093</v>
      </c>
      <c r="B5094" s="3" t="s">
        <v>28</v>
      </c>
      <c r="C5094" s="4" t="str">
        <f t="shared" si="412"/>
        <v>Thanh Hóa</v>
      </c>
      <c r="D5094" s="3" t="s">
        <v>350</v>
      </c>
      <c r="E5094" s="4" t="str">
        <f t="shared" si="411"/>
        <v>Huyện Hậu Lộc</v>
      </c>
      <c r="F5094" s="3" t="s">
        <v>5857</v>
      </c>
      <c r="G5094" s="4" t="str">
        <f>HYPERLINK("https://diaocthongthai.com/xa-hoa-loc-1-hau-loc/","Xã Hoa Lộc")</f>
        <v>Xã Hoa Lộc</v>
      </c>
    </row>
    <row r="5095" spans="1:7" x14ac:dyDescent="0.25">
      <c r="A5095" s="2">
        <v>5094</v>
      </c>
      <c r="B5095" s="3" t="s">
        <v>28</v>
      </c>
      <c r="C5095" s="4" t="str">
        <f t="shared" si="412"/>
        <v>Thanh Hóa</v>
      </c>
      <c r="D5095" s="3" t="s">
        <v>350</v>
      </c>
      <c r="E5095" s="4" t="str">
        <f t="shared" si="411"/>
        <v>Huyện Hậu Lộc</v>
      </c>
      <c r="F5095" s="3" t="s">
        <v>5858</v>
      </c>
      <c r="G5095" s="4" t="str">
        <f>HYPERLINK("https://diaocthongthai.com/xa-lien-loc-hau-loc/","Xã Liên Lộc")</f>
        <v>Xã Liên Lộc</v>
      </c>
    </row>
    <row r="5096" spans="1:7" x14ac:dyDescent="0.25">
      <c r="A5096" s="2">
        <v>5095</v>
      </c>
      <c r="B5096" s="3" t="s">
        <v>28</v>
      </c>
      <c r="C5096" s="4" t="str">
        <f t="shared" si="412"/>
        <v>Thanh Hóa</v>
      </c>
      <c r="D5096" s="3" t="s">
        <v>350</v>
      </c>
      <c r="E5096" s="4" t="str">
        <f t="shared" si="411"/>
        <v>Huyện Hậu Lộc</v>
      </c>
      <c r="F5096" s="3" t="s">
        <v>5859</v>
      </c>
      <c r="G5096" s="4" t="str">
        <f>HYPERLINK("https://diaocthongthai.com/xa-quang-loc-hau-loc/","Xã Quang Lộc")</f>
        <v>Xã Quang Lộc</v>
      </c>
    </row>
    <row r="5097" spans="1:7" x14ac:dyDescent="0.25">
      <c r="A5097" s="2">
        <v>5096</v>
      </c>
      <c r="B5097" s="3" t="s">
        <v>28</v>
      </c>
      <c r="C5097" s="4" t="str">
        <f t="shared" si="412"/>
        <v>Thanh Hóa</v>
      </c>
      <c r="D5097" s="3" t="s">
        <v>350</v>
      </c>
      <c r="E5097" s="4" t="str">
        <f t="shared" si="411"/>
        <v>Huyện Hậu Lộc</v>
      </c>
      <c r="F5097" s="3" t="s">
        <v>5860</v>
      </c>
      <c r="G5097" s="4" t="str">
        <f>HYPERLINK("https://diaocthongthai.com/xa-phu-loc-hau-loc/","Xã Phú Lộc")</f>
        <v>Xã Phú Lộc</v>
      </c>
    </row>
    <row r="5098" spans="1:7" x14ac:dyDescent="0.25">
      <c r="A5098" s="2">
        <v>5097</v>
      </c>
      <c r="B5098" s="3" t="s">
        <v>28</v>
      </c>
      <c r="C5098" s="4" t="str">
        <f t="shared" si="412"/>
        <v>Thanh Hóa</v>
      </c>
      <c r="D5098" s="3" t="s">
        <v>350</v>
      </c>
      <c r="E5098" s="4" t="str">
        <f t="shared" si="411"/>
        <v>Huyện Hậu Lộc</v>
      </c>
      <c r="F5098" s="3" t="s">
        <v>5861</v>
      </c>
      <c r="G5098" s="4" t="str">
        <f>HYPERLINK("https://diaocthongthai.com/xa-hoa-loc-2-hau-loc/","Xã Hòa Lộc")</f>
        <v>Xã Hòa Lộc</v>
      </c>
    </row>
    <row r="5099" spans="1:7" x14ac:dyDescent="0.25">
      <c r="A5099" s="2">
        <v>5098</v>
      </c>
      <c r="B5099" s="3" t="s">
        <v>28</v>
      </c>
      <c r="C5099" s="4" t="str">
        <f t="shared" si="412"/>
        <v>Thanh Hóa</v>
      </c>
      <c r="D5099" s="3" t="s">
        <v>350</v>
      </c>
      <c r="E5099" s="4" t="str">
        <f t="shared" si="411"/>
        <v>Huyện Hậu Lộc</v>
      </c>
      <c r="F5099" s="3" t="s">
        <v>5862</v>
      </c>
      <c r="G5099" s="4" t="str">
        <f>HYPERLINK("https://diaocthongthai.com/xa-minh-loc-hau-loc/","Xã Minh Lộc")</f>
        <v>Xã Minh Lộc</v>
      </c>
    </row>
    <row r="5100" spans="1:7" x14ac:dyDescent="0.25">
      <c r="A5100" s="2">
        <v>5099</v>
      </c>
      <c r="B5100" s="3" t="s">
        <v>28</v>
      </c>
      <c r="C5100" s="4" t="str">
        <f t="shared" si="412"/>
        <v>Thanh Hóa</v>
      </c>
      <c r="D5100" s="3" t="s">
        <v>350</v>
      </c>
      <c r="E5100" s="4" t="str">
        <f t="shared" si="411"/>
        <v>Huyện Hậu Lộc</v>
      </c>
      <c r="F5100" s="3" t="s">
        <v>5863</v>
      </c>
      <c r="G5100" s="4" t="str">
        <f>HYPERLINK("https://diaocthongthai.com/xa-hung-loc-hau-loc/","Xã Hưng Lộc")</f>
        <v>Xã Hưng Lộc</v>
      </c>
    </row>
    <row r="5101" spans="1:7" x14ac:dyDescent="0.25">
      <c r="A5101" s="2">
        <v>5100</v>
      </c>
      <c r="B5101" s="3" t="s">
        <v>28</v>
      </c>
      <c r="C5101" s="4" t="str">
        <f t="shared" si="412"/>
        <v>Thanh Hóa</v>
      </c>
      <c r="D5101" s="3" t="s">
        <v>350</v>
      </c>
      <c r="E5101" s="4" t="str">
        <f t="shared" si="411"/>
        <v>Huyện Hậu Lộc</v>
      </c>
      <c r="F5101" s="3" t="s">
        <v>5864</v>
      </c>
      <c r="G5101" s="4" t="str">
        <f>HYPERLINK("https://diaocthongthai.com/xa-hai-loc-hau-loc/","Xã Hải Lộc")</f>
        <v>Xã Hải Lộc</v>
      </c>
    </row>
    <row r="5102" spans="1:7" x14ac:dyDescent="0.25">
      <c r="A5102" s="2">
        <v>5101</v>
      </c>
      <c r="B5102" s="3" t="s">
        <v>28</v>
      </c>
      <c r="C5102" s="4" t="str">
        <f t="shared" si="412"/>
        <v>Thanh Hóa</v>
      </c>
      <c r="D5102" s="3" t="s">
        <v>350</v>
      </c>
      <c r="E5102" s="4" t="str">
        <f t="shared" si="411"/>
        <v>Huyện Hậu Lộc</v>
      </c>
      <c r="F5102" s="3" t="s">
        <v>5865</v>
      </c>
      <c r="G5102" s="4" t="str">
        <f>HYPERLINK("https://diaocthongthai.com/xa-da-loc-hau-loc/","Xã Đa Lộc")</f>
        <v>Xã Đa Lộc</v>
      </c>
    </row>
    <row r="5103" spans="1:7" x14ac:dyDescent="0.25">
      <c r="A5103" s="2">
        <v>5102</v>
      </c>
      <c r="B5103" s="3" t="s">
        <v>28</v>
      </c>
      <c r="C5103" s="4" t="str">
        <f t="shared" si="412"/>
        <v>Thanh Hóa</v>
      </c>
      <c r="D5103" s="3" t="s">
        <v>350</v>
      </c>
      <c r="E5103" s="4" t="str">
        <f t="shared" si="411"/>
        <v>Huyện Hậu Lộc</v>
      </c>
      <c r="F5103" s="3" t="s">
        <v>5866</v>
      </c>
      <c r="G5103" s="4" t="str">
        <f>HYPERLINK("https://diaocthongthai.com/xa-ngu-loc-hau-loc/","Xã Ngư Lộc")</f>
        <v>Xã Ngư Lộc</v>
      </c>
    </row>
    <row r="5104" spans="1:7" x14ac:dyDescent="0.25">
      <c r="A5104" s="2">
        <v>5103</v>
      </c>
      <c r="B5104" s="3" t="s">
        <v>28</v>
      </c>
      <c r="C5104" s="4" t="str">
        <f t="shared" si="412"/>
        <v>Thanh Hóa</v>
      </c>
      <c r="D5104" s="3" t="s">
        <v>351</v>
      </c>
      <c r="E5104" s="4" t="str">
        <f t="shared" ref="E5104:E5127" si="413">HYPERLINK("https://diaocthongthai.com/ban-do-huyen-nga-son-thanh-hoa/","Huyện Nga Sơn")</f>
        <v>Huyện Nga Sơn</v>
      </c>
      <c r="F5104" s="3" t="s">
        <v>5867</v>
      </c>
      <c r="G5104" s="4" t="str">
        <f>HYPERLINK("https://diaocthongthai.com/thi-tran-nga-son-nga-son/","Thị trấn Nga Sơn")</f>
        <v>Thị trấn Nga Sơn</v>
      </c>
    </row>
    <row r="5105" spans="1:7" x14ac:dyDescent="0.25">
      <c r="A5105" s="2">
        <v>5104</v>
      </c>
      <c r="B5105" s="3" t="s">
        <v>28</v>
      </c>
      <c r="C5105" s="4" t="str">
        <f t="shared" si="412"/>
        <v>Thanh Hóa</v>
      </c>
      <c r="D5105" s="3" t="s">
        <v>351</v>
      </c>
      <c r="E5105" s="4" t="str">
        <f t="shared" si="413"/>
        <v>Huyện Nga Sơn</v>
      </c>
      <c r="F5105" s="3" t="s">
        <v>5868</v>
      </c>
      <c r="G5105" s="4" t="str">
        <f>HYPERLINK("https://diaocthongthai.com/xa-ba-dinh-nga-son/","Xã Ba Đình")</f>
        <v>Xã Ba Đình</v>
      </c>
    </row>
    <row r="5106" spans="1:7" x14ac:dyDescent="0.25">
      <c r="A5106" s="2">
        <v>5105</v>
      </c>
      <c r="B5106" s="3" t="s">
        <v>28</v>
      </c>
      <c r="C5106" s="4" t="str">
        <f t="shared" si="412"/>
        <v>Thanh Hóa</v>
      </c>
      <c r="D5106" s="3" t="s">
        <v>351</v>
      </c>
      <c r="E5106" s="4" t="str">
        <f t="shared" si="413"/>
        <v>Huyện Nga Sơn</v>
      </c>
      <c r="F5106" s="3" t="s">
        <v>5869</v>
      </c>
      <c r="G5106" s="4" t="str">
        <f>HYPERLINK("https://diaocthongthai.com/xa-nga-vinh-nga-son/","Xã Nga Vịnh")</f>
        <v>Xã Nga Vịnh</v>
      </c>
    </row>
    <row r="5107" spans="1:7" x14ac:dyDescent="0.25">
      <c r="A5107" s="2">
        <v>5106</v>
      </c>
      <c r="B5107" s="3" t="s">
        <v>28</v>
      </c>
      <c r="C5107" s="4" t="str">
        <f t="shared" si="412"/>
        <v>Thanh Hóa</v>
      </c>
      <c r="D5107" s="3" t="s">
        <v>351</v>
      </c>
      <c r="E5107" s="4" t="str">
        <f t="shared" si="413"/>
        <v>Huyện Nga Sơn</v>
      </c>
      <c r="F5107" s="3" t="s">
        <v>5870</v>
      </c>
      <c r="G5107" s="4" t="str">
        <f>HYPERLINK("https://diaocthongthai.com/xa-nga-van-nga-son/","Xã Nga Văn")</f>
        <v>Xã Nga Văn</v>
      </c>
    </row>
    <row r="5108" spans="1:7" x14ac:dyDescent="0.25">
      <c r="A5108" s="2">
        <v>5107</v>
      </c>
      <c r="B5108" s="3" t="s">
        <v>28</v>
      </c>
      <c r="C5108" s="4" t="str">
        <f t="shared" si="412"/>
        <v>Thanh Hóa</v>
      </c>
      <c r="D5108" s="3" t="s">
        <v>351</v>
      </c>
      <c r="E5108" s="4" t="str">
        <f t="shared" si="413"/>
        <v>Huyện Nga Sơn</v>
      </c>
      <c r="F5108" s="3" t="s">
        <v>5871</v>
      </c>
      <c r="G5108" s="4" t="str">
        <f>HYPERLINK("https://diaocthongthai.com/xa-nga-thien-nga-son/","Xã Nga Thiện")</f>
        <v>Xã Nga Thiện</v>
      </c>
    </row>
    <row r="5109" spans="1:7" x14ac:dyDescent="0.25">
      <c r="A5109" s="2">
        <v>5108</v>
      </c>
      <c r="B5109" s="3" t="s">
        <v>28</v>
      </c>
      <c r="C5109" s="4" t="str">
        <f t="shared" si="412"/>
        <v>Thanh Hóa</v>
      </c>
      <c r="D5109" s="3" t="s">
        <v>351</v>
      </c>
      <c r="E5109" s="4" t="str">
        <f t="shared" si="413"/>
        <v>Huyện Nga Sơn</v>
      </c>
      <c r="F5109" s="3" t="s">
        <v>5872</v>
      </c>
      <c r="G5109" s="4" t="str">
        <f>HYPERLINK("https://diaocthongthai.com/xa-nga-tien-nga-son/","Xã Nga Tiến")</f>
        <v>Xã Nga Tiến</v>
      </c>
    </row>
    <row r="5110" spans="1:7" x14ac:dyDescent="0.25">
      <c r="A5110" s="2">
        <v>5109</v>
      </c>
      <c r="B5110" s="3" t="s">
        <v>28</v>
      </c>
      <c r="C5110" s="4" t="str">
        <f t="shared" si="412"/>
        <v>Thanh Hóa</v>
      </c>
      <c r="D5110" s="3" t="s">
        <v>351</v>
      </c>
      <c r="E5110" s="4" t="str">
        <f t="shared" si="413"/>
        <v>Huyện Nga Sơn</v>
      </c>
      <c r="F5110" s="3" t="s">
        <v>5873</v>
      </c>
      <c r="G5110" s="4" t="str">
        <f>HYPERLINK("https://diaocthongthai.com/xa-nga-phuong-nga-son/","Xã Nga Phượng")</f>
        <v>Xã Nga Phượng</v>
      </c>
    </row>
    <row r="5111" spans="1:7" x14ac:dyDescent="0.25">
      <c r="A5111" s="2">
        <v>5110</v>
      </c>
      <c r="B5111" s="3" t="s">
        <v>28</v>
      </c>
      <c r="C5111" s="4" t="str">
        <f t="shared" si="412"/>
        <v>Thanh Hóa</v>
      </c>
      <c r="D5111" s="3" t="s">
        <v>351</v>
      </c>
      <c r="E5111" s="4" t="str">
        <f t="shared" si="413"/>
        <v>Huyện Nga Sơn</v>
      </c>
      <c r="F5111" s="3" t="s">
        <v>5874</v>
      </c>
      <c r="G5111" s="4" t="str">
        <f>HYPERLINK("https://diaocthongthai.com/xa-nga-trung-nga-son/","Xã Nga Trung")</f>
        <v>Xã Nga Trung</v>
      </c>
    </row>
    <row r="5112" spans="1:7" x14ac:dyDescent="0.25">
      <c r="A5112" s="2">
        <v>5111</v>
      </c>
      <c r="B5112" s="3" t="s">
        <v>28</v>
      </c>
      <c r="C5112" s="4" t="str">
        <f t="shared" si="412"/>
        <v>Thanh Hóa</v>
      </c>
      <c r="D5112" s="3" t="s">
        <v>351</v>
      </c>
      <c r="E5112" s="4" t="str">
        <f t="shared" si="413"/>
        <v>Huyện Nga Sơn</v>
      </c>
      <c r="F5112" s="3" t="s">
        <v>5875</v>
      </c>
      <c r="G5112" s="4" t="str">
        <f>HYPERLINK("https://diaocthongthai.com/xa-nga-bach-nga-son/","Xã Nga Bạch")</f>
        <v>Xã Nga Bạch</v>
      </c>
    </row>
    <row r="5113" spans="1:7" x14ac:dyDescent="0.25">
      <c r="A5113" s="2">
        <v>5112</v>
      </c>
      <c r="B5113" s="3" t="s">
        <v>28</v>
      </c>
      <c r="C5113" s="4" t="str">
        <f t="shared" si="412"/>
        <v>Thanh Hóa</v>
      </c>
      <c r="D5113" s="3" t="s">
        <v>351</v>
      </c>
      <c r="E5113" s="4" t="str">
        <f t="shared" si="413"/>
        <v>Huyện Nga Sơn</v>
      </c>
      <c r="F5113" s="3" t="s">
        <v>5876</v>
      </c>
      <c r="G5113" s="4" t="str">
        <f>HYPERLINK("https://diaocthongthai.com/xa-nga-thanh-1-nga-son/","Xã Nga Thanh")</f>
        <v>Xã Nga Thanh</v>
      </c>
    </row>
    <row r="5114" spans="1:7" x14ac:dyDescent="0.25">
      <c r="A5114" s="2">
        <v>5113</v>
      </c>
      <c r="B5114" s="3" t="s">
        <v>28</v>
      </c>
      <c r="C5114" s="4" t="str">
        <f t="shared" si="412"/>
        <v>Thanh Hóa</v>
      </c>
      <c r="D5114" s="3" t="s">
        <v>351</v>
      </c>
      <c r="E5114" s="4" t="str">
        <f t="shared" si="413"/>
        <v>Huyện Nga Sơn</v>
      </c>
      <c r="F5114" s="3" t="s">
        <v>5877</v>
      </c>
      <c r="G5114" s="4" t="str">
        <f>HYPERLINK("https://diaocthongthai.com/xa-nga-yen-nga-son/","Xã Nga Yên")</f>
        <v>Xã Nga Yên</v>
      </c>
    </row>
    <row r="5115" spans="1:7" x14ac:dyDescent="0.25">
      <c r="A5115" s="2">
        <v>5114</v>
      </c>
      <c r="B5115" s="3" t="s">
        <v>28</v>
      </c>
      <c r="C5115" s="4" t="str">
        <f t="shared" si="412"/>
        <v>Thanh Hóa</v>
      </c>
      <c r="D5115" s="3" t="s">
        <v>351</v>
      </c>
      <c r="E5115" s="4" t="str">
        <f t="shared" si="413"/>
        <v>Huyện Nga Sơn</v>
      </c>
      <c r="F5115" s="3" t="s">
        <v>5878</v>
      </c>
      <c r="G5115" s="4" t="str">
        <f>HYPERLINK("https://diaocthongthai.com/xa-nga-giap-nga-son/","Xã Nga Giáp")</f>
        <v>Xã Nga Giáp</v>
      </c>
    </row>
    <row r="5116" spans="1:7" x14ac:dyDescent="0.25">
      <c r="A5116" s="2">
        <v>5115</v>
      </c>
      <c r="B5116" s="3" t="s">
        <v>28</v>
      </c>
      <c r="C5116" s="4" t="str">
        <f t="shared" si="412"/>
        <v>Thanh Hóa</v>
      </c>
      <c r="D5116" s="3" t="s">
        <v>351</v>
      </c>
      <c r="E5116" s="4" t="str">
        <f t="shared" si="413"/>
        <v>Huyện Nga Sơn</v>
      </c>
      <c r="F5116" s="3" t="s">
        <v>5879</v>
      </c>
      <c r="G5116" s="4" t="str">
        <f>HYPERLINK("https://diaocthongthai.com/xa-nga-hai-nga-son/","Xã Nga Hải")</f>
        <v>Xã Nga Hải</v>
      </c>
    </row>
    <row r="5117" spans="1:7" x14ac:dyDescent="0.25">
      <c r="A5117" s="2">
        <v>5116</v>
      </c>
      <c r="B5117" s="3" t="s">
        <v>28</v>
      </c>
      <c r="C5117" s="4" t="str">
        <f t="shared" si="412"/>
        <v>Thanh Hóa</v>
      </c>
      <c r="D5117" s="3" t="s">
        <v>351</v>
      </c>
      <c r="E5117" s="4" t="str">
        <f t="shared" si="413"/>
        <v>Huyện Nga Sơn</v>
      </c>
      <c r="F5117" s="3" t="s">
        <v>5880</v>
      </c>
      <c r="G5117" s="4" t="str">
        <f>HYPERLINK("https://diaocthongthai.com/xa-nga-thanh-2-nga-son/","Xã Nga Thành")</f>
        <v>Xã Nga Thành</v>
      </c>
    </row>
    <row r="5118" spans="1:7" x14ac:dyDescent="0.25">
      <c r="A5118" s="2">
        <v>5117</v>
      </c>
      <c r="B5118" s="3" t="s">
        <v>28</v>
      </c>
      <c r="C5118" s="4" t="str">
        <f t="shared" si="412"/>
        <v>Thanh Hóa</v>
      </c>
      <c r="D5118" s="3" t="s">
        <v>351</v>
      </c>
      <c r="E5118" s="4" t="str">
        <f t="shared" si="413"/>
        <v>Huyện Nga Sơn</v>
      </c>
      <c r="F5118" s="3" t="s">
        <v>5881</v>
      </c>
      <c r="G5118" s="4" t="str">
        <f>HYPERLINK("https://diaocthongthai.com/xa-nga-an-nga-son/","Xã Nga An")</f>
        <v>Xã Nga An</v>
      </c>
    </row>
    <row r="5119" spans="1:7" x14ac:dyDescent="0.25">
      <c r="A5119" s="2">
        <v>5118</v>
      </c>
      <c r="B5119" s="3" t="s">
        <v>28</v>
      </c>
      <c r="C5119" s="4" t="str">
        <f t="shared" si="412"/>
        <v>Thanh Hóa</v>
      </c>
      <c r="D5119" s="3" t="s">
        <v>351</v>
      </c>
      <c r="E5119" s="4" t="str">
        <f t="shared" si="413"/>
        <v>Huyện Nga Sơn</v>
      </c>
      <c r="F5119" s="3" t="s">
        <v>5882</v>
      </c>
      <c r="G5119" s="4" t="str">
        <f>HYPERLINK("https://diaocthongthai.com/xa-nga-phu-nga-son/","Xã Nga Phú")</f>
        <v>Xã Nga Phú</v>
      </c>
    </row>
    <row r="5120" spans="1:7" x14ac:dyDescent="0.25">
      <c r="A5120" s="2">
        <v>5119</v>
      </c>
      <c r="B5120" s="3" t="s">
        <v>28</v>
      </c>
      <c r="C5120" s="4" t="str">
        <f t="shared" si="412"/>
        <v>Thanh Hóa</v>
      </c>
      <c r="D5120" s="3" t="s">
        <v>351</v>
      </c>
      <c r="E5120" s="4" t="str">
        <f t="shared" si="413"/>
        <v>Huyện Nga Sơn</v>
      </c>
      <c r="F5120" s="3" t="s">
        <v>5883</v>
      </c>
      <c r="G5120" s="4" t="str">
        <f>HYPERLINK("https://diaocthongthai.com/xa-nga-dien-nga-son/","Xã Nga Điền")</f>
        <v>Xã Nga Điền</v>
      </c>
    </row>
    <row r="5121" spans="1:7" x14ac:dyDescent="0.25">
      <c r="A5121" s="2">
        <v>5120</v>
      </c>
      <c r="B5121" s="3" t="s">
        <v>28</v>
      </c>
      <c r="C5121" s="4" t="str">
        <f t="shared" si="412"/>
        <v>Thanh Hóa</v>
      </c>
      <c r="D5121" s="3" t="s">
        <v>351</v>
      </c>
      <c r="E5121" s="4" t="str">
        <f t="shared" si="413"/>
        <v>Huyện Nga Sơn</v>
      </c>
      <c r="F5121" s="3" t="s">
        <v>5884</v>
      </c>
      <c r="G5121" s="4" t="str">
        <f>HYPERLINK("https://diaocthongthai.com/xa-nga-tan-nga-son/","Xã Nga Tân")</f>
        <v>Xã Nga Tân</v>
      </c>
    </row>
    <row r="5122" spans="1:7" x14ac:dyDescent="0.25">
      <c r="A5122" s="2">
        <v>5121</v>
      </c>
      <c r="B5122" s="3" t="s">
        <v>28</v>
      </c>
      <c r="C5122" s="4" t="str">
        <f t="shared" si="412"/>
        <v>Thanh Hóa</v>
      </c>
      <c r="D5122" s="3" t="s">
        <v>351</v>
      </c>
      <c r="E5122" s="4" t="str">
        <f t="shared" si="413"/>
        <v>Huyện Nga Sơn</v>
      </c>
      <c r="F5122" s="3" t="s">
        <v>5885</v>
      </c>
      <c r="G5122" s="4" t="str">
        <f>HYPERLINK("https://diaocthongthai.com/xa-nga-thuy-nga-son/","Xã Nga Thủy")</f>
        <v>Xã Nga Thủy</v>
      </c>
    </row>
    <row r="5123" spans="1:7" x14ac:dyDescent="0.25">
      <c r="A5123" s="2">
        <v>5122</v>
      </c>
      <c r="B5123" s="3" t="s">
        <v>28</v>
      </c>
      <c r="C5123" s="4" t="str">
        <f t="shared" si="412"/>
        <v>Thanh Hóa</v>
      </c>
      <c r="D5123" s="3" t="s">
        <v>351</v>
      </c>
      <c r="E5123" s="4" t="str">
        <f t="shared" si="413"/>
        <v>Huyện Nga Sơn</v>
      </c>
      <c r="F5123" s="3" t="s">
        <v>5886</v>
      </c>
      <c r="G5123" s="4" t="str">
        <f>HYPERLINK("https://diaocthongthai.com/xa-nga-lien-nga-son/","Xã Nga Liên")</f>
        <v>Xã Nga Liên</v>
      </c>
    </row>
    <row r="5124" spans="1:7" x14ac:dyDescent="0.25">
      <c r="A5124" s="2">
        <v>5123</v>
      </c>
      <c r="B5124" s="3" t="s">
        <v>28</v>
      </c>
      <c r="C5124" s="4" t="str">
        <f t="shared" si="412"/>
        <v>Thanh Hóa</v>
      </c>
      <c r="D5124" s="3" t="s">
        <v>351</v>
      </c>
      <c r="E5124" s="4" t="str">
        <f t="shared" si="413"/>
        <v>Huyện Nga Sơn</v>
      </c>
      <c r="F5124" s="3" t="s">
        <v>5887</v>
      </c>
      <c r="G5124" s="4" t="str">
        <f>HYPERLINK("https://diaocthongthai.com/xa-nga-thai-nga-son/","Xã Nga Thái")</f>
        <v>Xã Nga Thái</v>
      </c>
    </row>
    <row r="5125" spans="1:7" x14ac:dyDescent="0.25">
      <c r="A5125" s="2">
        <v>5124</v>
      </c>
      <c r="B5125" s="3" t="s">
        <v>28</v>
      </c>
      <c r="C5125" s="4" t="str">
        <f t="shared" si="412"/>
        <v>Thanh Hóa</v>
      </c>
      <c r="D5125" s="3" t="s">
        <v>351</v>
      </c>
      <c r="E5125" s="4" t="str">
        <f t="shared" si="413"/>
        <v>Huyện Nga Sơn</v>
      </c>
      <c r="F5125" s="3" t="s">
        <v>5888</v>
      </c>
      <c r="G5125" s="4" t="str">
        <f>HYPERLINK("https://diaocthongthai.com/xa-nga-thach-nga-son/","Xã Nga Thạch")</f>
        <v>Xã Nga Thạch</v>
      </c>
    </row>
    <row r="5126" spans="1:7" x14ac:dyDescent="0.25">
      <c r="A5126" s="2">
        <v>5125</v>
      </c>
      <c r="B5126" s="3" t="s">
        <v>28</v>
      </c>
      <c r="C5126" s="4" t="str">
        <f t="shared" si="412"/>
        <v>Thanh Hóa</v>
      </c>
      <c r="D5126" s="3" t="s">
        <v>351</v>
      </c>
      <c r="E5126" s="4" t="str">
        <f t="shared" si="413"/>
        <v>Huyện Nga Sơn</v>
      </c>
      <c r="F5126" s="3" t="s">
        <v>5889</v>
      </c>
      <c r="G5126" s="4" t="str">
        <f>HYPERLINK("https://diaocthongthai.com/xa-nga-thang-nga-son/","Xã Nga Thắng")</f>
        <v>Xã Nga Thắng</v>
      </c>
    </row>
    <row r="5127" spans="1:7" x14ac:dyDescent="0.25">
      <c r="A5127" s="2">
        <v>5126</v>
      </c>
      <c r="B5127" s="3" t="s">
        <v>28</v>
      </c>
      <c r="C5127" s="4" t="str">
        <f t="shared" si="412"/>
        <v>Thanh Hóa</v>
      </c>
      <c r="D5127" s="3" t="s">
        <v>351</v>
      </c>
      <c r="E5127" s="4" t="str">
        <f t="shared" si="413"/>
        <v>Huyện Nga Sơn</v>
      </c>
      <c r="F5127" s="3" t="s">
        <v>5890</v>
      </c>
      <c r="G5127" s="4" t="str">
        <f>HYPERLINK("https://diaocthongthai.com/xa-nga-truong-nga-son/","Xã Nga Trường")</f>
        <v>Xã Nga Trường</v>
      </c>
    </row>
    <row r="5128" spans="1:7" x14ac:dyDescent="0.25">
      <c r="A5128" s="2">
        <v>5127</v>
      </c>
      <c r="B5128" s="3" t="s">
        <v>28</v>
      </c>
      <c r="C5128" s="4" t="str">
        <f t="shared" si="412"/>
        <v>Thanh Hóa</v>
      </c>
      <c r="D5128" s="3" t="s">
        <v>352</v>
      </c>
      <c r="E5128" s="4" t="str">
        <f t="shared" ref="E5128:E5143" si="414">HYPERLINK("https://diaocthongthai.com/ban-do-huyen-nhu-xuan-thanh-hoa/","Huyện Như Xuân")</f>
        <v>Huyện Như Xuân</v>
      </c>
      <c r="F5128" s="3" t="s">
        <v>5891</v>
      </c>
      <c r="G5128" s="4" t="str">
        <f>HYPERLINK("https://diaocthongthai.com/thi-tran-yen-cat-nhu-xuan/","Thị trấn Yên Cát")</f>
        <v>Thị trấn Yên Cát</v>
      </c>
    </row>
    <row r="5129" spans="1:7" x14ac:dyDescent="0.25">
      <c r="A5129" s="2">
        <v>5128</v>
      </c>
      <c r="B5129" s="3" t="s">
        <v>28</v>
      </c>
      <c r="C5129" s="4" t="str">
        <f t="shared" si="412"/>
        <v>Thanh Hóa</v>
      </c>
      <c r="D5129" s="3" t="s">
        <v>352</v>
      </c>
      <c r="E5129" s="4" t="str">
        <f t="shared" si="414"/>
        <v>Huyện Như Xuân</v>
      </c>
      <c r="F5129" s="3" t="s">
        <v>5892</v>
      </c>
      <c r="G5129" s="4" t="str">
        <f>HYPERLINK("https://diaocthongthai.com/xa-bai-tranh-nhu-xuan/","Xã Bãi Trành")</f>
        <v>Xã Bãi Trành</v>
      </c>
    </row>
    <row r="5130" spans="1:7" x14ac:dyDescent="0.25">
      <c r="A5130" s="2">
        <v>5129</v>
      </c>
      <c r="B5130" s="3" t="s">
        <v>28</v>
      </c>
      <c r="C5130" s="4" t="str">
        <f t="shared" si="412"/>
        <v>Thanh Hóa</v>
      </c>
      <c r="D5130" s="3" t="s">
        <v>352</v>
      </c>
      <c r="E5130" s="4" t="str">
        <f t="shared" si="414"/>
        <v>Huyện Như Xuân</v>
      </c>
      <c r="F5130" s="3" t="s">
        <v>5893</v>
      </c>
      <c r="G5130" s="4" t="str">
        <f>HYPERLINK("https://diaocthongthai.com/xa-xuan-hoa-nhu-xuan/","Xã Xuân Hòa")</f>
        <v>Xã Xuân Hòa</v>
      </c>
    </row>
    <row r="5131" spans="1:7" x14ac:dyDescent="0.25">
      <c r="A5131" s="2">
        <v>5130</v>
      </c>
      <c r="B5131" s="3" t="s">
        <v>28</v>
      </c>
      <c r="C5131" s="4" t="str">
        <f t="shared" si="412"/>
        <v>Thanh Hóa</v>
      </c>
      <c r="D5131" s="3" t="s">
        <v>352</v>
      </c>
      <c r="E5131" s="4" t="str">
        <f t="shared" si="414"/>
        <v>Huyện Như Xuân</v>
      </c>
      <c r="F5131" s="3" t="s">
        <v>5894</v>
      </c>
      <c r="G5131" s="4" t="str">
        <f>HYPERLINK("https://diaocthongthai.com/xa-xuan-binh-nhu-xuan/","Xã Xuân Bình")</f>
        <v>Xã Xuân Bình</v>
      </c>
    </row>
    <row r="5132" spans="1:7" x14ac:dyDescent="0.25">
      <c r="A5132" s="2">
        <v>5131</v>
      </c>
      <c r="B5132" s="3" t="s">
        <v>28</v>
      </c>
      <c r="C5132" s="4" t="str">
        <f t="shared" si="412"/>
        <v>Thanh Hóa</v>
      </c>
      <c r="D5132" s="3" t="s">
        <v>352</v>
      </c>
      <c r="E5132" s="4" t="str">
        <f t="shared" si="414"/>
        <v>Huyện Như Xuân</v>
      </c>
      <c r="F5132" s="3" t="s">
        <v>5895</v>
      </c>
      <c r="G5132" s="4" t="str">
        <f>HYPERLINK("https://diaocthongthai.com/xa-hoa-quy-nhu-xuan/","Xã Hóa Quỳ")</f>
        <v>Xã Hóa Quỳ</v>
      </c>
    </row>
    <row r="5133" spans="1:7" x14ac:dyDescent="0.25">
      <c r="A5133" s="2">
        <v>5132</v>
      </c>
      <c r="B5133" s="3" t="s">
        <v>28</v>
      </c>
      <c r="C5133" s="4" t="str">
        <f t="shared" si="412"/>
        <v>Thanh Hóa</v>
      </c>
      <c r="D5133" s="3" t="s">
        <v>352</v>
      </c>
      <c r="E5133" s="4" t="str">
        <f t="shared" si="414"/>
        <v>Huyện Như Xuân</v>
      </c>
      <c r="F5133" s="3" t="s">
        <v>5896</v>
      </c>
      <c r="G5133" s="4" t="str">
        <f>HYPERLINK("https://diaocthongthai.com/xa-cat-van-nhu-xuan/","Xã Cát Vân")</f>
        <v>Xã Cát Vân</v>
      </c>
    </row>
    <row r="5134" spans="1:7" x14ac:dyDescent="0.25">
      <c r="A5134" s="2">
        <v>5133</v>
      </c>
      <c r="B5134" s="3" t="s">
        <v>28</v>
      </c>
      <c r="C5134" s="4" t="str">
        <f t="shared" si="412"/>
        <v>Thanh Hóa</v>
      </c>
      <c r="D5134" s="3" t="s">
        <v>352</v>
      </c>
      <c r="E5134" s="4" t="str">
        <f t="shared" si="414"/>
        <v>Huyện Như Xuân</v>
      </c>
      <c r="F5134" s="3" t="s">
        <v>5897</v>
      </c>
      <c r="G5134" s="4" t="str">
        <f>HYPERLINK("https://diaocthongthai.com/xa-cat-tan-nhu-xuan/","Xã Cát Tân")</f>
        <v>Xã Cát Tân</v>
      </c>
    </row>
    <row r="5135" spans="1:7" x14ac:dyDescent="0.25">
      <c r="A5135" s="2">
        <v>5134</v>
      </c>
      <c r="B5135" s="3" t="s">
        <v>28</v>
      </c>
      <c r="C5135" s="4" t="str">
        <f t="shared" si="412"/>
        <v>Thanh Hóa</v>
      </c>
      <c r="D5135" s="3" t="s">
        <v>352</v>
      </c>
      <c r="E5135" s="4" t="str">
        <f t="shared" si="414"/>
        <v>Huyện Như Xuân</v>
      </c>
      <c r="F5135" s="3" t="s">
        <v>5898</v>
      </c>
      <c r="G5135" s="4" t="str">
        <f>HYPERLINK("https://diaocthongthai.com/xa-tan-binh-nhu-xuan/","Xã Tân Bình")</f>
        <v>Xã Tân Bình</v>
      </c>
    </row>
    <row r="5136" spans="1:7" x14ac:dyDescent="0.25">
      <c r="A5136" s="2">
        <v>5135</v>
      </c>
      <c r="B5136" s="3" t="s">
        <v>28</v>
      </c>
      <c r="C5136" s="4" t="str">
        <f t="shared" si="412"/>
        <v>Thanh Hóa</v>
      </c>
      <c r="D5136" s="3" t="s">
        <v>352</v>
      </c>
      <c r="E5136" s="4" t="str">
        <f t="shared" si="414"/>
        <v>Huyện Như Xuân</v>
      </c>
      <c r="F5136" s="3" t="s">
        <v>5899</v>
      </c>
      <c r="G5136" s="4" t="str">
        <f>HYPERLINK("https://diaocthongthai.com/xa-binh-luong-nhu-xuan/","Xã Bình Lương")</f>
        <v>Xã Bình Lương</v>
      </c>
    </row>
    <row r="5137" spans="1:7" x14ac:dyDescent="0.25">
      <c r="A5137" s="2">
        <v>5136</v>
      </c>
      <c r="B5137" s="3" t="s">
        <v>28</v>
      </c>
      <c r="C5137" s="4" t="str">
        <f t="shared" si="412"/>
        <v>Thanh Hóa</v>
      </c>
      <c r="D5137" s="3" t="s">
        <v>352</v>
      </c>
      <c r="E5137" s="4" t="str">
        <f t="shared" si="414"/>
        <v>Huyện Như Xuân</v>
      </c>
      <c r="F5137" s="3" t="s">
        <v>5900</v>
      </c>
      <c r="G5137" s="4" t="str">
        <f>HYPERLINK("https://diaocthongthai.com/xa-thanh-quan-nhu-xuan/","Xã Thanh Quân")</f>
        <v>Xã Thanh Quân</v>
      </c>
    </row>
    <row r="5138" spans="1:7" x14ac:dyDescent="0.25">
      <c r="A5138" s="2">
        <v>5137</v>
      </c>
      <c r="B5138" s="3" t="s">
        <v>28</v>
      </c>
      <c r="C5138" s="4" t="str">
        <f t="shared" si="412"/>
        <v>Thanh Hóa</v>
      </c>
      <c r="D5138" s="3" t="s">
        <v>352</v>
      </c>
      <c r="E5138" s="4" t="str">
        <f t="shared" si="414"/>
        <v>Huyện Như Xuân</v>
      </c>
      <c r="F5138" s="3" t="s">
        <v>5901</v>
      </c>
      <c r="G5138" s="4" t="str">
        <f>HYPERLINK("https://diaocthongthai.com/xa-thanh-xuan-nhu-xuan/","Xã Thanh Xuân")</f>
        <v>Xã Thanh Xuân</v>
      </c>
    </row>
    <row r="5139" spans="1:7" x14ac:dyDescent="0.25">
      <c r="A5139" s="2">
        <v>5138</v>
      </c>
      <c r="B5139" s="3" t="s">
        <v>28</v>
      </c>
      <c r="C5139" s="4" t="str">
        <f t="shared" si="412"/>
        <v>Thanh Hóa</v>
      </c>
      <c r="D5139" s="3" t="s">
        <v>352</v>
      </c>
      <c r="E5139" s="4" t="str">
        <f t="shared" si="414"/>
        <v>Huyện Như Xuân</v>
      </c>
      <c r="F5139" s="3" t="s">
        <v>5902</v>
      </c>
      <c r="G5139" s="4" t="str">
        <f>HYPERLINK("https://diaocthongthai.com/xa-thanh-hoa-nhu-xuan/","Xã Thanh Hòa")</f>
        <v>Xã Thanh Hòa</v>
      </c>
    </row>
    <row r="5140" spans="1:7" x14ac:dyDescent="0.25">
      <c r="A5140" s="2">
        <v>5139</v>
      </c>
      <c r="B5140" s="3" t="s">
        <v>28</v>
      </c>
      <c r="C5140" s="4" t="str">
        <f t="shared" si="412"/>
        <v>Thanh Hóa</v>
      </c>
      <c r="D5140" s="3" t="s">
        <v>352</v>
      </c>
      <c r="E5140" s="4" t="str">
        <f t="shared" si="414"/>
        <v>Huyện Như Xuân</v>
      </c>
      <c r="F5140" s="3" t="s">
        <v>5903</v>
      </c>
      <c r="G5140" s="4" t="str">
        <f>HYPERLINK("https://diaocthongthai.com/xa-thanh-phong-nhu-xuan/","Xã Thanh Phong")</f>
        <v>Xã Thanh Phong</v>
      </c>
    </row>
    <row r="5141" spans="1:7" x14ac:dyDescent="0.25">
      <c r="A5141" s="2">
        <v>5140</v>
      </c>
      <c r="B5141" s="3" t="s">
        <v>28</v>
      </c>
      <c r="C5141" s="4" t="str">
        <f t="shared" si="412"/>
        <v>Thanh Hóa</v>
      </c>
      <c r="D5141" s="3" t="s">
        <v>352</v>
      </c>
      <c r="E5141" s="4" t="str">
        <f t="shared" si="414"/>
        <v>Huyện Như Xuân</v>
      </c>
      <c r="F5141" s="3" t="s">
        <v>5904</v>
      </c>
      <c r="G5141" s="4" t="str">
        <f>HYPERLINK("https://diaocthongthai.com/xa-thanh-lam-nhu-xuan/","Xã Thanh Lâm")</f>
        <v>Xã Thanh Lâm</v>
      </c>
    </row>
    <row r="5142" spans="1:7" x14ac:dyDescent="0.25">
      <c r="A5142" s="2">
        <v>5141</v>
      </c>
      <c r="B5142" s="3" t="s">
        <v>28</v>
      </c>
      <c r="C5142" s="4" t="str">
        <f t="shared" si="412"/>
        <v>Thanh Hóa</v>
      </c>
      <c r="D5142" s="3" t="s">
        <v>352</v>
      </c>
      <c r="E5142" s="4" t="str">
        <f t="shared" si="414"/>
        <v>Huyện Như Xuân</v>
      </c>
      <c r="F5142" s="3" t="s">
        <v>5905</v>
      </c>
      <c r="G5142" s="4" t="str">
        <f>HYPERLINK("https://diaocthongthai.com/xa-thanh-son-nhu-xuan/","Xã Thanh Sơn")</f>
        <v>Xã Thanh Sơn</v>
      </c>
    </row>
    <row r="5143" spans="1:7" x14ac:dyDescent="0.25">
      <c r="A5143" s="2">
        <v>5142</v>
      </c>
      <c r="B5143" s="3" t="s">
        <v>28</v>
      </c>
      <c r="C5143" s="4" t="str">
        <f t="shared" si="412"/>
        <v>Thanh Hóa</v>
      </c>
      <c r="D5143" s="3" t="s">
        <v>352</v>
      </c>
      <c r="E5143" s="4" t="str">
        <f t="shared" si="414"/>
        <v>Huyện Như Xuân</v>
      </c>
      <c r="F5143" s="3" t="s">
        <v>5906</v>
      </c>
      <c r="G5143" s="4" t="str">
        <f>HYPERLINK("https://diaocthongthai.com/xa-thuong-ninh-nhu-xuan/","Xã Thượng Ninh")</f>
        <v>Xã Thượng Ninh</v>
      </c>
    </row>
    <row r="5144" spans="1:7" x14ac:dyDescent="0.25">
      <c r="A5144" s="2">
        <v>5143</v>
      </c>
      <c r="B5144" s="3" t="s">
        <v>28</v>
      </c>
      <c r="C5144" s="4" t="str">
        <f t="shared" si="412"/>
        <v>Thanh Hóa</v>
      </c>
      <c r="D5144" s="3" t="s">
        <v>353</v>
      </c>
      <c r="E5144" s="4" t="str">
        <f t="shared" ref="E5144:E5157" si="415">HYPERLINK("https://diaocthongthai.com/ban-do-huyen-nhu-thanh-thanh-hoa/","Huyện Như Thanh")</f>
        <v>Huyện Như Thanh</v>
      </c>
      <c r="F5144" s="3" t="s">
        <v>5907</v>
      </c>
      <c r="G5144" s="4" t="str">
        <f>HYPERLINK("https://diaocthongthai.com/thi-tran-ben-sung-nhu-thanh/","Thị trấn Bến Sung")</f>
        <v>Thị trấn Bến Sung</v>
      </c>
    </row>
    <row r="5145" spans="1:7" x14ac:dyDescent="0.25">
      <c r="A5145" s="2">
        <v>5144</v>
      </c>
      <c r="B5145" s="3" t="s">
        <v>28</v>
      </c>
      <c r="C5145" s="4" t="str">
        <f t="shared" si="412"/>
        <v>Thanh Hóa</v>
      </c>
      <c r="D5145" s="3" t="s">
        <v>353</v>
      </c>
      <c r="E5145" s="4" t="str">
        <f t="shared" si="415"/>
        <v>Huyện Như Thanh</v>
      </c>
      <c r="F5145" s="3" t="s">
        <v>5908</v>
      </c>
      <c r="G5145" s="4" t="str">
        <f>HYPERLINK("https://diaocthongthai.com/xa-can-khe-nhu-thanh/","Xã Cán Khê")</f>
        <v>Xã Cán Khê</v>
      </c>
    </row>
    <row r="5146" spans="1:7" x14ac:dyDescent="0.25">
      <c r="A5146" s="2">
        <v>5145</v>
      </c>
      <c r="B5146" s="3" t="s">
        <v>28</v>
      </c>
      <c r="C5146" s="4" t="str">
        <f t="shared" si="412"/>
        <v>Thanh Hóa</v>
      </c>
      <c r="D5146" s="3" t="s">
        <v>353</v>
      </c>
      <c r="E5146" s="4" t="str">
        <f t="shared" si="415"/>
        <v>Huyện Như Thanh</v>
      </c>
      <c r="F5146" s="3" t="s">
        <v>5909</v>
      </c>
      <c r="G5146" s="4" t="str">
        <f>HYPERLINK("https://diaocthongthai.com/xa-xuan-du-nhu-thanh/","Xã Xuân Du")</f>
        <v>Xã Xuân Du</v>
      </c>
    </row>
    <row r="5147" spans="1:7" x14ac:dyDescent="0.25">
      <c r="A5147" s="2">
        <v>5146</v>
      </c>
      <c r="B5147" s="3" t="s">
        <v>28</v>
      </c>
      <c r="C5147" s="4" t="str">
        <f t="shared" ref="C5147:C5210" si="416">HYPERLINK("https://diaocthongthai.com/ban-do-thanh-hoa/","Thanh Hóa")</f>
        <v>Thanh Hóa</v>
      </c>
      <c r="D5147" s="3" t="s">
        <v>353</v>
      </c>
      <c r="E5147" s="4" t="str">
        <f t="shared" si="415"/>
        <v>Huyện Như Thanh</v>
      </c>
      <c r="F5147" s="3" t="s">
        <v>5910</v>
      </c>
      <c r="G5147" s="4" t="str">
        <f>HYPERLINK("https://diaocthongthai.com/xa-phuong-nghi-nhu-thanh/","Xã Phượng Nghi")</f>
        <v>Xã Phượng Nghi</v>
      </c>
    </row>
    <row r="5148" spans="1:7" x14ac:dyDescent="0.25">
      <c r="A5148" s="2">
        <v>5147</v>
      </c>
      <c r="B5148" s="3" t="s">
        <v>28</v>
      </c>
      <c r="C5148" s="4" t="str">
        <f t="shared" si="416"/>
        <v>Thanh Hóa</v>
      </c>
      <c r="D5148" s="3" t="s">
        <v>353</v>
      </c>
      <c r="E5148" s="4" t="str">
        <f t="shared" si="415"/>
        <v>Huyện Như Thanh</v>
      </c>
      <c r="F5148" s="3" t="s">
        <v>5911</v>
      </c>
      <c r="G5148" s="4" t="str">
        <f>HYPERLINK("https://diaocthongthai.com/xa-mau-lam-nhu-thanh/","Xã Mậu Lâm")</f>
        <v>Xã Mậu Lâm</v>
      </c>
    </row>
    <row r="5149" spans="1:7" x14ac:dyDescent="0.25">
      <c r="A5149" s="2">
        <v>5148</v>
      </c>
      <c r="B5149" s="3" t="s">
        <v>28</v>
      </c>
      <c r="C5149" s="4" t="str">
        <f t="shared" si="416"/>
        <v>Thanh Hóa</v>
      </c>
      <c r="D5149" s="3" t="s">
        <v>353</v>
      </c>
      <c r="E5149" s="4" t="str">
        <f t="shared" si="415"/>
        <v>Huyện Như Thanh</v>
      </c>
      <c r="F5149" s="3" t="s">
        <v>5912</v>
      </c>
      <c r="G5149" s="4" t="str">
        <f>HYPERLINK("https://diaocthongthai.com/xa-xuan-khang-nhu-thanh/","Xã Xuân Khang")</f>
        <v>Xã Xuân Khang</v>
      </c>
    </row>
    <row r="5150" spans="1:7" x14ac:dyDescent="0.25">
      <c r="A5150" s="2">
        <v>5149</v>
      </c>
      <c r="B5150" s="3" t="s">
        <v>28</v>
      </c>
      <c r="C5150" s="4" t="str">
        <f t="shared" si="416"/>
        <v>Thanh Hóa</v>
      </c>
      <c r="D5150" s="3" t="s">
        <v>353</v>
      </c>
      <c r="E5150" s="4" t="str">
        <f t="shared" si="415"/>
        <v>Huyện Như Thanh</v>
      </c>
      <c r="F5150" s="3" t="s">
        <v>5913</v>
      </c>
      <c r="G5150" s="4" t="str">
        <f>HYPERLINK("https://diaocthongthai.com/xa-phu-nhuan-nhu-thanh/","Xã Phú Nhuận")</f>
        <v>Xã Phú Nhuận</v>
      </c>
    </row>
    <row r="5151" spans="1:7" x14ac:dyDescent="0.25">
      <c r="A5151" s="2">
        <v>5150</v>
      </c>
      <c r="B5151" s="3" t="s">
        <v>28</v>
      </c>
      <c r="C5151" s="4" t="str">
        <f t="shared" si="416"/>
        <v>Thanh Hóa</v>
      </c>
      <c r="D5151" s="3" t="s">
        <v>353</v>
      </c>
      <c r="E5151" s="4" t="str">
        <f t="shared" si="415"/>
        <v>Huyện Như Thanh</v>
      </c>
      <c r="F5151" s="3" t="s">
        <v>5914</v>
      </c>
      <c r="G5151" s="4" t="str">
        <f>HYPERLINK("https://diaocthongthai.com/xa-hai-long-nhu-thanh/","Xã Hải Long")</f>
        <v>Xã Hải Long</v>
      </c>
    </row>
    <row r="5152" spans="1:7" x14ac:dyDescent="0.25">
      <c r="A5152" s="2">
        <v>5151</v>
      </c>
      <c r="B5152" s="3" t="s">
        <v>28</v>
      </c>
      <c r="C5152" s="4" t="str">
        <f t="shared" si="416"/>
        <v>Thanh Hóa</v>
      </c>
      <c r="D5152" s="3" t="s">
        <v>353</v>
      </c>
      <c r="E5152" s="4" t="str">
        <f t="shared" si="415"/>
        <v>Huyện Như Thanh</v>
      </c>
      <c r="F5152" s="3" t="s">
        <v>5915</v>
      </c>
      <c r="G5152" s="4" t="str">
        <f>HYPERLINK("https://diaocthongthai.com/xa-xuan-thai-nhu-thanh/","Xã Xuân Thái")</f>
        <v>Xã Xuân Thái</v>
      </c>
    </row>
    <row r="5153" spans="1:7" x14ac:dyDescent="0.25">
      <c r="A5153" s="2">
        <v>5152</v>
      </c>
      <c r="B5153" s="3" t="s">
        <v>28</v>
      </c>
      <c r="C5153" s="4" t="str">
        <f t="shared" si="416"/>
        <v>Thanh Hóa</v>
      </c>
      <c r="D5153" s="3" t="s">
        <v>353</v>
      </c>
      <c r="E5153" s="4" t="str">
        <f t="shared" si="415"/>
        <v>Huyện Như Thanh</v>
      </c>
      <c r="F5153" s="3" t="s">
        <v>5916</v>
      </c>
      <c r="G5153" s="4" t="str">
        <f>HYPERLINK("https://diaocthongthai.com/xa-xuan-phuc-nhu-thanh/","Xã Xuân Phúc")</f>
        <v>Xã Xuân Phúc</v>
      </c>
    </row>
    <row r="5154" spans="1:7" x14ac:dyDescent="0.25">
      <c r="A5154" s="2">
        <v>5153</v>
      </c>
      <c r="B5154" s="3" t="s">
        <v>28</v>
      </c>
      <c r="C5154" s="4" t="str">
        <f t="shared" si="416"/>
        <v>Thanh Hóa</v>
      </c>
      <c r="D5154" s="3" t="s">
        <v>353</v>
      </c>
      <c r="E5154" s="4" t="str">
        <f t="shared" si="415"/>
        <v>Huyện Như Thanh</v>
      </c>
      <c r="F5154" s="3" t="s">
        <v>5917</v>
      </c>
      <c r="G5154" s="4" t="str">
        <f>HYPERLINK("https://diaocthongthai.com/xa-yen-tho-nhu-thanh/","Xã Yên Thọ")</f>
        <v>Xã Yên Thọ</v>
      </c>
    </row>
    <row r="5155" spans="1:7" x14ac:dyDescent="0.25">
      <c r="A5155" s="2">
        <v>5154</v>
      </c>
      <c r="B5155" s="3" t="s">
        <v>28</v>
      </c>
      <c r="C5155" s="4" t="str">
        <f t="shared" si="416"/>
        <v>Thanh Hóa</v>
      </c>
      <c r="D5155" s="3" t="s">
        <v>353</v>
      </c>
      <c r="E5155" s="4" t="str">
        <f t="shared" si="415"/>
        <v>Huyện Như Thanh</v>
      </c>
      <c r="F5155" s="3" t="s">
        <v>5918</v>
      </c>
      <c r="G5155" s="4" t="str">
        <f>HYPERLINK("https://diaocthongthai.com/xa-yen-lac-nhu-thanh/","Xã Yên Lạc")</f>
        <v>Xã Yên Lạc</v>
      </c>
    </row>
    <row r="5156" spans="1:7" x14ac:dyDescent="0.25">
      <c r="A5156" s="2">
        <v>5155</v>
      </c>
      <c r="B5156" s="3" t="s">
        <v>28</v>
      </c>
      <c r="C5156" s="4" t="str">
        <f t="shared" si="416"/>
        <v>Thanh Hóa</v>
      </c>
      <c r="D5156" s="3" t="s">
        <v>353</v>
      </c>
      <c r="E5156" s="4" t="str">
        <f t="shared" si="415"/>
        <v>Huyện Như Thanh</v>
      </c>
      <c r="F5156" s="3" t="s">
        <v>5919</v>
      </c>
      <c r="G5156" s="4" t="str">
        <f>HYPERLINK("https://diaocthongthai.com/xa-thanh-tan-nhu-thanh/","Xã Thanh Tân")</f>
        <v>Xã Thanh Tân</v>
      </c>
    </row>
    <row r="5157" spans="1:7" x14ac:dyDescent="0.25">
      <c r="A5157" s="2">
        <v>5156</v>
      </c>
      <c r="B5157" s="3" t="s">
        <v>28</v>
      </c>
      <c r="C5157" s="4" t="str">
        <f t="shared" si="416"/>
        <v>Thanh Hóa</v>
      </c>
      <c r="D5157" s="3" t="s">
        <v>353</v>
      </c>
      <c r="E5157" s="4" t="str">
        <f t="shared" si="415"/>
        <v>Huyện Như Thanh</v>
      </c>
      <c r="F5157" s="3" t="s">
        <v>5920</v>
      </c>
      <c r="G5157" s="4" t="str">
        <f>HYPERLINK("https://diaocthongthai.com/xa-thanh-ky-nhu-thanh/","Xã Thanh Kỳ")</f>
        <v>Xã Thanh Kỳ</v>
      </c>
    </row>
    <row r="5158" spans="1:7" x14ac:dyDescent="0.25">
      <c r="A5158" s="2">
        <v>5157</v>
      </c>
      <c r="B5158" s="3" t="s">
        <v>28</v>
      </c>
      <c r="C5158" s="4" t="str">
        <f t="shared" si="416"/>
        <v>Thanh Hóa</v>
      </c>
      <c r="D5158" s="3" t="s">
        <v>354</v>
      </c>
      <c r="E5158" s="4" t="str">
        <f t="shared" ref="E5158:E5186" si="417">HYPERLINK("https://diaocthongthai.com/ban-do-huyen-nong-cong-thanh-hoa/","Huyện Nông Cống")</f>
        <v>Huyện Nông Cống</v>
      </c>
      <c r="F5158" s="3" t="s">
        <v>5921</v>
      </c>
      <c r="G5158" s="4" t="str">
        <f>HYPERLINK("https://diaocthongthai.com/thi-tran-nong-cong-nong-cong/","Thị trấn Nông Cống")</f>
        <v>Thị trấn Nông Cống</v>
      </c>
    </row>
    <row r="5159" spans="1:7" x14ac:dyDescent="0.25">
      <c r="A5159" s="2">
        <v>5158</v>
      </c>
      <c r="B5159" s="3" t="s">
        <v>28</v>
      </c>
      <c r="C5159" s="4" t="str">
        <f t="shared" si="416"/>
        <v>Thanh Hóa</v>
      </c>
      <c r="D5159" s="3" t="s">
        <v>354</v>
      </c>
      <c r="E5159" s="4" t="str">
        <f t="shared" si="417"/>
        <v>Huyện Nông Cống</v>
      </c>
      <c r="F5159" s="3" t="s">
        <v>5922</v>
      </c>
      <c r="G5159" s="4" t="str">
        <f>HYPERLINK("https://diaocthongthai.com/xa-tan-phuc-nong-cong/","Xã Tân Phúc")</f>
        <v>Xã Tân Phúc</v>
      </c>
    </row>
    <row r="5160" spans="1:7" x14ac:dyDescent="0.25">
      <c r="A5160" s="2">
        <v>5159</v>
      </c>
      <c r="B5160" s="3" t="s">
        <v>28</v>
      </c>
      <c r="C5160" s="4" t="str">
        <f t="shared" si="416"/>
        <v>Thanh Hóa</v>
      </c>
      <c r="D5160" s="3" t="s">
        <v>354</v>
      </c>
      <c r="E5160" s="4" t="str">
        <f t="shared" si="417"/>
        <v>Huyện Nông Cống</v>
      </c>
      <c r="F5160" s="3" t="s">
        <v>5923</v>
      </c>
      <c r="G5160" s="4" t="str">
        <f>HYPERLINK("https://diaocthongthai.com/xa-tan-tho-nong-cong/","Xã Tân Thọ")</f>
        <v>Xã Tân Thọ</v>
      </c>
    </row>
    <row r="5161" spans="1:7" x14ac:dyDescent="0.25">
      <c r="A5161" s="2">
        <v>5160</v>
      </c>
      <c r="B5161" s="3" t="s">
        <v>28</v>
      </c>
      <c r="C5161" s="4" t="str">
        <f t="shared" si="416"/>
        <v>Thanh Hóa</v>
      </c>
      <c r="D5161" s="3" t="s">
        <v>354</v>
      </c>
      <c r="E5161" s="4" t="str">
        <f t="shared" si="417"/>
        <v>Huyện Nông Cống</v>
      </c>
      <c r="F5161" s="3" t="s">
        <v>5924</v>
      </c>
      <c r="G5161" s="4" t="str">
        <f>HYPERLINK("https://diaocthongthai.com/xa-hoang-son-nong-cong/","Xã Hoàng Sơn")</f>
        <v>Xã Hoàng Sơn</v>
      </c>
    </row>
    <row r="5162" spans="1:7" x14ac:dyDescent="0.25">
      <c r="A5162" s="2">
        <v>5161</v>
      </c>
      <c r="B5162" s="3" t="s">
        <v>28</v>
      </c>
      <c r="C5162" s="4" t="str">
        <f t="shared" si="416"/>
        <v>Thanh Hóa</v>
      </c>
      <c r="D5162" s="3" t="s">
        <v>354</v>
      </c>
      <c r="E5162" s="4" t="str">
        <f t="shared" si="417"/>
        <v>Huyện Nông Cống</v>
      </c>
      <c r="F5162" s="3" t="s">
        <v>5925</v>
      </c>
      <c r="G5162" s="4" t="str">
        <f>HYPERLINK("https://diaocthongthai.com/xa-tan-khang-nong-cong/","Xã Tân Khang")</f>
        <v>Xã Tân Khang</v>
      </c>
    </row>
    <row r="5163" spans="1:7" x14ac:dyDescent="0.25">
      <c r="A5163" s="2">
        <v>5162</v>
      </c>
      <c r="B5163" s="3" t="s">
        <v>28</v>
      </c>
      <c r="C5163" s="4" t="str">
        <f t="shared" si="416"/>
        <v>Thanh Hóa</v>
      </c>
      <c r="D5163" s="3" t="s">
        <v>354</v>
      </c>
      <c r="E5163" s="4" t="str">
        <f t="shared" si="417"/>
        <v>Huyện Nông Cống</v>
      </c>
      <c r="F5163" s="3" t="s">
        <v>5926</v>
      </c>
      <c r="G5163" s="4" t="str">
        <f>HYPERLINK("https://diaocthongthai.com/xa-hoang-giang-nong-cong/","Xã Hoàng Giang")</f>
        <v>Xã Hoàng Giang</v>
      </c>
    </row>
    <row r="5164" spans="1:7" x14ac:dyDescent="0.25">
      <c r="A5164" s="2">
        <v>5163</v>
      </c>
      <c r="B5164" s="3" t="s">
        <v>28</v>
      </c>
      <c r="C5164" s="4" t="str">
        <f t="shared" si="416"/>
        <v>Thanh Hóa</v>
      </c>
      <c r="D5164" s="3" t="s">
        <v>354</v>
      </c>
      <c r="E5164" s="4" t="str">
        <f t="shared" si="417"/>
        <v>Huyện Nông Cống</v>
      </c>
      <c r="F5164" s="3" t="s">
        <v>5927</v>
      </c>
      <c r="G5164" s="4" t="str">
        <f>HYPERLINK("https://diaocthongthai.com/xa-trung-chinh-nong-cong/","Xã Trung Chính")</f>
        <v>Xã Trung Chính</v>
      </c>
    </row>
    <row r="5165" spans="1:7" x14ac:dyDescent="0.25">
      <c r="A5165" s="2">
        <v>5164</v>
      </c>
      <c r="B5165" s="3" t="s">
        <v>28</v>
      </c>
      <c r="C5165" s="4" t="str">
        <f t="shared" si="416"/>
        <v>Thanh Hóa</v>
      </c>
      <c r="D5165" s="3" t="s">
        <v>354</v>
      </c>
      <c r="E5165" s="4" t="str">
        <f t="shared" si="417"/>
        <v>Huyện Nông Cống</v>
      </c>
      <c r="F5165" s="3" t="s">
        <v>5928</v>
      </c>
      <c r="G5165" s="4" t="str">
        <f>HYPERLINK("https://diaocthongthai.com/xa-trung-thanh-nong-cong/","Xã Trung Thành")</f>
        <v>Xã Trung Thành</v>
      </c>
    </row>
    <row r="5166" spans="1:7" x14ac:dyDescent="0.25">
      <c r="A5166" s="2">
        <v>5165</v>
      </c>
      <c r="B5166" s="3" t="s">
        <v>28</v>
      </c>
      <c r="C5166" s="4" t="str">
        <f t="shared" si="416"/>
        <v>Thanh Hóa</v>
      </c>
      <c r="D5166" s="3" t="s">
        <v>354</v>
      </c>
      <c r="E5166" s="4" t="str">
        <f t="shared" si="417"/>
        <v>Huyện Nông Cống</v>
      </c>
      <c r="F5166" s="3" t="s">
        <v>5929</v>
      </c>
      <c r="G5166" s="4" t="str">
        <f>HYPERLINK("https://diaocthongthai.com/xa-te-thang-nong-cong/","Xã Tế Thắng")</f>
        <v>Xã Tế Thắng</v>
      </c>
    </row>
    <row r="5167" spans="1:7" x14ac:dyDescent="0.25">
      <c r="A5167" s="2">
        <v>5166</v>
      </c>
      <c r="B5167" s="3" t="s">
        <v>28</v>
      </c>
      <c r="C5167" s="4" t="str">
        <f t="shared" si="416"/>
        <v>Thanh Hóa</v>
      </c>
      <c r="D5167" s="3" t="s">
        <v>354</v>
      </c>
      <c r="E5167" s="4" t="str">
        <f t="shared" si="417"/>
        <v>Huyện Nông Cống</v>
      </c>
      <c r="F5167" s="3" t="s">
        <v>5930</v>
      </c>
      <c r="G5167" s="4" t="str">
        <f>HYPERLINK("https://diaocthongthai.com/xa-te-loi-nong-cong/","Xã Tế Lợi")</f>
        <v>Xã Tế Lợi</v>
      </c>
    </row>
    <row r="5168" spans="1:7" x14ac:dyDescent="0.25">
      <c r="A5168" s="2">
        <v>5167</v>
      </c>
      <c r="B5168" s="3" t="s">
        <v>28</v>
      </c>
      <c r="C5168" s="4" t="str">
        <f t="shared" si="416"/>
        <v>Thanh Hóa</v>
      </c>
      <c r="D5168" s="3" t="s">
        <v>354</v>
      </c>
      <c r="E5168" s="4" t="str">
        <f t="shared" si="417"/>
        <v>Huyện Nông Cống</v>
      </c>
      <c r="F5168" s="3" t="s">
        <v>5931</v>
      </c>
      <c r="G5168" s="4" t="str">
        <f>HYPERLINK("https://diaocthongthai.com/xa-te-nong-nong-cong/","Xã Tế Nông")</f>
        <v>Xã Tế Nông</v>
      </c>
    </row>
    <row r="5169" spans="1:7" x14ac:dyDescent="0.25">
      <c r="A5169" s="2">
        <v>5168</v>
      </c>
      <c r="B5169" s="3" t="s">
        <v>28</v>
      </c>
      <c r="C5169" s="4" t="str">
        <f t="shared" si="416"/>
        <v>Thanh Hóa</v>
      </c>
      <c r="D5169" s="3" t="s">
        <v>354</v>
      </c>
      <c r="E5169" s="4" t="str">
        <f t="shared" si="417"/>
        <v>Huyện Nông Cống</v>
      </c>
      <c r="F5169" s="3" t="s">
        <v>5932</v>
      </c>
      <c r="G5169" s="4" t="str">
        <f>HYPERLINK("https://diaocthongthai.com/xa-minh-nghia-nong-cong/","Xã Minh Nghĩa")</f>
        <v>Xã Minh Nghĩa</v>
      </c>
    </row>
    <row r="5170" spans="1:7" x14ac:dyDescent="0.25">
      <c r="A5170" s="2">
        <v>5169</v>
      </c>
      <c r="B5170" s="3" t="s">
        <v>28</v>
      </c>
      <c r="C5170" s="4" t="str">
        <f t="shared" si="416"/>
        <v>Thanh Hóa</v>
      </c>
      <c r="D5170" s="3" t="s">
        <v>354</v>
      </c>
      <c r="E5170" s="4" t="str">
        <f t="shared" si="417"/>
        <v>Huyện Nông Cống</v>
      </c>
      <c r="F5170" s="3" t="s">
        <v>5933</v>
      </c>
      <c r="G5170" s="4" t="str">
        <f>HYPERLINK("https://diaocthongthai.com/xa-minh-khoi-nong-cong/","Xã Minh Khôi")</f>
        <v>Xã Minh Khôi</v>
      </c>
    </row>
    <row r="5171" spans="1:7" x14ac:dyDescent="0.25">
      <c r="A5171" s="2">
        <v>5170</v>
      </c>
      <c r="B5171" s="3" t="s">
        <v>28</v>
      </c>
      <c r="C5171" s="4" t="str">
        <f t="shared" si="416"/>
        <v>Thanh Hóa</v>
      </c>
      <c r="D5171" s="3" t="s">
        <v>354</v>
      </c>
      <c r="E5171" s="4" t="str">
        <f t="shared" si="417"/>
        <v>Huyện Nông Cống</v>
      </c>
      <c r="F5171" s="3" t="s">
        <v>5934</v>
      </c>
      <c r="G5171" s="4" t="str">
        <f>HYPERLINK("https://diaocthongthai.com/xa-van-hoa-nong-cong/","Xã Vạn Hòa")</f>
        <v>Xã Vạn Hòa</v>
      </c>
    </row>
    <row r="5172" spans="1:7" x14ac:dyDescent="0.25">
      <c r="A5172" s="2">
        <v>5171</v>
      </c>
      <c r="B5172" s="3" t="s">
        <v>28</v>
      </c>
      <c r="C5172" s="4" t="str">
        <f t="shared" si="416"/>
        <v>Thanh Hóa</v>
      </c>
      <c r="D5172" s="3" t="s">
        <v>354</v>
      </c>
      <c r="E5172" s="4" t="str">
        <f t="shared" si="417"/>
        <v>Huyện Nông Cống</v>
      </c>
      <c r="F5172" s="3" t="s">
        <v>5935</v>
      </c>
      <c r="G5172" s="4" t="str">
        <f>HYPERLINK("https://diaocthongthai.com/xa-truong-trung-nong-cong/","Xã Trường Trung")</f>
        <v>Xã Trường Trung</v>
      </c>
    </row>
    <row r="5173" spans="1:7" x14ac:dyDescent="0.25">
      <c r="A5173" s="2">
        <v>5172</v>
      </c>
      <c r="B5173" s="3" t="s">
        <v>28</v>
      </c>
      <c r="C5173" s="4" t="str">
        <f t="shared" si="416"/>
        <v>Thanh Hóa</v>
      </c>
      <c r="D5173" s="3" t="s">
        <v>354</v>
      </c>
      <c r="E5173" s="4" t="str">
        <f t="shared" si="417"/>
        <v>Huyện Nông Cống</v>
      </c>
      <c r="F5173" s="3" t="s">
        <v>5936</v>
      </c>
      <c r="G5173" s="4" t="str">
        <f>HYPERLINK("https://diaocthongthai.com/xa-van-thang-nong-cong/","Xã Vạn Thắng")</f>
        <v>Xã Vạn Thắng</v>
      </c>
    </row>
    <row r="5174" spans="1:7" x14ac:dyDescent="0.25">
      <c r="A5174" s="2">
        <v>5173</v>
      </c>
      <c r="B5174" s="3" t="s">
        <v>28</v>
      </c>
      <c r="C5174" s="4" t="str">
        <f t="shared" si="416"/>
        <v>Thanh Hóa</v>
      </c>
      <c r="D5174" s="3" t="s">
        <v>354</v>
      </c>
      <c r="E5174" s="4" t="str">
        <f t="shared" si="417"/>
        <v>Huyện Nông Cống</v>
      </c>
      <c r="F5174" s="3" t="s">
        <v>5937</v>
      </c>
      <c r="G5174" s="4" t="str">
        <f>HYPERLINK("https://diaocthongthai.com/xa-truong-giang-nong-cong/","Xã Trường Giang")</f>
        <v>Xã Trường Giang</v>
      </c>
    </row>
    <row r="5175" spans="1:7" x14ac:dyDescent="0.25">
      <c r="A5175" s="2">
        <v>5174</v>
      </c>
      <c r="B5175" s="3" t="s">
        <v>28</v>
      </c>
      <c r="C5175" s="4" t="str">
        <f t="shared" si="416"/>
        <v>Thanh Hóa</v>
      </c>
      <c r="D5175" s="3" t="s">
        <v>354</v>
      </c>
      <c r="E5175" s="4" t="str">
        <f t="shared" si="417"/>
        <v>Huyện Nông Cống</v>
      </c>
      <c r="F5175" s="3" t="s">
        <v>5938</v>
      </c>
      <c r="G5175" s="4" t="str">
        <f>HYPERLINK("https://diaocthongthai.com/xa-van-thien-nong-cong/","Xã Vạn Thiện")</f>
        <v>Xã Vạn Thiện</v>
      </c>
    </row>
    <row r="5176" spans="1:7" x14ac:dyDescent="0.25">
      <c r="A5176" s="2">
        <v>5175</v>
      </c>
      <c r="B5176" s="3" t="s">
        <v>28</v>
      </c>
      <c r="C5176" s="4" t="str">
        <f t="shared" si="416"/>
        <v>Thanh Hóa</v>
      </c>
      <c r="D5176" s="3" t="s">
        <v>354</v>
      </c>
      <c r="E5176" s="4" t="str">
        <f t="shared" si="417"/>
        <v>Huyện Nông Cống</v>
      </c>
      <c r="F5176" s="3" t="s">
        <v>5939</v>
      </c>
      <c r="G5176" s="4" t="str">
        <f>HYPERLINK("https://diaocthongthai.com/xa-thang-long-nong-cong/","Xã Thăng Long")</f>
        <v>Xã Thăng Long</v>
      </c>
    </row>
    <row r="5177" spans="1:7" x14ac:dyDescent="0.25">
      <c r="A5177" s="2">
        <v>5176</v>
      </c>
      <c r="B5177" s="3" t="s">
        <v>28</v>
      </c>
      <c r="C5177" s="4" t="str">
        <f t="shared" si="416"/>
        <v>Thanh Hóa</v>
      </c>
      <c r="D5177" s="3" t="s">
        <v>354</v>
      </c>
      <c r="E5177" s="4" t="str">
        <f t="shared" si="417"/>
        <v>Huyện Nông Cống</v>
      </c>
      <c r="F5177" s="3" t="s">
        <v>5940</v>
      </c>
      <c r="G5177" s="4" t="str">
        <f>HYPERLINK("https://diaocthongthai.com/xa-truong-minh-nong-cong/","Xã Trường Minh")</f>
        <v>Xã Trường Minh</v>
      </c>
    </row>
    <row r="5178" spans="1:7" x14ac:dyDescent="0.25">
      <c r="A5178" s="2">
        <v>5177</v>
      </c>
      <c r="B5178" s="3" t="s">
        <v>28</v>
      </c>
      <c r="C5178" s="4" t="str">
        <f t="shared" si="416"/>
        <v>Thanh Hóa</v>
      </c>
      <c r="D5178" s="3" t="s">
        <v>354</v>
      </c>
      <c r="E5178" s="4" t="str">
        <f t="shared" si="417"/>
        <v>Huyện Nông Cống</v>
      </c>
      <c r="F5178" s="3" t="s">
        <v>5941</v>
      </c>
      <c r="G5178" s="4" t="str">
        <f>HYPERLINK("https://diaocthongthai.com/xa-truong-son-nong-cong/","Xã Trường Sơn")</f>
        <v>Xã Trường Sơn</v>
      </c>
    </row>
    <row r="5179" spans="1:7" x14ac:dyDescent="0.25">
      <c r="A5179" s="2">
        <v>5178</v>
      </c>
      <c r="B5179" s="3" t="s">
        <v>28</v>
      </c>
      <c r="C5179" s="4" t="str">
        <f t="shared" si="416"/>
        <v>Thanh Hóa</v>
      </c>
      <c r="D5179" s="3" t="s">
        <v>354</v>
      </c>
      <c r="E5179" s="4" t="str">
        <f t="shared" si="417"/>
        <v>Huyện Nông Cống</v>
      </c>
      <c r="F5179" s="3" t="s">
        <v>5942</v>
      </c>
      <c r="G5179" s="4" t="str">
        <f>HYPERLINK("https://diaocthongthai.com/xa-thang-binh-nong-cong/","Xã Thăng Bình")</f>
        <v>Xã Thăng Bình</v>
      </c>
    </row>
    <row r="5180" spans="1:7" x14ac:dyDescent="0.25">
      <c r="A5180" s="2">
        <v>5179</v>
      </c>
      <c r="B5180" s="3" t="s">
        <v>28</v>
      </c>
      <c r="C5180" s="4" t="str">
        <f t="shared" si="416"/>
        <v>Thanh Hóa</v>
      </c>
      <c r="D5180" s="3" t="s">
        <v>354</v>
      </c>
      <c r="E5180" s="4" t="str">
        <f t="shared" si="417"/>
        <v>Huyện Nông Cống</v>
      </c>
      <c r="F5180" s="3" t="s">
        <v>5943</v>
      </c>
      <c r="G5180" s="4" t="str">
        <f>HYPERLINK("https://diaocthongthai.com/xa-cong-liem-nong-cong/","Xã Công Liêm")</f>
        <v>Xã Công Liêm</v>
      </c>
    </row>
    <row r="5181" spans="1:7" x14ac:dyDescent="0.25">
      <c r="A5181" s="2">
        <v>5180</v>
      </c>
      <c r="B5181" s="3" t="s">
        <v>28</v>
      </c>
      <c r="C5181" s="4" t="str">
        <f t="shared" si="416"/>
        <v>Thanh Hóa</v>
      </c>
      <c r="D5181" s="3" t="s">
        <v>354</v>
      </c>
      <c r="E5181" s="4" t="str">
        <f t="shared" si="417"/>
        <v>Huyện Nông Cống</v>
      </c>
      <c r="F5181" s="3" t="s">
        <v>5944</v>
      </c>
      <c r="G5181" s="4" t="str">
        <f>HYPERLINK("https://diaocthongthai.com/xa-tuong-van-nong-cong/","Xã Tượng Văn")</f>
        <v>Xã Tượng Văn</v>
      </c>
    </row>
    <row r="5182" spans="1:7" x14ac:dyDescent="0.25">
      <c r="A5182" s="2">
        <v>5181</v>
      </c>
      <c r="B5182" s="3" t="s">
        <v>28</v>
      </c>
      <c r="C5182" s="4" t="str">
        <f t="shared" si="416"/>
        <v>Thanh Hóa</v>
      </c>
      <c r="D5182" s="3" t="s">
        <v>354</v>
      </c>
      <c r="E5182" s="4" t="str">
        <f t="shared" si="417"/>
        <v>Huyện Nông Cống</v>
      </c>
      <c r="F5182" s="3" t="s">
        <v>5945</v>
      </c>
      <c r="G5182" s="4" t="str">
        <f>HYPERLINK("https://diaocthongthai.com/xa-thang-tho-nong-cong/","Xã Thăng Thọ")</f>
        <v>Xã Thăng Thọ</v>
      </c>
    </row>
    <row r="5183" spans="1:7" x14ac:dyDescent="0.25">
      <c r="A5183" s="2">
        <v>5182</v>
      </c>
      <c r="B5183" s="3" t="s">
        <v>28</v>
      </c>
      <c r="C5183" s="4" t="str">
        <f t="shared" si="416"/>
        <v>Thanh Hóa</v>
      </c>
      <c r="D5183" s="3" t="s">
        <v>354</v>
      </c>
      <c r="E5183" s="4" t="str">
        <f t="shared" si="417"/>
        <v>Huyện Nông Cống</v>
      </c>
      <c r="F5183" s="3" t="s">
        <v>5946</v>
      </c>
      <c r="G5183" s="4" t="str">
        <f>HYPERLINK("https://diaocthongthai.com/xa-tuong-linh-nong-cong/","Xã Tượng Lĩnh")</f>
        <v>Xã Tượng Lĩnh</v>
      </c>
    </row>
    <row r="5184" spans="1:7" x14ac:dyDescent="0.25">
      <c r="A5184" s="2">
        <v>5183</v>
      </c>
      <c r="B5184" s="3" t="s">
        <v>28</v>
      </c>
      <c r="C5184" s="4" t="str">
        <f t="shared" si="416"/>
        <v>Thanh Hóa</v>
      </c>
      <c r="D5184" s="3" t="s">
        <v>354</v>
      </c>
      <c r="E5184" s="4" t="str">
        <f t="shared" si="417"/>
        <v>Huyện Nông Cống</v>
      </c>
      <c r="F5184" s="3" t="s">
        <v>5947</v>
      </c>
      <c r="G5184" s="4" t="str">
        <f>HYPERLINK("https://diaocthongthai.com/xa-tuong-son-nong-cong/","Xã Tượng Sơn")</f>
        <v>Xã Tượng Sơn</v>
      </c>
    </row>
    <row r="5185" spans="1:7" x14ac:dyDescent="0.25">
      <c r="A5185" s="2">
        <v>5184</v>
      </c>
      <c r="B5185" s="3" t="s">
        <v>28</v>
      </c>
      <c r="C5185" s="4" t="str">
        <f t="shared" si="416"/>
        <v>Thanh Hóa</v>
      </c>
      <c r="D5185" s="3" t="s">
        <v>354</v>
      </c>
      <c r="E5185" s="4" t="str">
        <f t="shared" si="417"/>
        <v>Huyện Nông Cống</v>
      </c>
      <c r="F5185" s="3" t="s">
        <v>5948</v>
      </c>
      <c r="G5185" s="4" t="str">
        <f>HYPERLINK("https://diaocthongthai.com/xa-cong-chinh-nong-cong/","Xã Công Chính")</f>
        <v>Xã Công Chính</v>
      </c>
    </row>
    <row r="5186" spans="1:7" x14ac:dyDescent="0.25">
      <c r="A5186" s="2">
        <v>5185</v>
      </c>
      <c r="B5186" s="3" t="s">
        <v>28</v>
      </c>
      <c r="C5186" s="4" t="str">
        <f t="shared" si="416"/>
        <v>Thanh Hóa</v>
      </c>
      <c r="D5186" s="3" t="s">
        <v>354</v>
      </c>
      <c r="E5186" s="4" t="str">
        <f t="shared" si="417"/>
        <v>Huyện Nông Cống</v>
      </c>
      <c r="F5186" s="3" t="s">
        <v>5949</v>
      </c>
      <c r="G5186" s="4" t="str">
        <f>HYPERLINK("https://diaocthongthai.com/xa-yen-my-nong-cong/","Xã Yên Mỹ")</f>
        <v>Xã Yên Mỹ</v>
      </c>
    </row>
    <row r="5187" spans="1:7" x14ac:dyDescent="0.25">
      <c r="A5187" s="2">
        <v>5186</v>
      </c>
      <c r="B5187" s="3" t="s">
        <v>28</v>
      </c>
      <c r="C5187" s="4" t="str">
        <f t="shared" si="416"/>
        <v>Thanh Hóa</v>
      </c>
      <c r="D5187" s="3" t="s">
        <v>355</v>
      </c>
      <c r="E5187" s="4" t="str">
        <f t="shared" ref="E5187:E5200" si="418">HYPERLINK("https://diaocthongthai.com/ban-do-huyen-dong-son-thanh-hoa/","Huyện Đông Sơn")</f>
        <v>Huyện Đông Sơn</v>
      </c>
      <c r="F5187" s="3" t="s">
        <v>5950</v>
      </c>
      <c r="G5187" s="4" t="str">
        <f>HYPERLINK("https://diaocthongthai.com/thi-tran-rung-thong-dong-son/","Thị trấn Rừng Thông")</f>
        <v>Thị trấn Rừng Thông</v>
      </c>
    </row>
    <row r="5188" spans="1:7" x14ac:dyDescent="0.25">
      <c r="A5188" s="2">
        <v>5187</v>
      </c>
      <c r="B5188" s="3" t="s">
        <v>28</v>
      </c>
      <c r="C5188" s="4" t="str">
        <f t="shared" si="416"/>
        <v>Thanh Hóa</v>
      </c>
      <c r="D5188" s="3" t="s">
        <v>355</v>
      </c>
      <c r="E5188" s="4" t="str">
        <f t="shared" si="418"/>
        <v>Huyện Đông Sơn</v>
      </c>
      <c r="F5188" s="3" t="s">
        <v>5951</v>
      </c>
      <c r="G5188" s="4" t="str">
        <f>HYPERLINK("https://diaocthongthai.com/xa-dong-hoang-dong-son/","Xã Đông Hoàng")</f>
        <v>Xã Đông Hoàng</v>
      </c>
    </row>
    <row r="5189" spans="1:7" x14ac:dyDescent="0.25">
      <c r="A5189" s="2">
        <v>5188</v>
      </c>
      <c r="B5189" s="3" t="s">
        <v>28</v>
      </c>
      <c r="C5189" s="4" t="str">
        <f t="shared" si="416"/>
        <v>Thanh Hóa</v>
      </c>
      <c r="D5189" s="3" t="s">
        <v>355</v>
      </c>
      <c r="E5189" s="4" t="str">
        <f t="shared" si="418"/>
        <v>Huyện Đông Sơn</v>
      </c>
      <c r="F5189" s="3" t="s">
        <v>5952</v>
      </c>
      <c r="G5189" s="4" t="str">
        <f>HYPERLINK("https://diaocthongthai.com/xa-dong-ninh-dong-son/","Xã Đông Ninh")</f>
        <v>Xã Đông Ninh</v>
      </c>
    </row>
    <row r="5190" spans="1:7" x14ac:dyDescent="0.25">
      <c r="A5190" s="2">
        <v>5189</v>
      </c>
      <c r="B5190" s="3" t="s">
        <v>28</v>
      </c>
      <c r="C5190" s="4" t="str">
        <f t="shared" si="416"/>
        <v>Thanh Hóa</v>
      </c>
      <c r="D5190" s="3" t="s">
        <v>355</v>
      </c>
      <c r="E5190" s="4" t="str">
        <f t="shared" si="418"/>
        <v>Huyện Đông Sơn</v>
      </c>
      <c r="F5190" s="3" t="s">
        <v>5953</v>
      </c>
      <c r="G5190" s="4" t="str">
        <f>HYPERLINK("https://diaocthongthai.com/xa-dong-hoa-dong-son/","Xã Đông Hòa")</f>
        <v>Xã Đông Hòa</v>
      </c>
    </row>
    <row r="5191" spans="1:7" x14ac:dyDescent="0.25">
      <c r="A5191" s="2">
        <v>5190</v>
      </c>
      <c r="B5191" s="3" t="s">
        <v>28</v>
      </c>
      <c r="C5191" s="4" t="str">
        <f t="shared" si="416"/>
        <v>Thanh Hóa</v>
      </c>
      <c r="D5191" s="3" t="s">
        <v>355</v>
      </c>
      <c r="E5191" s="4" t="str">
        <f t="shared" si="418"/>
        <v>Huyện Đông Sơn</v>
      </c>
      <c r="F5191" s="3" t="s">
        <v>5954</v>
      </c>
      <c r="G5191" s="4" t="str">
        <f>HYPERLINK("https://diaocthongthai.com/xa-dong-yen-dong-son/","Xã Đông Yên")</f>
        <v>Xã Đông Yên</v>
      </c>
    </row>
    <row r="5192" spans="1:7" x14ac:dyDescent="0.25">
      <c r="A5192" s="2">
        <v>5191</v>
      </c>
      <c r="B5192" s="3" t="s">
        <v>28</v>
      </c>
      <c r="C5192" s="4" t="str">
        <f t="shared" si="416"/>
        <v>Thanh Hóa</v>
      </c>
      <c r="D5192" s="3" t="s">
        <v>355</v>
      </c>
      <c r="E5192" s="4" t="str">
        <f t="shared" si="418"/>
        <v>Huyện Đông Sơn</v>
      </c>
      <c r="F5192" s="3" t="s">
        <v>5955</v>
      </c>
      <c r="G5192" s="4" t="str">
        <f>HYPERLINK("https://diaocthongthai.com/xa-dong-minh-dong-son/","Xã Đông Minh")</f>
        <v>Xã Đông Minh</v>
      </c>
    </row>
    <row r="5193" spans="1:7" x14ac:dyDescent="0.25">
      <c r="A5193" s="2">
        <v>5192</v>
      </c>
      <c r="B5193" s="3" t="s">
        <v>28</v>
      </c>
      <c r="C5193" s="4" t="str">
        <f t="shared" si="416"/>
        <v>Thanh Hóa</v>
      </c>
      <c r="D5193" s="3" t="s">
        <v>355</v>
      </c>
      <c r="E5193" s="4" t="str">
        <f t="shared" si="418"/>
        <v>Huyện Đông Sơn</v>
      </c>
      <c r="F5193" s="3" t="s">
        <v>5956</v>
      </c>
      <c r="G5193" s="4" t="str">
        <f>HYPERLINK("https://diaocthongthai.com/xa-dong-thanh-dong-son/","Xã Đông Thanh")</f>
        <v>Xã Đông Thanh</v>
      </c>
    </row>
    <row r="5194" spans="1:7" x14ac:dyDescent="0.25">
      <c r="A5194" s="2">
        <v>5193</v>
      </c>
      <c r="B5194" s="3" t="s">
        <v>28</v>
      </c>
      <c r="C5194" s="4" t="str">
        <f t="shared" si="416"/>
        <v>Thanh Hóa</v>
      </c>
      <c r="D5194" s="3" t="s">
        <v>355</v>
      </c>
      <c r="E5194" s="4" t="str">
        <f t="shared" si="418"/>
        <v>Huyện Đông Sơn</v>
      </c>
      <c r="F5194" s="3" t="s">
        <v>5957</v>
      </c>
      <c r="G5194" s="4" t="str">
        <f>HYPERLINK("https://diaocthongthai.com/xa-dong-tien-dong-son/","Xã Đông Tiến")</f>
        <v>Xã Đông Tiến</v>
      </c>
    </row>
    <row r="5195" spans="1:7" x14ac:dyDescent="0.25">
      <c r="A5195" s="2">
        <v>5194</v>
      </c>
      <c r="B5195" s="3" t="s">
        <v>28</v>
      </c>
      <c r="C5195" s="4" t="str">
        <f t="shared" si="416"/>
        <v>Thanh Hóa</v>
      </c>
      <c r="D5195" s="3" t="s">
        <v>355</v>
      </c>
      <c r="E5195" s="4" t="str">
        <f t="shared" si="418"/>
        <v>Huyện Đông Sơn</v>
      </c>
      <c r="F5195" s="3" t="s">
        <v>5958</v>
      </c>
      <c r="G5195" s="4" t="str">
        <f>HYPERLINK("https://diaocthongthai.com/xa-dong-khe-dong-son/","Xã Đông Khê")</f>
        <v>Xã Đông Khê</v>
      </c>
    </row>
    <row r="5196" spans="1:7" x14ac:dyDescent="0.25">
      <c r="A5196" s="2">
        <v>5195</v>
      </c>
      <c r="B5196" s="3" t="s">
        <v>28</v>
      </c>
      <c r="C5196" s="4" t="str">
        <f t="shared" si="416"/>
        <v>Thanh Hóa</v>
      </c>
      <c r="D5196" s="3" t="s">
        <v>355</v>
      </c>
      <c r="E5196" s="4" t="str">
        <f t="shared" si="418"/>
        <v>Huyện Đông Sơn</v>
      </c>
      <c r="F5196" s="3" t="s">
        <v>5959</v>
      </c>
      <c r="G5196" s="4" t="str">
        <f>HYPERLINK("https://diaocthongthai.com/xa-dong-thinh-dong-son/","Xã Đông Thịnh")</f>
        <v>Xã Đông Thịnh</v>
      </c>
    </row>
    <row r="5197" spans="1:7" x14ac:dyDescent="0.25">
      <c r="A5197" s="2">
        <v>5196</v>
      </c>
      <c r="B5197" s="3" t="s">
        <v>28</v>
      </c>
      <c r="C5197" s="4" t="str">
        <f t="shared" si="416"/>
        <v>Thanh Hóa</v>
      </c>
      <c r="D5197" s="3" t="s">
        <v>355</v>
      </c>
      <c r="E5197" s="4" t="str">
        <f t="shared" si="418"/>
        <v>Huyện Đông Sơn</v>
      </c>
      <c r="F5197" s="3" t="s">
        <v>5960</v>
      </c>
      <c r="G5197" s="4" t="str">
        <f>HYPERLINK("https://diaocthongthai.com/xa-dong-van-dong-son/","Xã Đông Văn")</f>
        <v>Xã Đông Văn</v>
      </c>
    </row>
    <row r="5198" spans="1:7" x14ac:dyDescent="0.25">
      <c r="A5198" s="2">
        <v>5197</v>
      </c>
      <c r="B5198" s="3" t="s">
        <v>28</v>
      </c>
      <c r="C5198" s="4" t="str">
        <f t="shared" si="416"/>
        <v>Thanh Hóa</v>
      </c>
      <c r="D5198" s="3" t="s">
        <v>355</v>
      </c>
      <c r="E5198" s="4" t="str">
        <f t="shared" si="418"/>
        <v>Huyện Đông Sơn</v>
      </c>
      <c r="F5198" s="3" t="s">
        <v>5961</v>
      </c>
      <c r="G5198" s="4" t="str">
        <f>HYPERLINK("https://diaocthongthai.com/xa-dong-phu-dong-son/","Xã Đông Phú")</f>
        <v>Xã Đông Phú</v>
      </c>
    </row>
    <row r="5199" spans="1:7" x14ac:dyDescent="0.25">
      <c r="A5199" s="2">
        <v>5198</v>
      </c>
      <c r="B5199" s="3" t="s">
        <v>28</v>
      </c>
      <c r="C5199" s="4" t="str">
        <f t="shared" si="416"/>
        <v>Thanh Hóa</v>
      </c>
      <c r="D5199" s="3" t="s">
        <v>355</v>
      </c>
      <c r="E5199" s="4" t="str">
        <f t="shared" si="418"/>
        <v>Huyện Đông Sơn</v>
      </c>
      <c r="F5199" s="3" t="s">
        <v>5962</v>
      </c>
      <c r="G5199" s="4" t="str">
        <f>HYPERLINK("https://diaocthongthai.com/xa-dong-nam-dong-son/","Xã Đông Nam")</f>
        <v>Xã Đông Nam</v>
      </c>
    </row>
    <row r="5200" spans="1:7" x14ac:dyDescent="0.25">
      <c r="A5200" s="2">
        <v>5199</v>
      </c>
      <c r="B5200" s="3" t="s">
        <v>28</v>
      </c>
      <c r="C5200" s="4" t="str">
        <f t="shared" si="416"/>
        <v>Thanh Hóa</v>
      </c>
      <c r="D5200" s="3" t="s">
        <v>355</v>
      </c>
      <c r="E5200" s="4" t="str">
        <f t="shared" si="418"/>
        <v>Huyện Đông Sơn</v>
      </c>
      <c r="F5200" s="3" t="s">
        <v>5963</v>
      </c>
      <c r="G5200" s="4" t="str">
        <f>HYPERLINK("https://diaocthongthai.com/xa-dong-quang-dong-son/","Xã Đông Quang")</f>
        <v>Xã Đông Quang</v>
      </c>
    </row>
    <row r="5201" spans="1:7" x14ac:dyDescent="0.25">
      <c r="A5201" s="2">
        <v>5200</v>
      </c>
      <c r="B5201" s="3" t="s">
        <v>28</v>
      </c>
      <c r="C5201" s="4" t="str">
        <f t="shared" si="416"/>
        <v>Thanh Hóa</v>
      </c>
      <c r="D5201" s="3" t="s">
        <v>356</v>
      </c>
      <c r="E5201" s="4" t="str">
        <f t="shared" ref="E5201:E5226" si="419">HYPERLINK("https://diaocthongthai.com/ban-do-huyen-quang-xuong-thanh-hoa/","Huyện Quảng Xương")</f>
        <v>Huyện Quảng Xương</v>
      </c>
      <c r="F5201" s="3" t="s">
        <v>5964</v>
      </c>
      <c r="G5201" s="4" t="str">
        <f>HYPERLINK("https://diaocthongthai.com/thi-tran-tan-phong-quang-xuong/","Thị trấn Tân Phong")</f>
        <v>Thị trấn Tân Phong</v>
      </c>
    </row>
    <row r="5202" spans="1:7" x14ac:dyDescent="0.25">
      <c r="A5202" s="2">
        <v>5201</v>
      </c>
      <c r="B5202" s="3" t="s">
        <v>28</v>
      </c>
      <c r="C5202" s="4" t="str">
        <f t="shared" si="416"/>
        <v>Thanh Hóa</v>
      </c>
      <c r="D5202" s="3" t="s">
        <v>356</v>
      </c>
      <c r="E5202" s="4" t="str">
        <f t="shared" si="419"/>
        <v>Huyện Quảng Xương</v>
      </c>
      <c r="F5202" s="3" t="s">
        <v>5965</v>
      </c>
      <c r="G5202" s="4" t="str">
        <f>HYPERLINK("https://diaocthongthai.com/xa-quang-trach-quang-xuong/","Xã Quảng Trạch")</f>
        <v>Xã Quảng Trạch</v>
      </c>
    </row>
    <row r="5203" spans="1:7" x14ac:dyDescent="0.25">
      <c r="A5203" s="2">
        <v>5202</v>
      </c>
      <c r="B5203" s="3" t="s">
        <v>28</v>
      </c>
      <c r="C5203" s="4" t="str">
        <f t="shared" si="416"/>
        <v>Thanh Hóa</v>
      </c>
      <c r="D5203" s="3" t="s">
        <v>356</v>
      </c>
      <c r="E5203" s="4" t="str">
        <f t="shared" si="419"/>
        <v>Huyện Quảng Xương</v>
      </c>
      <c r="F5203" s="3" t="s">
        <v>5966</v>
      </c>
      <c r="G5203" s="4" t="str">
        <f>HYPERLINK("https://diaocthongthai.com/xa-quang-duc-quang-xuong/","Xã Quảng Đức")</f>
        <v>Xã Quảng Đức</v>
      </c>
    </row>
    <row r="5204" spans="1:7" x14ac:dyDescent="0.25">
      <c r="A5204" s="2">
        <v>5203</v>
      </c>
      <c r="B5204" s="3" t="s">
        <v>28</v>
      </c>
      <c r="C5204" s="4" t="str">
        <f t="shared" si="416"/>
        <v>Thanh Hóa</v>
      </c>
      <c r="D5204" s="3" t="s">
        <v>356</v>
      </c>
      <c r="E5204" s="4" t="str">
        <f t="shared" si="419"/>
        <v>Huyện Quảng Xương</v>
      </c>
      <c r="F5204" s="3" t="s">
        <v>5967</v>
      </c>
      <c r="G5204" s="4" t="str">
        <f>HYPERLINK("https://diaocthongthai.com/xa-quang-dinh-quang-xuong/","Xã Quảng Định")</f>
        <v>Xã Quảng Định</v>
      </c>
    </row>
    <row r="5205" spans="1:7" x14ac:dyDescent="0.25">
      <c r="A5205" s="2">
        <v>5204</v>
      </c>
      <c r="B5205" s="3" t="s">
        <v>28</v>
      </c>
      <c r="C5205" s="4" t="str">
        <f t="shared" si="416"/>
        <v>Thanh Hóa</v>
      </c>
      <c r="D5205" s="3" t="s">
        <v>356</v>
      </c>
      <c r="E5205" s="4" t="str">
        <f t="shared" si="419"/>
        <v>Huyện Quảng Xương</v>
      </c>
      <c r="F5205" s="3" t="s">
        <v>5968</v>
      </c>
      <c r="G5205" s="4" t="str">
        <f>HYPERLINK("https://diaocthongthai.com/xa-quang-nhan-quang-xuong/","Xã Quảng Nhân")</f>
        <v>Xã Quảng Nhân</v>
      </c>
    </row>
    <row r="5206" spans="1:7" x14ac:dyDescent="0.25">
      <c r="A5206" s="2">
        <v>5205</v>
      </c>
      <c r="B5206" s="3" t="s">
        <v>28</v>
      </c>
      <c r="C5206" s="4" t="str">
        <f t="shared" si="416"/>
        <v>Thanh Hóa</v>
      </c>
      <c r="D5206" s="3" t="s">
        <v>356</v>
      </c>
      <c r="E5206" s="4" t="str">
        <f t="shared" si="419"/>
        <v>Huyện Quảng Xương</v>
      </c>
      <c r="F5206" s="3" t="s">
        <v>5969</v>
      </c>
      <c r="G5206" s="4" t="str">
        <f>HYPERLINK("https://diaocthongthai.com/xa-quang-ninh-quang-xuong/","Xã Quảng Ninh")</f>
        <v>Xã Quảng Ninh</v>
      </c>
    </row>
    <row r="5207" spans="1:7" x14ac:dyDescent="0.25">
      <c r="A5207" s="2">
        <v>5206</v>
      </c>
      <c r="B5207" s="3" t="s">
        <v>28</v>
      </c>
      <c r="C5207" s="4" t="str">
        <f t="shared" si="416"/>
        <v>Thanh Hóa</v>
      </c>
      <c r="D5207" s="3" t="s">
        <v>356</v>
      </c>
      <c r="E5207" s="4" t="str">
        <f t="shared" si="419"/>
        <v>Huyện Quảng Xương</v>
      </c>
      <c r="F5207" s="3" t="s">
        <v>5970</v>
      </c>
      <c r="G5207" s="4" t="str">
        <f>HYPERLINK("https://diaocthongthai.com/xa-quang-binh-quang-xuong/","Xã Quảng Bình")</f>
        <v>Xã Quảng Bình</v>
      </c>
    </row>
    <row r="5208" spans="1:7" x14ac:dyDescent="0.25">
      <c r="A5208" s="2">
        <v>5207</v>
      </c>
      <c r="B5208" s="3" t="s">
        <v>28</v>
      </c>
      <c r="C5208" s="4" t="str">
        <f t="shared" si="416"/>
        <v>Thanh Hóa</v>
      </c>
      <c r="D5208" s="3" t="s">
        <v>356</v>
      </c>
      <c r="E5208" s="4" t="str">
        <f t="shared" si="419"/>
        <v>Huyện Quảng Xương</v>
      </c>
      <c r="F5208" s="3" t="s">
        <v>5971</v>
      </c>
      <c r="G5208" s="4" t="str">
        <f>HYPERLINK("https://diaocthongthai.com/xa-quang-hop-quang-xuong/","Xã Quảng Hợp")</f>
        <v>Xã Quảng Hợp</v>
      </c>
    </row>
    <row r="5209" spans="1:7" x14ac:dyDescent="0.25">
      <c r="A5209" s="2">
        <v>5208</v>
      </c>
      <c r="B5209" s="3" t="s">
        <v>28</v>
      </c>
      <c r="C5209" s="4" t="str">
        <f t="shared" si="416"/>
        <v>Thanh Hóa</v>
      </c>
      <c r="D5209" s="3" t="s">
        <v>356</v>
      </c>
      <c r="E5209" s="4" t="str">
        <f t="shared" si="419"/>
        <v>Huyện Quảng Xương</v>
      </c>
      <c r="F5209" s="3" t="s">
        <v>5972</v>
      </c>
      <c r="G5209" s="4" t="str">
        <f>HYPERLINK("https://diaocthongthai.com/xa-quang-van-quang-xuong/","Xã Quảng Văn")</f>
        <v>Xã Quảng Văn</v>
      </c>
    </row>
    <row r="5210" spans="1:7" x14ac:dyDescent="0.25">
      <c r="A5210" s="2">
        <v>5209</v>
      </c>
      <c r="B5210" s="3" t="s">
        <v>28</v>
      </c>
      <c r="C5210" s="4" t="str">
        <f t="shared" si="416"/>
        <v>Thanh Hóa</v>
      </c>
      <c r="D5210" s="3" t="s">
        <v>356</v>
      </c>
      <c r="E5210" s="4" t="str">
        <f t="shared" si="419"/>
        <v>Huyện Quảng Xương</v>
      </c>
      <c r="F5210" s="3" t="s">
        <v>5973</v>
      </c>
      <c r="G5210" s="4" t="str">
        <f>HYPERLINK("https://diaocthongthai.com/xa-quang-long-quang-xuong/","Xã Quảng Long")</f>
        <v>Xã Quảng Long</v>
      </c>
    </row>
    <row r="5211" spans="1:7" x14ac:dyDescent="0.25">
      <c r="A5211" s="2">
        <v>5210</v>
      </c>
      <c r="B5211" s="3" t="s">
        <v>28</v>
      </c>
      <c r="C5211" s="4" t="str">
        <f t="shared" ref="C5211:C5257" si="420">HYPERLINK("https://diaocthongthai.com/ban-do-thanh-hoa/","Thanh Hóa")</f>
        <v>Thanh Hóa</v>
      </c>
      <c r="D5211" s="3" t="s">
        <v>356</v>
      </c>
      <c r="E5211" s="4" t="str">
        <f t="shared" si="419"/>
        <v>Huyện Quảng Xương</v>
      </c>
      <c r="F5211" s="3" t="s">
        <v>5974</v>
      </c>
      <c r="G5211" s="4" t="str">
        <f>HYPERLINK("https://diaocthongthai.com/xa-quang-yen-quang-xuong/","Xã Quảng Yên")</f>
        <v>Xã Quảng Yên</v>
      </c>
    </row>
    <row r="5212" spans="1:7" x14ac:dyDescent="0.25">
      <c r="A5212" s="2">
        <v>5211</v>
      </c>
      <c r="B5212" s="3" t="s">
        <v>28</v>
      </c>
      <c r="C5212" s="4" t="str">
        <f t="shared" si="420"/>
        <v>Thanh Hóa</v>
      </c>
      <c r="D5212" s="3" t="s">
        <v>356</v>
      </c>
      <c r="E5212" s="4" t="str">
        <f t="shared" si="419"/>
        <v>Huyện Quảng Xương</v>
      </c>
      <c r="F5212" s="3" t="s">
        <v>5975</v>
      </c>
      <c r="G5212" s="4" t="str">
        <f>HYPERLINK("https://diaocthongthai.com/xa-quang-hoa-quang-xuong/","Xã Quảng Hòa")</f>
        <v>Xã Quảng Hòa</v>
      </c>
    </row>
    <row r="5213" spans="1:7" x14ac:dyDescent="0.25">
      <c r="A5213" s="2">
        <v>5212</v>
      </c>
      <c r="B5213" s="3" t="s">
        <v>28</v>
      </c>
      <c r="C5213" s="4" t="str">
        <f t="shared" si="420"/>
        <v>Thanh Hóa</v>
      </c>
      <c r="D5213" s="3" t="s">
        <v>356</v>
      </c>
      <c r="E5213" s="4" t="str">
        <f t="shared" si="419"/>
        <v>Huyện Quảng Xương</v>
      </c>
      <c r="F5213" s="3" t="s">
        <v>5976</v>
      </c>
      <c r="G5213" s="4" t="str">
        <f>HYPERLINK("https://diaocthongthai.com/xa-quang-khe-quang-xuong/","Xã Quảng Khê")</f>
        <v>Xã Quảng Khê</v>
      </c>
    </row>
    <row r="5214" spans="1:7" x14ac:dyDescent="0.25">
      <c r="A5214" s="2">
        <v>5213</v>
      </c>
      <c r="B5214" s="3" t="s">
        <v>28</v>
      </c>
      <c r="C5214" s="4" t="str">
        <f t="shared" si="420"/>
        <v>Thanh Hóa</v>
      </c>
      <c r="D5214" s="3" t="s">
        <v>356</v>
      </c>
      <c r="E5214" s="4" t="str">
        <f t="shared" si="419"/>
        <v>Huyện Quảng Xương</v>
      </c>
      <c r="F5214" s="3" t="s">
        <v>5977</v>
      </c>
      <c r="G5214" s="4" t="str">
        <f>HYPERLINK("https://diaocthongthai.com/xa-quang-trung-quang-xuong/","Xã Quảng Trung")</f>
        <v>Xã Quảng Trung</v>
      </c>
    </row>
    <row r="5215" spans="1:7" x14ac:dyDescent="0.25">
      <c r="A5215" s="2">
        <v>5214</v>
      </c>
      <c r="B5215" s="3" t="s">
        <v>28</v>
      </c>
      <c r="C5215" s="4" t="str">
        <f t="shared" si="420"/>
        <v>Thanh Hóa</v>
      </c>
      <c r="D5215" s="3" t="s">
        <v>356</v>
      </c>
      <c r="E5215" s="4" t="str">
        <f t="shared" si="419"/>
        <v>Huyện Quảng Xương</v>
      </c>
      <c r="F5215" s="3" t="s">
        <v>5978</v>
      </c>
      <c r="G5215" s="4" t="str">
        <f>HYPERLINK("https://diaocthongthai.com/xa-quang-chinh-quang-xuong/","Xã Quảng Chính")</f>
        <v>Xã Quảng Chính</v>
      </c>
    </row>
    <row r="5216" spans="1:7" x14ac:dyDescent="0.25">
      <c r="A5216" s="2">
        <v>5215</v>
      </c>
      <c r="B5216" s="3" t="s">
        <v>28</v>
      </c>
      <c r="C5216" s="4" t="str">
        <f t="shared" si="420"/>
        <v>Thanh Hóa</v>
      </c>
      <c r="D5216" s="3" t="s">
        <v>356</v>
      </c>
      <c r="E5216" s="4" t="str">
        <f t="shared" si="419"/>
        <v>Huyện Quảng Xương</v>
      </c>
      <c r="F5216" s="3" t="s">
        <v>5979</v>
      </c>
      <c r="G5216" s="4" t="str">
        <f>HYPERLINK("https://diaocthongthai.com/xa-quang-ngoc-quang-xuong/","Xã Quảng Ngọc")</f>
        <v>Xã Quảng Ngọc</v>
      </c>
    </row>
    <row r="5217" spans="1:7" x14ac:dyDescent="0.25">
      <c r="A5217" s="2">
        <v>5216</v>
      </c>
      <c r="B5217" s="3" t="s">
        <v>28</v>
      </c>
      <c r="C5217" s="4" t="str">
        <f t="shared" si="420"/>
        <v>Thanh Hóa</v>
      </c>
      <c r="D5217" s="3" t="s">
        <v>356</v>
      </c>
      <c r="E5217" s="4" t="str">
        <f t="shared" si="419"/>
        <v>Huyện Quảng Xương</v>
      </c>
      <c r="F5217" s="3" t="s">
        <v>5980</v>
      </c>
      <c r="G5217" s="4" t="str">
        <f>HYPERLINK("https://diaocthongthai.com/xa-quang-truong-quang-xuong/","Xã Quảng Trường")</f>
        <v>Xã Quảng Trường</v>
      </c>
    </row>
    <row r="5218" spans="1:7" x14ac:dyDescent="0.25">
      <c r="A5218" s="2">
        <v>5217</v>
      </c>
      <c r="B5218" s="3" t="s">
        <v>28</v>
      </c>
      <c r="C5218" s="4" t="str">
        <f t="shared" si="420"/>
        <v>Thanh Hóa</v>
      </c>
      <c r="D5218" s="3" t="s">
        <v>356</v>
      </c>
      <c r="E5218" s="4" t="str">
        <f t="shared" si="419"/>
        <v>Huyện Quảng Xương</v>
      </c>
      <c r="F5218" s="3" t="s">
        <v>5981</v>
      </c>
      <c r="G5218" s="4" t="str">
        <f>HYPERLINK("https://diaocthongthai.com/xa-quang-phuc-quang-xuong/","Xã Quảng Phúc")</f>
        <v>Xã Quảng Phúc</v>
      </c>
    </row>
    <row r="5219" spans="1:7" x14ac:dyDescent="0.25">
      <c r="A5219" s="2">
        <v>5218</v>
      </c>
      <c r="B5219" s="3" t="s">
        <v>28</v>
      </c>
      <c r="C5219" s="4" t="str">
        <f t="shared" si="420"/>
        <v>Thanh Hóa</v>
      </c>
      <c r="D5219" s="3" t="s">
        <v>356</v>
      </c>
      <c r="E5219" s="4" t="str">
        <f t="shared" si="419"/>
        <v>Huyện Quảng Xương</v>
      </c>
      <c r="F5219" s="3" t="s">
        <v>5982</v>
      </c>
      <c r="G5219" s="4" t="str">
        <f>HYPERLINK("https://diaocthongthai.com/xa-quang-giao-quang-xuong/","Xã Quảng Giao")</f>
        <v>Xã Quảng Giao</v>
      </c>
    </row>
    <row r="5220" spans="1:7" x14ac:dyDescent="0.25">
      <c r="A5220" s="2">
        <v>5219</v>
      </c>
      <c r="B5220" s="3" t="s">
        <v>28</v>
      </c>
      <c r="C5220" s="4" t="str">
        <f t="shared" si="420"/>
        <v>Thanh Hóa</v>
      </c>
      <c r="D5220" s="3" t="s">
        <v>356</v>
      </c>
      <c r="E5220" s="4" t="str">
        <f t="shared" si="419"/>
        <v>Huyện Quảng Xương</v>
      </c>
      <c r="F5220" s="3" t="s">
        <v>5983</v>
      </c>
      <c r="G5220" s="4" t="str">
        <f>HYPERLINK("https://diaocthongthai.com/xa-quang-hai-quang-xuong/","Xã Quảng Hải")</f>
        <v>Xã Quảng Hải</v>
      </c>
    </row>
    <row r="5221" spans="1:7" x14ac:dyDescent="0.25">
      <c r="A5221" s="2">
        <v>5220</v>
      </c>
      <c r="B5221" s="3" t="s">
        <v>28</v>
      </c>
      <c r="C5221" s="4" t="str">
        <f t="shared" si="420"/>
        <v>Thanh Hóa</v>
      </c>
      <c r="D5221" s="3" t="s">
        <v>356</v>
      </c>
      <c r="E5221" s="4" t="str">
        <f t="shared" si="419"/>
        <v>Huyện Quảng Xương</v>
      </c>
      <c r="F5221" s="3" t="s">
        <v>5984</v>
      </c>
      <c r="G5221" s="4" t="str">
        <f>HYPERLINK("https://diaocthongthai.com/xa-quang-luu-quang-xuong/","Xã Quảng Lưu")</f>
        <v>Xã Quảng Lưu</v>
      </c>
    </row>
    <row r="5222" spans="1:7" x14ac:dyDescent="0.25">
      <c r="A5222" s="2">
        <v>5221</v>
      </c>
      <c r="B5222" s="3" t="s">
        <v>28</v>
      </c>
      <c r="C5222" s="4" t="str">
        <f t="shared" si="420"/>
        <v>Thanh Hóa</v>
      </c>
      <c r="D5222" s="3" t="s">
        <v>356</v>
      </c>
      <c r="E5222" s="4" t="str">
        <f t="shared" si="419"/>
        <v>Huyện Quảng Xương</v>
      </c>
      <c r="F5222" s="3" t="s">
        <v>5985</v>
      </c>
      <c r="G5222" s="4" t="str">
        <f>HYPERLINK("https://diaocthongthai.com/xa-quang-loc-quang-xuong/","Xã Quảng Lộc")</f>
        <v>Xã Quảng Lộc</v>
      </c>
    </row>
    <row r="5223" spans="1:7" x14ac:dyDescent="0.25">
      <c r="A5223" s="2">
        <v>5222</v>
      </c>
      <c r="B5223" s="3" t="s">
        <v>28</v>
      </c>
      <c r="C5223" s="4" t="str">
        <f t="shared" si="420"/>
        <v>Thanh Hóa</v>
      </c>
      <c r="D5223" s="3" t="s">
        <v>356</v>
      </c>
      <c r="E5223" s="4" t="str">
        <f t="shared" si="419"/>
        <v>Huyện Quảng Xương</v>
      </c>
      <c r="F5223" s="3" t="s">
        <v>5986</v>
      </c>
      <c r="G5223" s="4" t="str">
        <f>HYPERLINK("https://diaocthongthai.com/xa-tien-trang-quang-xuong/","Xã Tiên Trang")</f>
        <v>Xã Tiên Trang</v>
      </c>
    </row>
    <row r="5224" spans="1:7" x14ac:dyDescent="0.25">
      <c r="A5224" s="2">
        <v>5223</v>
      </c>
      <c r="B5224" s="3" t="s">
        <v>28</v>
      </c>
      <c r="C5224" s="4" t="str">
        <f t="shared" si="420"/>
        <v>Thanh Hóa</v>
      </c>
      <c r="D5224" s="3" t="s">
        <v>356</v>
      </c>
      <c r="E5224" s="4" t="str">
        <f t="shared" si="419"/>
        <v>Huyện Quảng Xương</v>
      </c>
      <c r="F5224" s="3" t="s">
        <v>5987</v>
      </c>
      <c r="G5224" s="4" t="str">
        <f>HYPERLINK("https://diaocthongthai.com/xa-quang-nham-quang-xuong/","Xã Quảng Nham")</f>
        <v>Xã Quảng Nham</v>
      </c>
    </row>
    <row r="5225" spans="1:7" x14ac:dyDescent="0.25">
      <c r="A5225" s="2">
        <v>5224</v>
      </c>
      <c r="B5225" s="3" t="s">
        <v>28</v>
      </c>
      <c r="C5225" s="4" t="str">
        <f t="shared" si="420"/>
        <v>Thanh Hóa</v>
      </c>
      <c r="D5225" s="3" t="s">
        <v>356</v>
      </c>
      <c r="E5225" s="4" t="str">
        <f t="shared" si="419"/>
        <v>Huyện Quảng Xương</v>
      </c>
      <c r="F5225" s="3" t="s">
        <v>5988</v>
      </c>
      <c r="G5225" s="4" t="str">
        <f>HYPERLINK("https://diaocthongthai.com/xa-quang-thach-quang-xuong/","Xã Quảng Thạch")</f>
        <v>Xã Quảng Thạch</v>
      </c>
    </row>
    <row r="5226" spans="1:7" x14ac:dyDescent="0.25">
      <c r="A5226" s="2">
        <v>5225</v>
      </c>
      <c r="B5226" s="3" t="s">
        <v>28</v>
      </c>
      <c r="C5226" s="4" t="str">
        <f t="shared" si="420"/>
        <v>Thanh Hóa</v>
      </c>
      <c r="D5226" s="3" t="s">
        <v>356</v>
      </c>
      <c r="E5226" s="4" t="str">
        <f t="shared" si="419"/>
        <v>Huyện Quảng Xương</v>
      </c>
      <c r="F5226" s="3" t="s">
        <v>5989</v>
      </c>
      <c r="G5226" s="4" t="str">
        <f>HYPERLINK("https://diaocthongthai.com/xa-quang-thai-quang-xuong/","Xã Quảng Thái")</f>
        <v>Xã Quảng Thái</v>
      </c>
    </row>
    <row r="5227" spans="1:7" x14ac:dyDescent="0.25">
      <c r="A5227" s="2">
        <v>5226</v>
      </c>
      <c r="B5227" s="3" t="s">
        <v>28</v>
      </c>
      <c r="C5227" s="4" t="str">
        <f t="shared" si="420"/>
        <v>Thanh Hóa</v>
      </c>
      <c r="D5227" s="3" t="s">
        <v>357</v>
      </c>
      <c r="E5227" s="4" t="str">
        <f t="shared" ref="E5227:E5257" si="421">HYPERLINK("https://diaocthongthai.com/ban-do-thi-xa-nghi-son-thanh-hoa/","Thị xã Nghi Sơn")</f>
        <v>Thị xã Nghi Sơn</v>
      </c>
      <c r="F5227" s="3" t="s">
        <v>5990</v>
      </c>
      <c r="G5227" s="4" t="str">
        <f>HYPERLINK("https://diaocthongthai.com/phuong-hai-hoa-nghi-son/","Phường Hải Hòa")</f>
        <v>Phường Hải Hòa</v>
      </c>
    </row>
    <row r="5228" spans="1:7" x14ac:dyDescent="0.25">
      <c r="A5228" s="2">
        <v>5227</v>
      </c>
      <c r="B5228" s="3" t="s">
        <v>28</v>
      </c>
      <c r="C5228" s="4" t="str">
        <f t="shared" si="420"/>
        <v>Thanh Hóa</v>
      </c>
      <c r="D5228" s="3" t="s">
        <v>357</v>
      </c>
      <c r="E5228" s="4" t="str">
        <f t="shared" si="421"/>
        <v>Thị xã Nghi Sơn</v>
      </c>
      <c r="F5228" s="3" t="s">
        <v>5991</v>
      </c>
      <c r="G5228" s="4" t="str">
        <f>HYPERLINK("https://diaocthongthai.com/phuong-hai-chau-nghi-son/","Phường Hải Châu")</f>
        <v>Phường Hải Châu</v>
      </c>
    </row>
    <row r="5229" spans="1:7" x14ac:dyDescent="0.25">
      <c r="A5229" s="2">
        <v>5228</v>
      </c>
      <c r="B5229" s="3" t="s">
        <v>28</v>
      </c>
      <c r="C5229" s="4" t="str">
        <f t="shared" si="420"/>
        <v>Thanh Hóa</v>
      </c>
      <c r="D5229" s="3" t="s">
        <v>357</v>
      </c>
      <c r="E5229" s="4" t="str">
        <f t="shared" si="421"/>
        <v>Thị xã Nghi Sơn</v>
      </c>
      <c r="F5229" s="3" t="s">
        <v>5992</v>
      </c>
      <c r="G5229" s="4" t="str">
        <f>HYPERLINK("https://diaocthongthai.com/xa-thanh-thuy-nghi-son/","Xã Thanh Thủy")</f>
        <v>Xã Thanh Thủy</v>
      </c>
    </row>
    <row r="5230" spans="1:7" x14ac:dyDescent="0.25">
      <c r="A5230" s="2">
        <v>5229</v>
      </c>
      <c r="B5230" s="3" t="s">
        <v>28</v>
      </c>
      <c r="C5230" s="4" t="str">
        <f t="shared" si="420"/>
        <v>Thanh Hóa</v>
      </c>
      <c r="D5230" s="3" t="s">
        <v>357</v>
      </c>
      <c r="E5230" s="4" t="str">
        <f t="shared" si="421"/>
        <v>Thị xã Nghi Sơn</v>
      </c>
      <c r="F5230" s="3" t="s">
        <v>5993</v>
      </c>
      <c r="G5230" s="4" t="str">
        <f>HYPERLINK("https://diaocthongthai.com/xa-thanh-son-nghi-son/","Xã Thanh Sơn")</f>
        <v>Xã Thanh Sơn</v>
      </c>
    </row>
    <row r="5231" spans="1:7" x14ac:dyDescent="0.25">
      <c r="A5231" s="2">
        <v>5230</v>
      </c>
      <c r="B5231" s="3" t="s">
        <v>28</v>
      </c>
      <c r="C5231" s="4" t="str">
        <f t="shared" si="420"/>
        <v>Thanh Hóa</v>
      </c>
      <c r="D5231" s="3" t="s">
        <v>357</v>
      </c>
      <c r="E5231" s="4" t="str">
        <f t="shared" si="421"/>
        <v>Thị xã Nghi Sơn</v>
      </c>
      <c r="F5231" s="3" t="s">
        <v>5994</v>
      </c>
      <c r="G5231" s="4" t="str">
        <f>HYPERLINK("https://diaocthongthai.com/phuong-hai-ninh-nghi-son/","Phường Hải Ninh")</f>
        <v>Phường Hải Ninh</v>
      </c>
    </row>
    <row r="5232" spans="1:7" x14ac:dyDescent="0.25">
      <c r="A5232" s="2">
        <v>5231</v>
      </c>
      <c r="B5232" s="3" t="s">
        <v>28</v>
      </c>
      <c r="C5232" s="4" t="str">
        <f t="shared" si="420"/>
        <v>Thanh Hóa</v>
      </c>
      <c r="D5232" s="3" t="s">
        <v>357</v>
      </c>
      <c r="E5232" s="4" t="str">
        <f t="shared" si="421"/>
        <v>Thị xã Nghi Sơn</v>
      </c>
      <c r="F5232" s="3" t="s">
        <v>5995</v>
      </c>
      <c r="G5232" s="4" t="str">
        <f>HYPERLINK("https://diaocthongthai.com/xa-anh-son-nghi-son/","Xã Anh Sơn")</f>
        <v>Xã Anh Sơn</v>
      </c>
    </row>
    <row r="5233" spans="1:7" x14ac:dyDescent="0.25">
      <c r="A5233" s="2">
        <v>5232</v>
      </c>
      <c r="B5233" s="3" t="s">
        <v>28</v>
      </c>
      <c r="C5233" s="4" t="str">
        <f t="shared" si="420"/>
        <v>Thanh Hóa</v>
      </c>
      <c r="D5233" s="3" t="s">
        <v>357</v>
      </c>
      <c r="E5233" s="4" t="str">
        <f t="shared" si="421"/>
        <v>Thị xã Nghi Sơn</v>
      </c>
      <c r="F5233" s="3" t="s">
        <v>5996</v>
      </c>
      <c r="G5233" s="4" t="str">
        <f>HYPERLINK("https://diaocthongthai.com/xa-ngoc-linh-nghi-son/","Xã Ngọc Lĩnh")</f>
        <v>Xã Ngọc Lĩnh</v>
      </c>
    </row>
    <row r="5234" spans="1:7" x14ac:dyDescent="0.25">
      <c r="A5234" s="2">
        <v>5233</v>
      </c>
      <c r="B5234" s="3" t="s">
        <v>28</v>
      </c>
      <c r="C5234" s="4" t="str">
        <f t="shared" si="420"/>
        <v>Thanh Hóa</v>
      </c>
      <c r="D5234" s="3" t="s">
        <v>357</v>
      </c>
      <c r="E5234" s="4" t="str">
        <f t="shared" si="421"/>
        <v>Thị xã Nghi Sơn</v>
      </c>
      <c r="F5234" s="3" t="s">
        <v>5997</v>
      </c>
      <c r="G5234" s="4" t="str">
        <f>HYPERLINK("https://diaocthongthai.com/phuong-hai-an-nghi-son/","Phường Hải An")</f>
        <v>Phường Hải An</v>
      </c>
    </row>
    <row r="5235" spans="1:7" x14ac:dyDescent="0.25">
      <c r="A5235" s="2">
        <v>5234</v>
      </c>
      <c r="B5235" s="3" t="s">
        <v>28</v>
      </c>
      <c r="C5235" s="4" t="str">
        <f t="shared" si="420"/>
        <v>Thanh Hóa</v>
      </c>
      <c r="D5235" s="3" t="s">
        <v>357</v>
      </c>
      <c r="E5235" s="4" t="str">
        <f t="shared" si="421"/>
        <v>Thị xã Nghi Sơn</v>
      </c>
      <c r="F5235" s="3" t="s">
        <v>5998</v>
      </c>
      <c r="G5235" s="4" t="str">
        <f>HYPERLINK("https://diaocthongthai.com/xa-cac-son-nghi-son/","Xã Các Sơn")</f>
        <v>Xã Các Sơn</v>
      </c>
    </row>
    <row r="5236" spans="1:7" x14ac:dyDescent="0.25">
      <c r="A5236" s="2">
        <v>5235</v>
      </c>
      <c r="B5236" s="3" t="s">
        <v>28</v>
      </c>
      <c r="C5236" s="4" t="str">
        <f t="shared" si="420"/>
        <v>Thanh Hóa</v>
      </c>
      <c r="D5236" s="3" t="s">
        <v>357</v>
      </c>
      <c r="E5236" s="4" t="str">
        <f t="shared" si="421"/>
        <v>Thị xã Nghi Sơn</v>
      </c>
      <c r="F5236" s="3" t="s">
        <v>5999</v>
      </c>
      <c r="G5236" s="4" t="str">
        <f>HYPERLINK("https://diaocthongthai.com/phuong-tan-dan-nghi-son/","Phường Tân Dân")</f>
        <v>Phường Tân Dân</v>
      </c>
    </row>
    <row r="5237" spans="1:7" x14ac:dyDescent="0.25">
      <c r="A5237" s="2">
        <v>5236</v>
      </c>
      <c r="B5237" s="3" t="s">
        <v>28</v>
      </c>
      <c r="C5237" s="4" t="str">
        <f t="shared" si="420"/>
        <v>Thanh Hóa</v>
      </c>
      <c r="D5237" s="3" t="s">
        <v>357</v>
      </c>
      <c r="E5237" s="4" t="str">
        <f t="shared" si="421"/>
        <v>Thị xã Nghi Sơn</v>
      </c>
      <c r="F5237" s="3" t="s">
        <v>6000</v>
      </c>
      <c r="G5237" s="4" t="str">
        <f>HYPERLINK("https://diaocthongthai.com/phuong-hai-linh-nghi-son/","Phường Hải Lĩnh")</f>
        <v>Phường Hải Lĩnh</v>
      </c>
    </row>
    <row r="5238" spans="1:7" x14ac:dyDescent="0.25">
      <c r="A5238" s="2">
        <v>5237</v>
      </c>
      <c r="B5238" s="3" t="s">
        <v>28</v>
      </c>
      <c r="C5238" s="4" t="str">
        <f t="shared" si="420"/>
        <v>Thanh Hóa</v>
      </c>
      <c r="D5238" s="3" t="s">
        <v>357</v>
      </c>
      <c r="E5238" s="4" t="str">
        <f t="shared" si="421"/>
        <v>Thị xã Nghi Sơn</v>
      </c>
      <c r="F5238" s="3" t="s">
        <v>6001</v>
      </c>
      <c r="G5238" s="4" t="str">
        <f>HYPERLINK("https://diaocthongthai.com/xa-dinh-hai-nghi-son/","Xã Định Hải")</f>
        <v>Xã Định Hải</v>
      </c>
    </row>
    <row r="5239" spans="1:7" x14ac:dyDescent="0.25">
      <c r="A5239" s="2">
        <v>5238</v>
      </c>
      <c r="B5239" s="3" t="s">
        <v>28</v>
      </c>
      <c r="C5239" s="4" t="str">
        <f t="shared" si="420"/>
        <v>Thanh Hóa</v>
      </c>
      <c r="D5239" s="3" t="s">
        <v>357</v>
      </c>
      <c r="E5239" s="4" t="str">
        <f t="shared" si="421"/>
        <v>Thị xã Nghi Sơn</v>
      </c>
      <c r="F5239" s="3" t="s">
        <v>6002</v>
      </c>
      <c r="G5239" s="4" t="str">
        <f>HYPERLINK("https://diaocthongthai.com/xa-phu-son-nghi-son/","Xã Phú Sơn")</f>
        <v>Xã Phú Sơn</v>
      </c>
    </row>
    <row r="5240" spans="1:7" x14ac:dyDescent="0.25">
      <c r="A5240" s="2">
        <v>5239</v>
      </c>
      <c r="B5240" s="3" t="s">
        <v>28</v>
      </c>
      <c r="C5240" s="4" t="str">
        <f t="shared" si="420"/>
        <v>Thanh Hóa</v>
      </c>
      <c r="D5240" s="3" t="s">
        <v>357</v>
      </c>
      <c r="E5240" s="4" t="str">
        <f t="shared" si="421"/>
        <v>Thị xã Nghi Sơn</v>
      </c>
      <c r="F5240" s="3" t="s">
        <v>6003</v>
      </c>
      <c r="G5240" s="4" t="str">
        <f>HYPERLINK("https://diaocthongthai.com/phuong-ninh-hai-nghi-son/","Phường Ninh Hải")</f>
        <v>Phường Ninh Hải</v>
      </c>
    </row>
    <row r="5241" spans="1:7" x14ac:dyDescent="0.25">
      <c r="A5241" s="2">
        <v>5240</v>
      </c>
      <c r="B5241" s="3" t="s">
        <v>28</v>
      </c>
      <c r="C5241" s="4" t="str">
        <f t="shared" si="420"/>
        <v>Thanh Hóa</v>
      </c>
      <c r="D5241" s="3" t="s">
        <v>357</v>
      </c>
      <c r="E5241" s="4" t="str">
        <f t="shared" si="421"/>
        <v>Thị xã Nghi Sơn</v>
      </c>
      <c r="F5241" s="3" t="s">
        <v>6004</v>
      </c>
      <c r="G5241" s="4" t="str">
        <f>HYPERLINK("https://diaocthongthai.com/phuong-nguyen-binh-nghi-son/","Phường Nguyên Bình")</f>
        <v>Phường Nguyên Bình</v>
      </c>
    </row>
    <row r="5242" spans="1:7" x14ac:dyDescent="0.25">
      <c r="A5242" s="2">
        <v>5241</v>
      </c>
      <c r="B5242" s="3" t="s">
        <v>28</v>
      </c>
      <c r="C5242" s="4" t="str">
        <f t="shared" si="420"/>
        <v>Thanh Hóa</v>
      </c>
      <c r="D5242" s="3" t="s">
        <v>357</v>
      </c>
      <c r="E5242" s="4" t="str">
        <f t="shared" si="421"/>
        <v>Thị xã Nghi Sơn</v>
      </c>
      <c r="F5242" s="3" t="s">
        <v>6005</v>
      </c>
      <c r="G5242" s="4" t="str">
        <f>HYPERLINK("https://diaocthongthai.com/xa-hai-nhan-nghi-son/","Xã Hải Nhân")</f>
        <v>Xã Hải Nhân</v>
      </c>
    </row>
    <row r="5243" spans="1:7" x14ac:dyDescent="0.25">
      <c r="A5243" s="2">
        <v>5242</v>
      </c>
      <c r="B5243" s="3" t="s">
        <v>28</v>
      </c>
      <c r="C5243" s="4" t="str">
        <f t="shared" si="420"/>
        <v>Thanh Hóa</v>
      </c>
      <c r="D5243" s="3" t="s">
        <v>357</v>
      </c>
      <c r="E5243" s="4" t="str">
        <f t="shared" si="421"/>
        <v>Thị xã Nghi Sơn</v>
      </c>
      <c r="F5243" s="3" t="s">
        <v>6006</v>
      </c>
      <c r="G5243" s="4" t="str">
        <f>HYPERLINK("https://diaocthongthai.com/phuong-binh-minh-nghi-son/","Phường Bình Minh")</f>
        <v>Phường Bình Minh</v>
      </c>
    </row>
    <row r="5244" spans="1:7" x14ac:dyDescent="0.25">
      <c r="A5244" s="2">
        <v>5243</v>
      </c>
      <c r="B5244" s="3" t="s">
        <v>28</v>
      </c>
      <c r="C5244" s="4" t="str">
        <f t="shared" si="420"/>
        <v>Thanh Hóa</v>
      </c>
      <c r="D5244" s="3" t="s">
        <v>357</v>
      </c>
      <c r="E5244" s="4" t="str">
        <f t="shared" si="421"/>
        <v>Thị xã Nghi Sơn</v>
      </c>
      <c r="F5244" s="3" t="s">
        <v>6007</v>
      </c>
      <c r="G5244" s="4" t="str">
        <f>HYPERLINK("https://diaocthongthai.com/phuong-hai-thanh-nghi-son/","Phường Hải Thanh")</f>
        <v>Phường Hải Thanh</v>
      </c>
    </row>
    <row r="5245" spans="1:7" x14ac:dyDescent="0.25">
      <c r="A5245" s="2">
        <v>5244</v>
      </c>
      <c r="B5245" s="3" t="s">
        <v>28</v>
      </c>
      <c r="C5245" s="4" t="str">
        <f t="shared" si="420"/>
        <v>Thanh Hóa</v>
      </c>
      <c r="D5245" s="3" t="s">
        <v>357</v>
      </c>
      <c r="E5245" s="4" t="str">
        <f t="shared" si="421"/>
        <v>Thị xã Nghi Sơn</v>
      </c>
      <c r="F5245" s="3" t="s">
        <v>6008</v>
      </c>
      <c r="G5245" s="4" t="str">
        <f>HYPERLINK("https://diaocthongthai.com/xa-phu-lam-nghi-son/","Xã Phú Lâm")</f>
        <v>Xã Phú Lâm</v>
      </c>
    </row>
    <row r="5246" spans="1:7" x14ac:dyDescent="0.25">
      <c r="A5246" s="2">
        <v>5245</v>
      </c>
      <c r="B5246" s="3" t="s">
        <v>28</v>
      </c>
      <c r="C5246" s="4" t="str">
        <f t="shared" si="420"/>
        <v>Thanh Hóa</v>
      </c>
      <c r="D5246" s="3" t="s">
        <v>357</v>
      </c>
      <c r="E5246" s="4" t="str">
        <f t="shared" si="421"/>
        <v>Thị xã Nghi Sơn</v>
      </c>
      <c r="F5246" s="3" t="s">
        <v>6009</v>
      </c>
      <c r="G5246" s="4" t="str">
        <f>HYPERLINK("https://diaocthongthai.com/phuong-xuan-lam-nghi-son/","Phường Xuân Lâm")</f>
        <v>Phường Xuân Lâm</v>
      </c>
    </row>
    <row r="5247" spans="1:7" x14ac:dyDescent="0.25">
      <c r="A5247" s="2">
        <v>5246</v>
      </c>
      <c r="B5247" s="3" t="s">
        <v>28</v>
      </c>
      <c r="C5247" s="4" t="str">
        <f t="shared" si="420"/>
        <v>Thanh Hóa</v>
      </c>
      <c r="D5247" s="3" t="s">
        <v>357</v>
      </c>
      <c r="E5247" s="4" t="str">
        <f t="shared" si="421"/>
        <v>Thị xã Nghi Sơn</v>
      </c>
      <c r="F5247" s="3" t="s">
        <v>6010</v>
      </c>
      <c r="G5247" s="4" t="str">
        <f>HYPERLINK("https://diaocthongthai.com/phuong-truc-lam-nghi-son/","Phường Trúc Lâm")</f>
        <v>Phường Trúc Lâm</v>
      </c>
    </row>
    <row r="5248" spans="1:7" x14ac:dyDescent="0.25">
      <c r="A5248" s="2">
        <v>5247</v>
      </c>
      <c r="B5248" s="3" t="s">
        <v>28</v>
      </c>
      <c r="C5248" s="4" t="str">
        <f t="shared" si="420"/>
        <v>Thanh Hóa</v>
      </c>
      <c r="D5248" s="3" t="s">
        <v>357</v>
      </c>
      <c r="E5248" s="4" t="str">
        <f t="shared" si="421"/>
        <v>Thị xã Nghi Sơn</v>
      </c>
      <c r="F5248" s="3" t="s">
        <v>6011</v>
      </c>
      <c r="G5248" s="4" t="str">
        <f>HYPERLINK("https://diaocthongthai.com/phuong-hai-binh-nghi-son/","Phường Hải Bình")</f>
        <v>Phường Hải Bình</v>
      </c>
    </row>
    <row r="5249" spans="1:7" x14ac:dyDescent="0.25">
      <c r="A5249" s="2">
        <v>5248</v>
      </c>
      <c r="B5249" s="3" t="s">
        <v>28</v>
      </c>
      <c r="C5249" s="4" t="str">
        <f t="shared" si="420"/>
        <v>Thanh Hóa</v>
      </c>
      <c r="D5249" s="3" t="s">
        <v>357</v>
      </c>
      <c r="E5249" s="4" t="str">
        <f t="shared" si="421"/>
        <v>Thị xã Nghi Sơn</v>
      </c>
      <c r="F5249" s="3" t="s">
        <v>6012</v>
      </c>
      <c r="G5249" s="4" t="str">
        <f>HYPERLINK("https://diaocthongthai.com/xa-tan-truong-nghi-son/","Xã Tân Trường")</f>
        <v>Xã Tân Trường</v>
      </c>
    </row>
    <row r="5250" spans="1:7" x14ac:dyDescent="0.25">
      <c r="A5250" s="2">
        <v>5249</v>
      </c>
      <c r="B5250" s="3" t="s">
        <v>28</v>
      </c>
      <c r="C5250" s="4" t="str">
        <f t="shared" si="420"/>
        <v>Thanh Hóa</v>
      </c>
      <c r="D5250" s="3" t="s">
        <v>357</v>
      </c>
      <c r="E5250" s="4" t="str">
        <f t="shared" si="421"/>
        <v>Thị xã Nghi Sơn</v>
      </c>
      <c r="F5250" s="3" t="s">
        <v>6013</v>
      </c>
      <c r="G5250" s="4" t="str">
        <f>HYPERLINK("https://diaocthongthai.com/xa-tung-lam-nghi-son/","Xã Tùng Lâm")</f>
        <v>Xã Tùng Lâm</v>
      </c>
    </row>
    <row r="5251" spans="1:7" x14ac:dyDescent="0.25">
      <c r="A5251" s="2">
        <v>5250</v>
      </c>
      <c r="B5251" s="3" t="s">
        <v>28</v>
      </c>
      <c r="C5251" s="4" t="str">
        <f t="shared" si="420"/>
        <v>Thanh Hóa</v>
      </c>
      <c r="D5251" s="3" t="s">
        <v>357</v>
      </c>
      <c r="E5251" s="4" t="str">
        <f t="shared" si="421"/>
        <v>Thị xã Nghi Sơn</v>
      </c>
      <c r="F5251" s="3" t="s">
        <v>6014</v>
      </c>
      <c r="G5251" s="4" t="str">
        <f>HYPERLINK("https://diaocthongthai.com/phuong-tinh-hai-nghi-son/","Phường Tĩnh Hải")</f>
        <v>Phường Tĩnh Hải</v>
      </c>
    </row>
    <row r="5252" spans="1:7" x14ac:dyDescent="0.25">
      <c r="A5252" s="2">
        <v>5251</v>
      </c>
      <c r="B5252" s="3" t="s">
        <v>28</v>
      </c>
      <c r="C5252" s="4" t="str">
        <f t="shared" si="420"/>
        <v>Thanh Hóa</v>
      </c>
      <c r="D5252" s="3" t="s">
        <v>357</v>
      </c>
      <c r="E5252" s="4" t="str">
        <f t="shared" si="421"/>
        <v>Thị xã Nghi Sơn</v>
      </c>
      <c r="F5252" s="3" t="s">
        <v>6015</v>
      </c>
      <c r="G5252" s="4" t="str">
        <f>HYPERLINK("https://diaocthongthai.com/phuong-mai-lam-nghi-son/","Phường Mai Lâm")</f>
        <v>Phường Mai Lâm</v>
      </c>
    </row>
    <row r="5253" spans="1:7" x14ac:dyDescent="0.25">
      <c r="A5253" s="2">
        <v>5252</v>
      </c>
      <c r="B5253" s="3" t="s">
        <v>28</v>
      </c>
      <c r="C5253" s="4" t="str">
        <f t="shared" si="420"/>
        <v>Thanh Hóa</v>
      </c>
      <c r="D5253" s="3" t="s">
        <v>357</v>
      </c>
      <c r="E5253" s="4" t="str">
        <f t="shared" si="421"/>
        <v>Thị xã Nghi Sơn</v>
      </c>
      <c r="F5253" s="3" t="s">
        <v>6016</v>
      </c>
      <c r="G5253" s="4" t="str">
        <f>HYPERLINK("https://diaocthongthai.com/xa-truong-lam-nghi-son/","Xã Trường Lâm")</f>
        <v>Xã Trường Lâm</v>
      </c>
    </row>
    <row r="5254" spans="1:7" x14ac:dyDescent="0.25">
      <c r="A5254" s="2">
        <v>5253</v>
      </c>
      <c r="B5254" s="3" t="s">
        <v>28</v>
      </c>
      <c r="C5254" s="4" t="str">
        <f t="shared" si="420"/>
        <v>Thanh Hóa</v>
      </c>
      <c r="D5254" s="3" t="s">
        <v>357</v>
      </c>
      <c r="E5254" s="4" t="str">
        <f t="shared" si="421"/>
        <v>Thị xã Nghi Sơn</v>
      </c>
      <c r="F5254" s="3" t="s">
        <v>6017</v>
      </c>
      <c r="G5254" s="4" t="str">
        <f>HYPERLINK("https://diaocthongthai.com/xa-hai-yen-nghi-son/","Xã Hải Yến")</f>
        <v>Xã Hải Yến</v>
      </c>
    </row>
    <row r="5255" spans="1:7" x14ac:dyDescent="0.25">
      <c r="A5255" s="2">
        <v>5254</v>
      </c>
      <c r="B5255" s="3" t="s">
        <v>28</v>
      </c>
      <c r="C5255" s="4" t="str">
        <f t="shared" si="420"/>
        <v>Thanh Hóa</v>
      </c>
      <c r="D5255" s="3" t="s">
        <v>357</v>
      </c>
      <c r="E5255" s="4" t="str">
        <f t="shared" si="421"/>
        <v>Thị xã Nghi Sơn</v>
      </c>
      <c r="F5255" s="3" t="s">
        <v>6018</v>
      </c>
      <c r="G5255" s="4" t="str">
        <f>HYPERLINK("https://diaocthongthai.com/phuong-hai-thuong-nghi-son/","Phường Hải Thượng")</f>
        <v>Phường Hải Thượng</v>
      </c>
    </row>
    <row r="5256" spans="1:7" x14ac:dyDescent="0.25">
      <c r="A5256" s="2">
        <v>5255</v>
      </c>
      <c r="B5256" s="3" t="s">
        <v>28</v>
      </c>
      <c r="C5256" s="4" t="str">
        <f t="shared" si="420"/>
        <v>Thanh Hóa</v>
      </c>
      <c r="D5256" s="3" t="s">
        <v>357</v>
      </c>
      <c r="E5256" s="4" t="str">
        <f t="shared" si="421"/>
        <v>Thị xã Nghi Sơn</v>
      </c>
      <c r="F5256" s="3" t="s">
        <v>6019</v>
      </c>
      <c r="G5256" s="4" t="str">
        <f>HYPERLINK("https://diaocthongthai.com/xa-nghi-son-nghi-son/","Xã Nghi Sơn")</f>
        <v>Xã Nghi Sơn</v>
      </c>
    </row>
    <row r="5257" spans="1:7" x14ac:dyDescent="0.25">
      <c r="A5257" s="2">
        <v>5256</v>
      </c>
      <c r="B5257" s="3" t="s">
        <v>28</v>
      </c>
      <c r="C5257" s="4" t="str">
        <f t="shared" si="420"/>
        <v>Thanh Hóa</v>
      </c>
      <c r="D5257" s="3" t="s">
        <v>357</v>
      </c>
      <c r="E5257" s="4" t="str">
        <f t="shared" si="421"/>
        <v>Thị xã Nghi Sơn</v>
      </c>
      <c r="F5257" s="3" t="s">
        <v>6020</v>
      </c>
      <c r="G5257" s="4" t="str">
        <f>HYPERLINK("https://diaocthongthai.com/xa-hai-ha-nghi-son/","Xã Hải Hà")</f>
        <v>Xã Hải Hà</v>
      </c>
    </row>
    <row r="5258" spans="1:7" x14ac:dyDescent="0.25">
      <c r="A5258" s="2">
        <v>5257</v>
      </c>
      <c r="B5258" s="3" t="s">
        <v>29</v>
      </c>
      <c r="C5258" s="4" t="str">
        <f t="shared" ref="C5258:C5321" si="422">HYPERLINK("https://diaocthongthai.com/ban-do-nghe-an/","Nghệ An")</f>
        <v>Nghệ An</v>
      </c>
      <c r="D5258" s="3" t="s">
        <v>358</v>
      </c>
      <c r="E5258" s="4" t="str">
        <f t="shared" ref="E5258:E5282" si="423">HYPERLINK("https://diaocthongthai.com/ban-do-tp-vinh-nghe-an/","Thành phố Vinh")</f>
        <v>Thành phố Vinh</v>
      </c>
      <c r="F5258" s="3" t="s">
        <v>6021</v>
      </c>
      <c r="G5258" s="4" t="str">
        <f>HYPERLINK("https://diaocthongthai.com/phuong-dong-vinh-tp-vinh/","Phường Đông Vĩnh")</f>
        <v>Phường Đông Vĩnh</v>
      </c>
    </row>
    <row r="5259" spans="1:7" x14ac:dyDescent="0.25">
      <c r="A5259" s="2">
        <v>5258</v>
      </c>
      <c r="B5259" s="3" t="s">
        <v>29</v>
      </c>
      <c r="C5259" s="4" t="str">
        <f t="shared" si="422"/>
        <v>Nghệ An</v>
      </c>
      <c r="D5259" s="3" t="s">
        <v>358</v>
      </c>
      <c r="E5259" s="4" t="str">
        <f t="shared" si="423"/>
        <v>Thành phố Vinh</v>
      </c>
      <c r="F5259" s="3" t="s">
        <v>6022</v>
      </c>
      <c r="G5259" s="4" t="str">
        <f>HYPERLINK("https://diaocthongthai.com/phuong-ha-huy-tap-tp-vinh/","Phường Hà Huy Tập")</f>
        <v>Phường Hà Huy Tập</v>
      </c>
    </row>
    <row r="5260" spans="1:7" x14ac:dyDescent="0.25">
      <c r="A5260" s="2">
        <v>5259</v>
      </c>
      <c r="B5260" s="3" t="s">
        <v>29</v>
      </c>
      <c r="C5260" s="4" t="str">
        <f t="shared" si="422"/>
        <v>Nghệ An</v>
      </c>
      <c r="D5260" s="3" t="s">
        <v>358</v>
      </c>
      <c r="E5260" s="4" t="str">
        <f t="shared" si="423"/>
        <v>Thành phố Vinh</v>
      </c>
      <c r="F5260" s="3" t="s">
        <v>6023</v>
      </c>
      <c r="G5260" s="4" t="str">
        <f>HYPERLINK("https://diaocthongthai.com/phuong-le-loi-tp-vinh/","Phường Lê Lợi")</f>
        <v>Phường Lê Lợi</v>
      </c>
    </row>
    <row r="5261" spans="1:7" x14ac:dyDescent="0.25">
      <c r="A5261" s="2">
        <v>5260</v>
      </c>
      <c r="B5261" s="3" t="s">
        <v>29</v>
      </c>
      <c r="C5261" s="4" t="str">
        <f t="shared" si="422"/>
        <v>Nghệ An</v>
      </c>
      <c r="D5261" s="3" t="s">
        <v>358</v>
      </c>
      <c r="E5261" s="4" t="str">
        <f t="shared" si="423"/>
        <v>Thành phố Vinh</v>
      </c>
      <c r="F5261" s="3" t="s">
        <v>6024</v>
      </c>
      <c r="G5261" s="4" t="str">
        <f>HYPERLINK("https://diaocthongthai.com/phuong-quan-bau-tp-vinh/","Phường Quán Bàu")</f>
        <v>Phường Quán Bàu</v>
      </c>
    </row>
    <row r="5262" spans="1:7" x14ac:dyDescent="0.25">
      <c r="A5262" s="2">
        <v>5261</v>
      </c>
      <c r="B5262" s="3" t="s">
        <v>29</v>
      </c>
      <c r="C5262" s="4" t="str">
        <f t="shared" si="422"/>
        <v>Nghệ An</v>
      </c>
      <c r="D5262" s="3" t="s">
        <v>358</v>
      </c>
      <c r="E5262" s="4" t="str">
        <f t="shared" si="423"/>
        <v>Thành phố Vinh</v>
      </c>
      <c r="F5262" s="3" t="s">
        <v>6025</v>
      </c>
      <c r="G5262" s="4" t="str">
        <f>HYPERLINK("https://diaocthongthai.com/phuong-hung-binh-tp-vinh/","Phường Hưng Bình")</f>
        <v>Phường Hưng Bình</v>
      </c>
    </row>
    <row r="5263" spans="1:7" x14ac:dyDescent="0.25">
      <c r="A5263" s="2">
        <v>5262</v>
      </c>
      <c r="B5263" s="3" t="s">
        <v>29</v>
      </c>
      <c r="C5263" s="4" t="str">
        <f t="shared" si="422"/>
        <v>Nghệ An</v>
      </c>
      <c r="D5263" s="3" t="s">
        <v>358</v>
      </c>
      <c r="E5263" s="4" t="str">
        <f t="shared" si="423"/>
        <v>Thành phố Vinh</v>
      </c>
      <c r="F5263" s="3" t="s">
        <v>6026</v>
      </c>
      <c r="G5263" s="4" t="str">
        <f>HYPERLINK("https://diaocthongthai.com/phuong-hung-phuc-tp-vinh/","Phường Hưng Phúc")</f>
        <v>Phường Hưng Phúc</v>
      </c>
    </row>
    <row r="5264" spans="1:7" x14ac:dyDescent="0.25">
      <c r="A5264" s="2">
        <v>5263</v>
      </c>
      <c r="B5264" s="3" t="s">
        <v>29</v>
      </c>
      <c r="C5264" s="4" t="str">
        <f t="shared" si="422"/>
        <v>Nghệ An</v>
      </c>
      <c r="D5264" s="3" t="s">
        <v>358</v>
      </c>
      <c r="E5264" s="4" t="str">
        <f t="shared" si="423"/>
        <v>Thành phố Vinh</v>
      </c>
      <c r="F5264" s="3" t="s">
        <v>6027</v>
      </c>
      <c r="G5264" s="4" t="str">
        <f>HYPERLINK("https://diaocthongthai.com/phuong-hung-dung-tp-vinh/","Phường Hưng Dũng")</f>
        <v>Phường Hưng Dũng</v>
      </c>
    </row>
    <row r="5265" spans="1:7" x14ac:dyDescent="0.25">
      <c r="A5265" s="2">
        <v>5264</v>
      </c>
      <c r="B5265" s="3" t="s">
        <v>29</v>
      </c>
      <c r="C5265" s="4" t="str">
        <f t="shared" si="422"/>
        <v>Nghệ An</v>
      </c>
      <c r="D5265" s="3" t="s">
        <v>358</v>
      </c>
      <c r="E5265" s="4" t="str">
        <f t="shared" si="423"/>
        <v>Thành phố Vinh</v>
      </c>
      <c r="F5265" s="3" t="s">
        <v>6028</v>
      </c>
      <c r="G5265" s="4" t="str">
        <f>HYPERLINK("https://diaocthongthai.com/phuong-cua-nam-tp-vinh/","Phường Cửa Nam")</f>
        <v>Phường Cửa Nam</v>
      </c>
    </row>
    <row r="5266" spans="1:7" x14ac:dyDescent="0.25">
      <c r="A5266" s="2">
        <v>5265</v>
      </c>
      <c r="B5266" s="3" t="s">
        <v>29</v>
      </c>
      <c r="C5266" s="4" t="str">
        <f t="shared" si="422"/>
        <v>Nghệ An</v>
      </c>
      <c r="D5266" s="3" t="s">
        <v>358</v>
      </c>
      <c r="E5266" s="4" t="str">
        <f t="shared" si="423"/>
        <v>Thành phố Vinh</v>
      </c>
      <c r="F5266" s="3" t="s">
        <v>6029</v>
      </c>
      <c r="G5266" s="4" t="str">
        <f>HYPERLINK("https://diaocthongthai.com/phuong-quang-trung-tp-vinh/","Phường Quang Trung")</f>
        <v>Phường Quang Trung</v>
      </c>
    </row>
    <row r="5267" spans="1:7" x14ac:dyDescent="0.25">
      <c r="A5267" s="2">
        <v>5266</v>
      </c>
      <c r="B5267" s="3" t="s">
        <v>29</v>
      </c>
      <c r="C5267" s="4" t="str">
        <f t="shared" si="422"/>
        <v>Nghệ An</v>
      </c>
      <c r="D5267" s="3" t="s">
        <v>358</v>
      </c>
      <c r="E5267" s="4" t="str">
        <f t="shared" si="423"/>
        <v>Thành phố Vinh</v>
      </c>
      <c r="F5267" s="3" t="s">
        <v>6030</v>
      </c>
      <c r="G5267" s="4" t="str">
        <f>HYPERLINK("https://diaocthongthai.com/phuong-doi-cung-tp-vinh/","Phường Đội Cung")</f>
        <v>Phường Đội Cung</v>
      </c>
    </row>
    <row r="5268" spans="1:7" x14ac:dyDescent="0.25">
      <c r="A5268" s="2">
        <v>5267</v>
      </c>
      <c r="B5268" s="3" t="s">
        <v>29</v>
      </c>
      <c r="C5268" s="4" t="str">
        <f t="shared" si="422"/>
        <v>Nghệ An</v>
      </c>
      <c r="D5268" s="3" t="s">
        <v>358</v>
      </c>
      <c r="E5268" s="4" t="str">
        <f t="shared" si="423"/>
        <v>Thành phố Vinh</v>
      </c>
      <c r="F5268" s="3" t="s">
        <v>6031</v>
      </c>
      <c r="G5268" s="4" t="str">
        <f>HYPERLINK("https://diaocthongthai.com/phuong-le-mao-tp-vinh/","Phường Lê Mao")</f>
        <v>Phường Lê Mao</v>
      </c>
    </row>
    <row r="5269" spans="1:7" x14ac:dyDescent="0.25">
      <c r="A5269" s="2">
        <v>5268</v>
      </c>
      <c r="B5269" s="3" t="s">
        <v>29</v>
      </c>
      <c r="C5269" s="4" t="str">
        <f t="shared" si="422"/>
        <v>Nghệ An</v>
      </c>
      <c r="D5269" s="3" t="s">
        <v>358</v>
      </c>
      <c r="E5269" s="4" t="str">
        <f t="shared" si="423"/>
        <v>Thành phố Vinh</v>
      </c>
      <c r="F5269" s="3" t="s">
        <v>6032</v>
      </c>
      <c r="G5269" s="4" t="str">
        <f>HYPERLINK("https://diaocthongthai.com/phuong-truong-thi-tp-vinh/","Phường Trường Thi")</f>
        <v>Phường Trường Thi</v>
      </c>
    </row>
    <row r="5270" spans="1:7" x14ac:dyDescent="0.25">
      <c r="A5270" s="2">
        <v>5269</v>
      </c>
      <c r="B5270" s="3" t="s">
        <v>29</v>
      </c>
      <c r="C5270" s="4" t="str">
        <f t="shared" si="422"/>
        <v>Nghệ An</v>
      </c>
      <c r="D5270" s="3" t="s">
        <v>358</v>
      </c>
      <c r="E5270" s="4" t="str">
        <f t="shared" si="423"/>
        <v>Thành phố Vinh</v>
      </c>
      <c r="F5270" s="3" t="s">
        <v>6033</v>
      </c>
      <c r="G5270" s="4" t="str">
        <f>HYPERLINK("https://diaocthongthai.com/phuong-ben-thuy-tp-vinh/","Phường Bến Thủy")</f>
        <v>Phường Bến Thủy</v>
      </c>
    </row>
    <row r="5271" spans="1:7" x14ac:dyDescent="0.25">
      <c r="A5271" s="2">
        <v>5270</v>
      </c>
      <c r="B5271" s="3" t="s">
        <v>29</v>
      </c>
      <c r="C5271" s="4" t="str">
        <f t="shared" si="422"/>
        <v>Nghệ An</v>
      </c>
      <c r="D5271" s="3" t="s">
        <v>358</v>
      </c>
      <c r="E5271" s="4" t="str">
        <f t="shared" si="423"/>
        <v>Thành phố Vinh</v>
      </c>
      <c r="F5271" s="3" t="s">
        <v>6034</v>
      </c>
      <c r="G5271" s="4" t="str">
        <f>HYPERLINK("https://diaocthongthai.com/phuong-hong-son-tp-vinh/","Phường Hồng Sơn")</f>
        <v>Phường Hồng Sơn</v>
      </c>
    </row>
    <row r="5272" spans="1:7" x14ac:dyDescent="0.25">
      <c r="A5272" s="2">
        <v>5271</v>
      </c>
      <c r="B5272" s="3" t="s">
        <v>29</v>
      </c>
      <c r="C5272" s="4" t="str">
        <f t="shared" si="422"/>
        <v>Nghệ An</v>
      </c>
      <c r="D5272" s="3" t="s">
        <v>358</v>
      </c>
      <c r="E5272" s="4" t="str">
        <f t="shared" si="423"/>
        <v>Thành phố Vinh</v>
      </c>
      <c r="F5272" s="3" t="s">
        <v>6035</v>
      </c>
      <c r="G5272" s="4" t="str">
        <f>HYPERLINK("https://diaocthongthai.com/phuong-trung-do-tp-vinh/","Phường Trung Đô")</f>
        <v>Phường Trung Đô</v>
      </c>
    </row>
    <row r="5273" spans="1:7" x14ac:dyDescent="0.25">
      <c r="A5273" s="2">
        <v>5272</v>
      </c>
      <c r="B5273" s="3" t="s">
        <v>29</v>
      </c>
      <c r="C5273" s="4" t="str">
        <f t="shared" si="422"/>
        <v>Nghệ An</v>
      </c>
      <c r="D5273" s="3" t="s">
        <v>358</v>
      </c>
      <c r="E5273" s="4" t="str">
        <f t="shared" si="423"/>
        <v>Thành phố Vinh</v>
      </c>
      <c r="F5273" s="3" t="s">
        <v>6036</v>
      </c>
      <c r="G5273" s="4" t="str">
        <f>HYPERLINK("https://diaocthongthai.com/xa-nghi-phu-tp-vinh/","Xã Nghi Phú")</f>
        <v>Xã Nghi Phú</v>
      </c>
    </row>
    <row r="5274" spans="1:7" x14ac:dyDescent="0.25">
      <c r="A5274" s="2">
        <v>5273</v>
      </c>
      <c r="B5274" s="3" t="s">
        <v>29</v>
      </c>
      <c r="C5274" s="4" t="str">
        <f t="shared" si="422"/>
        <v>Nghệ An</v>
      </c>
      <c r="D5274" s="3" t="s">
        <v>358</v>
      </c>
      <c r="E5274" s="4" t="str">
        <f t="shared" si="423"/>
        <v>Thành phố Vinh</v>
      </c>
      <c r="F5274" s="3" t="s">
        <v>6037</v>
      </c>
      <c r="G5274" s="4" t="str">
        <f>HYPERLINK("https://diaocthongthai.com/xa-hung-dong-tp-vinh/","Xã Hưng Đông")</f>
        <v>Xã Hưng Đông</v>
      </c>
    </row>
    <row r="5275" spans="1:7" x14ac:dyDescent="0.25">
      <c r="A5275" s="2">
        <v>5274</v>
      </c>
      <c r="B5275" s="3" t="s">
        <v>29</v>
      </c>
      <c r="C5275" s="4" t="str">
        <f t="shared" si="422"/>
        <v>Nghệ An</v>
      </c>
      <c r="D5275" s="3" t="s">
        <v>358</v>
      </c>
      <c r="E5275" s="4" t="str">
        <f t="shared" si="423"/>
        <v>Thành phố Vinh</v>
      </c>
      <c r="F5275" s="3" t="s">
        <v>6038</v>
      </c>
      <c r="G5275" s="4" t="str">
        <f>HYPERLINK("https://diaocthongthai.com/xa-hung-loc-tp-vinh/","Xã Hưng Lộc")</f>
        <v>Xã Hưng Lộc</v>
      </c>
    </row>
    <row r="5276" spans="1:7" x14ac:dyDescent="0.25">
      <c r="A5276" s="2">
        <v>5275</v>
      </c>
      <c r="B5276" s="3" t="s">
        <v>29</v>
      </c>
      <c r="C5276" s="4" t="str">
        <f t="shared" si="422"/>
        <v>Nghệ An</v>
      </c>
      <c r="D5276" s="3" t="s">
        <v>358</v>
      </c>
      <c r="E5276" s="4" t="str">
        <f t="shared" si="423"/>
        <v>Thành phố Vinh</v>
      </c>
      <c r="F5276" s="3" t="s">
        <v>6039</v>
      </c>
      <c r="G5276" s="4" t="str">
        <f>HYPERLINK("https://diaocthongthai.com/xa-hung-hoa-tp-vinh/","Xã Hưng Hòa")</f>
        <v>Xã Hưng Hòa</v>
      </c>
    </row>
    <row r="5277" spans="1:7" x14ac:dyDescent="0.25">
      <c r="A5277" s="2">
        <v>5276</v>
      </c>
      <c r="B5277" s="3" t="s">
        <v>29</v>
      </c>
      <c r="C5277" s="4" t="str">
        <f t="shared" si="422"/>
        <v>Nghệ An</v>
      </c>
      <c r="D5277" s="3" t="s">
        <v>358</v>
      </c>
      <c r="E5277" s="4" t="str">
        <f t="shared" si="423"/>
        <v>Thành phố Vinh</v>
      </c>
      <c r="F5277" s="3" t="s">
        <v>6040</v>
      </c>
      <c r="G5277" s="4" t="str">
        <f>HYPERLINK("https://diaocthongthai.com/phuong-vinh-tan-tp-vinh/","Phường Vinh Tân")</f>
        <v>Phường Vinh Tân</v>
      </c>
    </row>
    <row r="5278" spans="1:7" x14ac:dyDescent="0.25">
      <c r="A5278" s="2">
        <v>5277</v>
      </c>
      <c r="B5278" s="3" t="s">
        <v>29</v>
      </c>
      <c r="C5278" s="4" t="str">
        <f t="shared" si="422"/>
        <v>Nghệ An</v>
      </c>
      <c r="D5278" s="3" t="s">
        <v>358</v>
      </c>
      <c r="E5278" s="4" t="str">
        <f t="shared" si="423"/>
        <v>Thành phố Vinh</v>
      </c>
      <c r="F5278" s="3" t="s">
        <v>6041</v>
      </c>
      <c r="G5278" s="4" t="str">
        <f>HYPERLINK("https://diaocthongthai.com/xa-nghi-lien-tp-vinh/","Xã Nghi Liên")</f>
        <v>Xã Nghi Liên</v>
      </c>
    </row>
    <row r="5279" spans="1:7" x14ac:dyDescent="0.25">
      <c r="A5279" s="2">
        <v>5278</v>
      </c>
      <c r="B5279" s="3" t="s">
        <v>29</v>
      </c>
      <c r="C5279" s="4" t="str">
        <f t="shared" si="422"/>
        <v>Nghệ An</v>
      </c>
      <c r="D5279" s="3" t="s">
        <v>358</v>
      </c>
      <c r="E5279" s="4" t="str">
        <f t="shared" si="423"/>
        <v>Thành phố Vinh</v>
      </c>
      <c r="F5279" s="3" t="s">
        <v>6042</v>
      </c>
      <c r="G5279" s="4" t="str">
        <f>HYPERLINK("https://diaocthongthai.com/xa-nghi-an-tp-vinh/","Xã Nghi Ân")</f>
        <v>Xã Nghi Ân</v>
      </c>
    </row>
    <row r="5280" spans="1:7" x14ac:dyDescent="0.25">
      <c r="A5280" s="2">
        <v>5279</v>
      </c>
      <c r="B5280" s="3" t="s">
        <v>29</v>
      </c>
      <c r="C5280" s="4" t="str">
        <f t="shared" si="422"/>
        <v>Nghệ An</v>
      </c>
      <c r="D5280" s="3" t="s">
        <v>358</v>
      </c>
      <c r="E5280" s="4" t="str">
        <f t="shared" si="423"/>
        <v>Thành phố Vinh</v>
      </c>
      <c r="F5280" s="3" t="s">
        <v>6043</v>
      </c>
      <c r="G5280" s="4" t="str">
        <f>HYPERLINK("https://diaocthongthai.com/xa-nghi-kim-tp-vinh/","Xã Nghi Kim")</f>
        <v>Xã Nghi Kim</v>
      </c>
    </row>
    <row r="5281" spans="1:7" x14ac:dyDescent="0.25">
      <c r="A5281" s="2">
        <v>5280</v>
      </c>
      <c r="B5281" s="3" t="s">
        <v>29</v>
      </c>
      <c r="C5281" s="4" t="str">
        <f t="shared" si="422"/>
        <v>Nghệ An</v>
      </c>
      <c r="D5281" s="3" t="s">
        <v>358</v>
      </c>
      <c r="E5281" s="4" t="str">
        <f t="shared" si="423"/>
        <v>Thành phố Vinh</v>
      </c>
      <c r="F5281" s="3" t="s">
        <v>6044</v>
      </c>
      <c r="G5281" s="4" t="str">
        <f>HYPERLINK("https://diaocthongthai.com/xa-nghi-duc-tp-vinh/","Xã Nghi Đức")</f>
        <v>Xã Nghi Đức</v>
      </c>
    </row>
    <row r="5282" spans="1:7" x14ac:dyDescent="0.25">
      <c r="A5282" s="2">
        <v>5281</v>
      </c>
      <c r="B5282" s="3" t="s">
        <v>29</v>
      </c>
      <c r="C5282" s="4" t="str">
        <f t="shared" si="422"/>
        <v>Nghệ An</v>
      </c>
      <c r="D5282" s="3" t="s">
        <v>358</v>
      </c>
      <c r="E5282" s="4" t="str">
        <f t="shared" si="423"/>
        <v>Thành phố Vinh</v>
      </c>
      <c r="F5282" s="3" t="s">
        <v>6045</v>
      </c>
      <c r="G5282" s="4" t="str">
        <f>HYPERLINK("https://diaocthongthai.com/xa-hung-chinh-tp-vinh/","Xã Hưng Chính")</f>
        <v>Xã Hưng Chính</v>
      </c>
    </row>
    <row r="5283" spans="1:7" x14ac:dyDescent="0.25">
      <c r="A5283" s="2">
        <v>5282</v>
      </c>
      <c r="B5283" s="3" t="s">
        <v>29</v>
      </c>
      <c r="C5283" s="4" t="str">
        <f t="shared" si="422"/>
        <v>Nghệ An</v>
      </c>
      <c r="D5283" s="3" t="s">
        <v>359</v>
      </c>
      <c r="E5283" s="4" t="str">
        <f t="shared" ref="E5283:E5289" si="424">HYPERLINK("https://diaocthongthai.com/ban-do-thi-xa-cua-lo-nghe-an/","Thị xã Cửa Lò")</f>
        <v>Thị xã Cửa Lò</v>
      </c>
      <c r="F5283" s="3" t="s">
        <v>6046</v>
      </c>
      <c r="G5283" s="4" t="str">
        <f>HYPERLINK("https://diaocthongthai.com/phuong-nghi-thuy-cua-lo/","Phường Nghi Thuỷ")</f>
        <v>Phường Nghi Thuỷ</v>
      </c>
    </row>
    <row r="5284" spans="1:7" x14ac:dyDescent="0.25">
      <c r="A5284" s="2">
        <v>5283</v>
      </c>
      <c r="B5284" s="3" t="s">
        <v>29</v>
      </c>
      <c r="C5284" s="4" t="str">
        <f t="shared" si="422"/>
        <v>Nghệ An</v>
      </c>
      <c r="D5284" s="3" t="s">
        <v>359</v>
      </c>
      <c r="E5284" s="4" t="str">
        <f t="shared" si="424"/>
        <v>Thị xã Cửa Lò</v>
      </c>
      <c r="F5284" s="3" t="s">
        <v>6047</v>
      </c>
      <c r="G5284" s="4" t="str">
        <f>HYPERLINK("https://diaocthongthai.com/phuong-nghi-tan-cua-lo/","Phường Nghi Tân")</f>
        <v>Phường Nghi Tân</v>
      </c>
    </row>
    <row r="5285" spans="1:7" x14ac:dyDescent="0.25">
      <c r="A5285" s="2">
        <v>5284</v>
      </c>
      <c r="B5285" s="3" t="s">
        <v>29</v>
      </c>
      <c r="C5285" s="4" t="str">
        <f t="shared" si="422"/>
        <v>Nghệ An</v>
      </c>
      <c r="D5285" s="3" t="s">
        <v>359</v>
      </c>
      <c r="E5285" s="4" t="str">
        <f t="shared" si="424"/>
        <v>Thị xã Cửa Lò</v>
      </c>
      <c r="F5285" s="3" t="s">
        <v>6048</v>
      </c>
      <c r="G5285" s="4" t="str">
        <f>HYPERLINK("https://diaocthongthai.com/phuong-thu-thuy-cua-lo/","Phường Thu Thuỷ")</f>
        <v>Phường Thu Thuỷ</v>
      </c>
    </row>
    <row r="5286" spans="1:7" x14ac:dyDescent="0.25">
      <c r="A5286" s="2">
        <v>5285</v>
      </c>
      <c r="B5286" s="3" t="s">
        <v>29</v>
      </c>
      <c r="C5286" s="4" t="str">
        <f t="shared" si="422"/>
        <v>Nghệ An</v>
      </c>
      <c r="D5286" s="3" t="s">
        <v>359</v>
      </c>
      <c r="E5286" s="4" t="str">
        <f t="shared" si="424"/>
        <v>Thị xã Cửa Lò</v>
      </c>
      <c r="F5286" s="3" t="s">
        <v>6049</v>
      </c>
      <c r="G5286" s="4" t="str">
        <f>HYPERLINK("https://diaocthongthai.com/phuong-nghi-hoa-cua-lo/","Phường Nghi Hòa")</f>
        <v>Phường Nghi Hòa</v>
      </c>
    </row>
    <row r="5287" spans="1:7" x14ac:dyDescent="0.25">
      <c r="A5287" s="2">
        <v>5286</v>
      </c>
      <c r="B5287" s="3" t="s">
        <v>29</v>
      </c>
      <c r="C5287" s="4" t="str">
        <f t="shared" si="422"/>
        <v>Nghệ An</v>
      </c>
      <c r="D5287" s="3" t="s">
        <v>359</v>
      </c>
      <c r="E5287" s="4" t="str">
        <f t="shared" si="424"/>
        <v>Thị xã Cửa Lò</v>
      </c>
      <c r="F5287" s="3" t="s">
        <v>6050</v>
      </c>
      <c r="G5287" s="4" t="str">
        <f>HYPERLINK("https://diaocthongthai.com/phuong-nghi-hai-cua-lo/","Phường Nghi Hải")</f>
        <v>Phường Nghi Hải</v>
      </c>
    </row>
    <row r="5288" spans="1:7" x14ac:dyDescent="0.25">
      <c r="A5288" s="2">
        <v>5287</v>
      </c>
      <c r="B5288" s="3" t="s">
        <v>29</v>
      </c>
      <c r="C5288" s="4" t="str">
        <f t="shared" si="422"/>
        <v>Nghệ An</v>
      </c>
      <c r="D5288" s="3" t="s">
        <v>359</v>
      </c>
      <c r="E5288" s="4" t="str">
        <f t="shared" si="424"/>
        <v>Thị xã Cửa Lò</v>
      </c>
      <c r="F5288" s="3" t="s">
        <v>6051</v>
      </c>
      <c r="G5288" s="4" t="str">
        <f>HYPERLINK("https://diaocthongthai.com/phuong-nghi-huong-cua-lo/","Phường Nghi Hương")</f>
        <v>Phường Nghi Hương</v>
      </c>
    </row>
    <row r="5289" spans="1:7" x14ac:dyDescent="0.25">
      <c r="A5289" s="2">
        <v>5288</v>
      </c>
      <c r="B5289" s="3" t="s">
        <v>29</v>
      </c>
      <c r="C5289" s="4" t="str">
        <f t="shared" si="422"/>
        <v>Nghệ An</v>
      </c>
      <c r="D5289" s="3" t="s">
        <v>359</v>
      </c>
      <c r="E5289" s="4" t="str">
        <f t="shared" si="424"/>
        <v>Thị xã Cửa Lò</v>
      </c>
      <c r="F5289" s="3" t="s">
        <v>6052</v>
      </c>
      <c r="G5289" s="4" t="str">
        <f>HYPERLINK("https://diaocthongthai.com/phuong-nghi-thu-cua-lo/","Phường Nghi Thu")</f>
        <v>Phường Nghi Thu</v>
      </c>
    </row>
    <row r="5290" spans="1:7" x14ac:dyDescent="0.25">
      <c r="A5290" s="2">
        <v>5289</v>
      </c>
      <c r="B5290" s="3" t="s">
        <v>29</v>
      </c>
      <c r="C5290" s="4" t="str">
        <f t="shared" si="422"/>
        <v>Nghệ An</v>
      </c>
      <c r="D5290" s="3" t="s">
        <v>360</v>
      </c>
      <c r="E5290" s="4" t="str">
        <f t="shared" ref="E5290:E5298" si="425">HYPERLINK("https://diaocthongthai.com/ban-do-thi-xa-thai-hoa-nghe-an/","Thị xã Thái Hoà")</f>
        <v>Thị xã Thái Hoà</v>
      </c>
      <c r="F5290" s="3" t="s">
        <v>6053</v>
      </c>
      <c r="G5290" s="4" t="str">
        <f>HYPERLINK("https://diaocthongthai.com/phuong-hoa-hieu-thai-hoa/","Phường Hoà Hiếu")</f>
        <v>Phường Hoà Hiếu</v>
      </c>
    </row>
    <row r="5291" spans="1:7" x14ac:dyDescent="0.25">
      <c r="A5291" s="2">
        <v>5290</v>
      </c>
      <c r="B5291" s="3" t="s">
        <v>29</v>
      </c>
      <c r="C5291" s="4" t="str">
        <f t="shared" si="422"/>
        <v>Nghệ An</v>
      </c>
      <c r="D5291" s="3" t="s">
        <v>360</v>
      </c>
      <c r="E5291" s="4" t="str">
        <f t="shared" si="425"/>
        <v>Thị xã Thái Hoà</v>
      </c>
      <c r="F5291" s="3" t="s">
        <v>6054</v>
      </c>
      <c r="G5291" s="4" t="str">
        <f>HYPERLINK("https://diaocthongthai.com/phuong-quang-phong-thai-hoa/","Phường Quang Phong")</f>
        <v>Phường Quang Phong</v>
      </c>
    </row>
    <row r="5292" spans="1:7" x14ac:dyDescent="0.25">
      <c r="A5292" s="2">
        <v>5291</v>
      </c>
      <c r="B5292" s="3" t="s">
        <v>29</v>
      </c>
      <c r="C5292" s="4" t="str">
        <f t="shared" si="422"/>
        <v>Nghệ An</v>
      </c>
      <c r="D5292" s="3" t="s">
        <v>360</v>
      </c>
      <c r="E5292" s="4" t="str">
        <f t="shared" si="425"/>
        <v>Thị xã Thái Hoà</v>
      </c>
      <c r="F5292" s="3" t="s">
        <v>6055</v>
      </c>
      <c r="G5292" s="4" t="str">
        <f>HYPERLINK("https://diaocthongthai.com/phuong-quang-tien-thai-hoa/","Phường Quang Tiến")</f>
        <v>Phường Quang Tiến</v>
      </c>
    </row>
    <row r="5293" spans="1:7" x14ac:dyDescent="0.25">
      <c r="A5293" s="2">
        <v>5292</v>
      </c>
      <c r="B5293" s="3" t="s">
        <v>29</v>
      </c>
      <c r="C5293" s="4" t="str">
        <f t="shared" si="422"/>
        <v>Nghệ An</v>
      </c>
      <c r="D5293" s="3" t="s">
        <v>360</v>
      </c>
      <c r="E5293" s="4" t="str">
        <f t="shared" si="425"/>
        <v>Thị xã Thái Hoà</v>
      </c>
      <c r="F5293" s="3" t="s">
        <v>6056</v>
      </c>
      <c r="G5293" s="4" t="str">
        <f>HYPERLINK("https://diaocthongthai.com/phuong-long-son-thai-hoa/","Phường Long Sơn")</f>
        <v>Phường Long Sơn</v>
      </c>
    </row>
    <row r="5294" spans="1:7" x14ac:dyDescent="0.25">
      <c r="A5294" s="2">
        <v>5293</v>
      </c>
      <c r="B5294" s="3" t="s">
        <v>29</v>
      </c>
      <c r="C5294" s="4" t="str">
        <f t="shared" si="422"/>
        <v>Nghệ An</v>
      </c>
      <c r="D5294" s="3" t="s">
        <v>360</v>
      </c>
      <c r="E5294" s="4" t="str">
        <f t="shared" si="425"/>
        <v>Thị xã Thái Hoà</v>
      </c>
      <c r="F5294" s="3" t="s">
        <v>6057</v>
      </c>
      <c r="G5294" s="4" t="str">
        <f>HYPERLINK("https://diaocthongthai.com/xa-nghia-tien-thai-hoa/","Xã Nghĩa Tiến")</f>
        <v>Xã Nghĩa Tiến</v>
      </c>
    </row>
    <row r="5295" spans="1:7" x14ac:dyDescent="0.25">
      <c r="A5295" s="2">
        <v>5294</v>
      </c>
      <c r="B5295" s="3" t="s">
        <v>29</v>
      </c>
      <c r="C5295" s="4" t="str">
        <f t="shared" si="422"/>
        <v>Nghệ An</v>
      </c>
      <c r="D5295" s="3" t="s">
        <v>360</v>
      </c>
      <c r="E5295" s="4" t="str">
        <f t="shared" si="425"/>
        <v>Thị xã Thái Hoà</v>
      </c>
      <c r="F5295" s="3" t="s">
        <v>6058</v>
      </c>
      <c r="G5295" s="4" t="str">
        <f>HYPERLINK("https://diaocthongthai.com/xa-nghia-my-thai-hoa/","Xã Nghĩa Mỹ")</f>
        <v>Xã Nghĩa Mỹ</v>
      </c>
    </row>
    <row r="5296" spans="1:7" x14ac:dyDescent="0.25">
      <c r="A5296" s="2">
        <v>5295</v>
      </c>
      <c r="B5296" s="3" t="s">
        <v>29</v>
      </c>
      <c r="C5296" s="4" t="str">
        <f t="shared" si="422"/>
        <v>Nghệ An</v>
      </c>
      <c r="D5296" s="3" t="s">
        <v>360</v>
      </c>
      <c r="E5296" s="4" t="str">
        <f t="shared" si="425"/>
        <v>Thị xã Thái Hoà</v>
      </c>
      <c r="F5296" s="3" t="s">
        <v>6059</v>
      </c>
      <c r="G5296" s="4" t="str">
        <f>HYPERLINK("https://diaocthongthai.com/xa-tay-hieu-thai-hoa/","Xã Tây Hiếu")</f>
        <v>Xã Tây Hiếu</v>
      </c>
    </row>
    <row r="5297" spans="1:7" x14ac:dyDescent="0.25">
      <c r="A5297" s="2">
        <v>5296</v>
      </c>
      <c r="B5297" s="3" t="s">
        <v>29</v>
      </c>
      <c r="C5297" s="4" t="str">
        <f t="shared" si="422"/>
        <v>Nghệ An</v>
      </c>
      <c r="D5297" s="3" t="s">
        <v>360</v>
      </c>
      <c r="E5297" s="4" t="str">
        <f t="shared" si="425"/>
        <v>Thị xã Thái Hoà</v>
      </c>
      <c r="F5297" s="3" t="s">
        <v>6060</v>
      </c>
      <c r="G5297" s="4" t="str">
        <f>HYPERLINK("https://diaocthongthai.com/xa-nghia-thuan-thai-hoa/","Xã Nghĩa Thuận")</f>
        <v>Xã Nghĩa Thuận</v>
      </c>
    </row>
    <row r="5298" spans="1:7" x14ac:dyDescent="0.25">
      <c r="A5298" s="2">
        <v>5297</v>
      </c>
      <c r="B5298" s="3" t="s">
        <v>29</v>
      </c>
      <c r="C5298" s="4" t="str">
        <f t="shared" si="422"/>
        <v>Nghệ An</v>
      </c>
      <c r="D5298" s="3" t="s">
        <v>360</v>
      </c>
      <c r="E5298" s="4" t="str">
        <f t="shared" si="425"/>
        <v>Thị xã Thái Hoà</v>
      </c>
      <c r="F5298" s="3" t="s">
        <v>6061</v>
      </c>
      <c r="G5298" s="4" t="str">
        <f>HYPERLINK("https://diaocthongthai.com/xa-dong-hieu-thai-hoa/","Xã Đông Hiếu")</f>
        <v>Xã Đông Hiếu</v>
      </c>
    </row>
    <row r="5299" spans="1:7" x14ac:dyDescent="0.25">
      <c r="A5299" s="2">
        <v>5298</v>
      </c>
      <c r="B5299" s="3" t="s">
        <v>29</v>
      </c>
      <c r="C5299" s="4" t="str">
        <f t="shared" si="422"/>
        <v>Nghệ An</v>
      </c>
      <c r="D5299" s="3" t="s">
        <v>361</v>
      </c>
      <c r="E5299" s="4" t="str">
        <f t="shared" ref="E5299:E5311" si="426">HYPERLINK("https://diaocthongthai.com/ban-do-huyen-que-phong-nghe-an/","Huyện Quế Phong")</f>
        <v>Huyện Quế Phong</v>
      </c>
      <c r="F5299" s="3" t="s">
        <v>6062</v>
      </c>
      <c r="G5299" s="4" t="str">
        <f>HYPERLINK("https://diaocthongthai.com/thi-tran-kim-son-que-phong/","Thị trấn Kim Sơn")</f>
        <v>Thị trấn Kim Sơn</v>
      </c>
    </row>
    <row r="5300" spans="1:7" x14ac:dyDescent="0.25">
      <c r="A5300" s="2">
        <v>5299</v>
      </c>
      <c r="B5300" s="3" t="s">
        <v>29</v>
      </c>
      <c r="C5300" s="4" t="str">
        <f t="shared" si="422"/>
        <v>Nghệ An</v>
      </c>
      <c r="D5300" s="3" t="s">
        <v>361</v>
      </c>
      <c r="E5300" s="4" t="str">
        <f t="shared" si="426"/>
        <v>Huyện Quế Phong</v>
      </c>
      <c r="F5300" s="3" t="s">
        <v>6063</v>
      </c>
      <c r="G5300" s="4" t="str">
        <f>HYPERLINK("https://diaocthongthai.com/xa-thong-thu-que-phong/","Xã Thông Thụ")</f>
        <v>Xã Thông Thụ</v>
      </c>
    </row>
    <row r="5301" spans="1:7" x14ac:dyDescent="0.25">
      <c r="A5301" s="2">
        <v>5300</v>
      </c>
      <c r="B5301" s="3" t="s">
        <v>29</v>
      </c>
      <c r="C5301" s="4" t="str">
        <f t="shared" si="422"/>
        <v>Nghệ An</v>
      </c>
      <c r="D5301" s="3" t="s">
        <v>361</v>
      </c>
      <c r="E5301" s="4" t="str">
        <f t="shared" si="426"/>
        <v>Huyện Quế Phong</v>
      </c>
      <c r="F5301" s="3" t="s">
        <v>6064</v>
      </c>
      <c r="G5301" s="4" t="str">
        <f>HYPERLINK("https://diaocthongthai.com/xa-dong-van-que-phong/","Xã Đồng Văn")</f>
        <v>Xã Đồng Văn</v>
      </c>
    </row>
    <row r="5302" spans="1:7" x14ac:dyDescent="0.25">
      <c r="A5302" s="2">
        <v>5301</v>
      </c>
      <c r="B5302" s="3" t="s">
        <v>29</v>
      </c>
      <c r="C5302" s="4" t="str">
        <f t="shared" si="422"/>
        <v>Nghệ An</v>
      </c>
      <c r="D5302" s="3" t="s">
        <v>361</v>
      </c>
      <c r="E5302" s="4" t="str">
        <f t="shared" si="426"/>
        <v>Huyện Quế Phong</v>
      </c>
      <c r="F5302" s="3" t="s">
        <v>6065</v>
      </c>
      <c r="G5302" s="4" t="str">
        <f>HYPERLINK("https://diaocthongthai.com/xa-hanh-dich-que-phong/","Xã Hạnh Dịch")</f>
        <v>Xã Hạnh Dịch</v>
      </c>
    </row>
    <row r="5303" spans="1:7" x14ac:dyDescent="0.25">
      <c r="A5303" s="2">
        <v>5302</v>
      </c>
      <c r="B5303" s="3" t="s">
        <v>29</v>
      </c>
      <c r="C5303" s="4" t="str">
        <f t="shared" si="422"/>
        <v>Nghệ An</v>
      </c>
      <c r="D5303" s="3" t="s">
        <v>361</v>
      </c>
      <c r="E5303" s="4" t="str">
        <f t="shared" si="426"/>
        <v>Huyện Quế Phong</v>
      </c>
      <c r="F5303" s="3" t="s">
        <v>6066</v>
      </c>
      <c r="G5303" s="4" t="str">
        <f>HYPERLINK("https://diaocthongthai.com/xa-tien-phong-que-phong/","Xã Tiền Phong")</f>
        <v>Xã Tiền Phong</v>
      </c>
    </row>
    <row r="5304" spans="1:7" x14ac:dyDescent="0.25">
      <c r="A5304" s="2">
        <v>5303</v>
      </c>
      <c r="B5304" s="3" t="s">
        <v>29</v>
      </c>
      <c r="C5304" s="4" t="str">
        <f t="shared" si="422"/>
        <v>Nghệ An</v>
      </c>
      <c r="D5304" s="3" t="s">
        <v>361</v>
      </c>
      <c r="E5304" s="4" t="str">
        <f t="shared" si="426"/>
        <v>Huyện Quế Phong</v>
      </c>
      <c r="F5304" s="3" t="s">
        <v>6067</v>
      </c>
      <c r="G5304" s="4" t="str">
        <f>HYPERLINK("https://diaocthongthai.com/xa-nam-giai-que-phong/","Xã Nậm Giải")</f>
        <v>Xã Nậm Giải</v>
      </c>
    </row>
    <row r="5305" spans="1:7" x14ac:dyDescent="0.25">
      <c r="A5305" s="2">
        <v>5304</v>
      </c>
      <c r="B5305" s="3" t="s">
        <v>29</v>
      </c>
      <c r="C5305" s="4" t="str">
        <f t="shared" si="422"/>
        <v>Nghệ An</v>
      </c>
      <c r="D5305" s="3" t="s">
        <v>361</v>
      </c>
      <c r="E5305" s="4" t="str">
        <f t="shared" si="426"/>
        <v>Huyện Quế Phong</v>
      </c>
      <c r="F5305" s="3" t="s">
        <v>6068</v>
      </c>
      <c r="G5305" s="4" t="str">
        <f>HYPERLINK("https://diaocthongthai.com/xa-tri-le-que-phong/","Xã Tri Lễ")</f>
        <v>Xã Tri Lễ</v>
      </c>
    </row>
    <row r="5306" spans="1:7" x14ac:dyDescent="0.25">
      <c r="A5306" s="2">
        <v>5305</v>
      </c>
      <c r="B5306" s="3" t="s">
        <v>29</v>
      </c>
      <c r="C5306" s="4" t="str">
        <f t="shared" si="422"/>
        <v>Nghệ An</v>
      </c>
      <c r="D5306" s="3" t="s">
        <v>361</v>
      </c>
      <c r="E5306" s="4" t="str">
        <f t="shared" si="426"/>
        <v>Huyện Quế Phong</v>
      </c>
      <c r="F5306" s="3" t="s">
        <v>6069</v>
      </c>
      <c r="G5306" s="4" t="str">
        <f>HYPERLINK("https://diaocthongthai.com/xa-chau-kim-que-phong/","Xã Châu Kim")</f>
        <v>Xã Châu Kim</v>
      </c>
    </row>
    <row r="5307" spans="1:7" x14ac:dyDescent="0.25">
      <c r="A5307" s="2">
        <v>5306</v>
      </c>
      <c r="B5307" s="3" t="s">
        <v>29</v>
      </c>
      <c r="C5307" s="4" t="str">
        <f t="shared" si="422"/>
        <v>Nghệ An</v>
      </c>
      <c r="D5307" s="3" t="s">
        <v>361</v>
      </c>
      <c r="E5307" s="4" t="str">
        <f t="shared" si="426"/>
        <v>Huyện Quế Phong</v>
      </c>
      <c r="F5307" s="3" t="s">
        <v>6070</v>
      </c>
      <c r="G5307" s="4" t="str">
        <f>HYPERLINK("https://diaocthongthai.com/xa-muong-noc-que-phong/","Xã Mường Nọc")</f>
        <v>Xã Mường Nọc</v>
      </c>
    </row>
    <row r="5308" spans="1:7" x14ac:dyDescent="0.25">
      <c r="A5308" s="2">
        <v>5307</v>
      </c>
      <c r="B5308" s="3" t="s">
        <v>29</v>
      </c>
      <c r="C5308" s="4" t="str">
        <f t="shared" si="422"/>
        <v>Nghệ An</v>
      </c>
      <c r="D5308" s="3" t="s">
        <v>361</v>
      </c>
      <c r="E5308" s="4" t="str">
        <f t="shared" si="426"/>
        <v>Huyện Quế Phong</v>
      </c>
      <c r="F5308" s="3" t="s">
        <v>6071</v>
      </c>
      <c r="G5308" s="4" t="str">
        <f>HYPERLINK("https://diaocthongthai.com/xa-chau-thon-que-phong/","Xã Châu Thôn")</f>
        <v>Xã Châu Thôn</v>
      </c>
    </row>
    <row r="5309" spans="1:7" x14ac:dyDescent="0.25">
      <c r="A5309" s="2">
        <v>5308</v>
      </c>
      <c r="B5309" s="3" t="s">
        <v>29</v>
      </c>
      <c r="C5309" s="4" t="str">
        <f t="shared" si="422"/>
        <v>Nghệ An</v>
      </c>
      <c r="D5309" s="3" t="s">
        <v>361</v>
      </c>
      <c r="E5309" s="4" t="str">
        <f t="shared" si="426"/>
        <v>Huyện Quế Phong</v>
      </c>
      <c r="F5309" s="3" t="s">
        <v>6072</v>
      </c>
      <c r="G5309" s="4" t="str">
        <f>HYPERLINK("https://diaocthongthai.com/xa-nam-nhoong-que-phong/","Xã Nậm Nhoóng")</f>
        <v>Xã Nậm Nhoóng</v>
      </c>
    </row>
    <row r="5310" spans="1:7" x14ac:dyDescent="0.25">
      <c r="A5310" s="2">
        <v>5309</v>
      </c>
      <c r="B5310" s="3" t="s">
        <v>29</v>
      </c>
      <c r="C5310" s="4" t="str">
        <f t="shared" si="422"/>
        <v>Nghệ An</v>
      </c>
      <c r="D5310" s="3" t="s">
        <v>361</v>
      </c>
      <c r="E5310" s="4" t="str">
        <f t="shared" si="426"/>
        <v>Huyện Quế Phong</v>
      </c>
      <c r="F5310" s="3" t="s">
        <v>6073</v>
      </c>
      <c r="G5310" s="4" t="str">
        <f>HYPERLINK("https://diaocthongthai.com/xa-quang-phong-que-phong/","Xã Quang Phong")</f>
        <v>Xã Quang Phong</v>
      </c>
    </row>
    <row r="5311" spans="1:7" x14ac:dyDescent="0.25">
      <c r="A5311" s="2">
        <v>5310</v>
      </c>
      <c r="B5311" s="3" t="s">
        <v>29</v>
      </c>
      <c r="C5311" s="4" t="str">
        <f t="shared" si="422"/>
        <v>Nghệ An</v>
      </c>
      <c r="D5311" s="3" t="s">
        <v>361</v>
      </c>
      <c r="E5311" s="4" t="str">
        <f t="shared" si="426"/>
        <v>Huyện Quế Phong</v>
      </c>
      <c r="F5311" s="3" t="s">
        <v>6074</v>
      </c>
      <c r="G5311" s="4" t="str">
        <f>HYPERLINK("https://diaocthongthai.com/xa-cam-muon-que-phong/","Xã Căm Muộn")</f>
        <v>Xã Căm Muộn</v>
      </c>
    </row>
    <row r="5312" spans="1:7" x14ac:dyDescent="0.25">
      <c r="A5312" s="2">
        <v>5311</v>
      </c>
      <c r="B5312" s="3" t="s">
        <v>29</v>
      </c>
      <c r="C5312" s="4" t="str">
        <f t="shared" si="422"/>
        <v>Nghệ An</v>
      </c>
      <c r="D5312" s="3" t="s">
        <v>362</v>
      </c>
      <c r="E5312" s="4" t="str">
        <f t="shared" ref="E5312:E5323" si="427">HYPERLINK("https://diaocthongthai.com/ban-do-huyen-quy-chau-nghe-an/","Huyện Quỳ Châu")</f>
        <v>Huyện Quỳ Châu</v>
      </c>
      <c r="F5312" s="3" t="s">
        <v>6075</v>
      </c>
      <c r="G5312" s="4" t="str">
        <f>HYPERLINK("https://diaocthongthai.com/thi-tran-tan-lac-quy-chau/","Thị trấn Tân Lạc")</f>
        <v>Thị trấn Tân Lạc</v>
      </c>
    </row>
    <row r="5313" spans="1:7" x14ac:dyDescent="0.25">
      <c r="A5313" s="2">
        <v>5312</v>
      </c>
      <c r="B5313" s="3" t="s">
        <v>29</v>
      </c>
      <c r="C5313" s="4" t="str">
        <f t="shared" si="422"/>
        <v>Nghệ An</v>
      </c>
      <c r="D5313" s="3" t="s">
        <v>362</v>
      </c>
      <c r="E5313" s="4" t="str">
        <f t="shared" si="427"/>
        <v>Huyện Quỳ Châu</v>
      </c>
      <c r="F5313" s="3" t="s">
        <v>6076</v>
      </c>
      <c r="G5313" s="4" t="str">
        <f>HYPERLINK("https://diaocthongthai.com/xa-chau-binh-1-quy-chau/","Xã Châu Bính")</f>
        <v>Xã Châu Bính</v>
      </c>
    </row>
    <row r="5314" spans="1:7" x14ac:dyDescent="0.25">
      <c r="A5314" s="2">
        <v>5313</v>
      </c>
      <c r="B5314" s="3" t="s">
        <v>29</v>
      </c>
      <c r="C5314" s="4" t="str">
        <f t="shared" si="422"/>
        <v>Nghệ An</v>
      </c>
      <c r="D5314" s="3" t="s">
        <v>362</v>
      </c>
      <c r="E5314" s="4" t="str">
        <f t="shared" si="427"/>
        <v>Huyện Quỳ Châu</v>
      </c>
      <c r="F5314" s="3" t="s">
        <v>6077</v>
      </c>
      <c r="G5314" s="4" t="str">
        <f>HYPERLINK("https://diaocthongthai.com/xa-chau-thuan-quy-chau/","Xã Châu Thuận")</f>
        <v>Xã Châu Thuận</v>
      </c>
    </row>
    <row r="5315" spans="1:7" x14ac:dyDescent="0.25">
      <c r="A5315" s="2">
        <v>5314</v>
      </c>
      <c r="B5315" s="3" t="s">
        <v>29</v>
      </c>
      <c r="C5315" s="4" t="str">
        <f t="shared" si="422"/>
        <v>Nghệ An</v>
      </c>
      <c r="D5315" s="3" t="s">
        <v>362</v>
      </c>
      <c r="E5315" s="4" t="str">
        <f t="shared" si="427"/>
        <v>Huyện Quỳ Châu</v>
      </c>
      <c r="F5315" s="3" t="s">
        <v>6078</v>
      </c>
      <c r="G5315" s="4" t="str">
        <f>HYPERLINK("https://diaocthongthai.com/xa-chau-hoi-quy-chau/","Xã Châu Hội")</f>
        <v>Xã Châu Hội</v>
      </c>
    </row>
    <row r="5316" spans="1:7" x14ac:dyDescent="0.25">
      <c r="A5316" s="2">
        <v>5315</v>
      </c>
      <c r="B5316" s="3" t="s">
        <v>29</v>
      </c>
      <c r="C5316" s="4" t="str">
        <f t="shared" si="422"/>
        <v>Nghệ An</v>
      </c>
      <c r="D5316" s="3" t="s">
        <v>362</v>
      </c>
      <c r="E5316" s="4" t="str">
        <f t="shared" si="427"/>
        <v>Huyện Quỳ Châu</v>
      </c>
      <c r="F5316" s="3" t="s">
        <v>6079</v>
      </c>
      <c r="G5316" s="4" t="str">
        <f>HYPERLINK("https://diaocthongthai.com/xa-chau-nga-quy-chau/","Xã Châu Nga")</f>
        <v>Xã Châu Nga</v>
      </c>
    </row>
    <row r="5317" spans="1:7" x14ac:dyDescent="0.25">
      <c r="A5317" s="2">
        <v>5316</v>
      </c>
      <c r="B5317" s="3" t="s">
        <v>29</v>
      </c>
      <c r="C5317" s="4" t="str">
        <f t="shared" si="422"/>
        <v>Nghệ An</v>
      </c>
      <c r="D5317" s="3" t="s">
        <v>362</v>
      </c>
      <c r="E5317" s="4" t="str">
        <f t="shared" si="427"/>
        <v>Huyện Quỳ Châu</v>
      </c>
      <c r="F5317" s="3" t="s">
        <v>6080</v>
      </c>
      <c r="G5317" s="4" t="str">
        <f>HYPERLINK("https://diaocthongthai.com/xa-chau-tien-quy-chau/","Xã Châu Tiến")</f>
        <v>Xã Châu Tiến</v>
      </c>
    </row>
    <row r="5318" spans="1:7" x14ac:dyDescent="0.25">
      <c r="A5318" s="2">
        <v>5317</v>
      </c>
      <c r="B5318" s="3" t="s">
        <v>29</v>
      </c>
      <c r="C5318" s="4" t="str">
        <f t="shared" si="422"/>
        <v>Nghệ An</v>
      </c>
      <c r="D5318" s="3" t="s">
        <v>362</v>
      </c>
      <c r="E5318" s="4" t="str">
        <f t="shared" si="427"/>
        <v>Huyện Quỳ Châu</v>
      </c>
      <c r="F5318" s="3" t="s">
        <v>6081</v>
      </c>
      <c r="G5318" s="4" t="str">
        <f>HYPERLINK("https://diaocthongthai.com/xa-chau-hanh-quy-chau/","Xã Châu Hạnh")</f>
        <v>Xã Châu Hạnh</v>
      </c>
    </row>
    <row r="5319" spans="1:7" x14ac:dyDescent="0.25">
      <c r="A5319" s="2">
        <v>5318</v>
      </c>
      <c r="B5319" s="3" t="s">
        <v>29</v>
      </c>
      <c r="C5319" s="4" t="str">
        <f t="shared" si="422"/>
        <v>Nghệ An</v>
      </c>
      <c r="D5319" s="3" t="s">
        <v>362</v>
      </c>
      <c r="E5319" s="4" t="str">
        <f t="shared" si="427"/>
        <v>Huyện Quỳ Châu</v>
      </c>
      <c r="F5319" s="3" t="s">
        <v>6082</v>
      </c>
      <c r="G5319" s="4" t="str">
        <f>HYPERLINK("https://diaocthongthai.com/xa-chau-thang-quy-chau/","Xã Châu Thắng")</f>
        <v>Xã Châu Thắng</v>
      </c>
    </row>
    <row r="5320" spans="1:7" x14ac:dyDescent="0.25">
      <c r="A5320" s="2">
        <v>5319</v>
      </c>
      <c r="B5320" s="3" t="s">
        <v>29</v>
      </c>
      <c r="C5320" s="4" t="str">
        <f t="shared" si="422"/>
        <v>Nghệ An</v>
      </c>
      <c r="D5320" s="3" t="s">
        <v>362</v>
      </c>
      <c r="E5320" s="4" t="str">
        <f t="shared" si="427"/>
        <v>Huyện Quỳ Châu</v>
      </c>
      <c r="F5320" s="3" t="s">
        <v>6083</v>
      </c>
      <c r="G5320" s="4" t="str">
        <f>HYPERLINK("https://diaocthongthai.com/xa-chau-phong-quy-chau/","Xã Châu Phong")</f>
        <v>Xã Châu Phong</v>
      </c>
    </row>
    <row r="5321" spans="1:7" x14ac:dyDescent="0.25">
      <c r="A5321" s="2">
        <v>5320</v>
      </c>
      <c r="B5321" s="3" t="s">
        <v>29</v>
      </c>
      <c r="C5321" s="4" t="str">
        <f t="shared" si="422"/>
        <v>Nghệ An</v>
      </c>
      <c r="D5321" s="3" t="s">
        <v>362</v>
      </c>
      <c r="E5321" s="4" t="str">
        <f t="shared" si="427"/>
        <v>Huyện Quỳ Châu</v>
      </c>
      <c r="F5321" s="3" t="s">
        <v>6084</v>
      </c>
      <c r="G5321" s="4" t="str">
        <f>HYPERLINK("https://diaocthongthai.com/xa-chau-binh-2-quy-chau/","Xã Châu Bình")</f>
        <v>Xã Châu Bình</v>
      </c>
    </row>
    <row r="5322" spans="1:7" x14ac:dyDescent="0.25">
      <c r="A5322" s="2">
        <v>5321</v>
      </c>
      <c r="B5322" s="3" t="s">
        <v>29</v>
      </c>
      <c r="C5322" s="4" t="str">
        <f t="shared" ref="C5322:C5385" si="428">HYPERLINK("https://diaocthongthai.com/ban-do-nghe-an/","Nghệ An")</f>
        <v>Nghệ An</v>
      </c>
      <c r="D5322" s="3" t="s">
        <v>362</v>
      </c>
      <c r="E5322" s="4" t="str">
        <f t="shared" si="427"/>
        <v>Huyện Quỳ Châu</v>
      </c>
      <c r="F5322" s="3" t="s">
        <v>6085</v>
      </c>
      <c r="G5322" s="4" t="str">
        <f>HYPERLINK("https://diaocthongthai.com/xa-chau-hoan-quy-chau/","Xã Châu Hoàn")</f>
        <v>Xã Châu Hoàn</v>
      </c>
    </row>
    <row r="5323" spans="1:7" x14ac:dyDescent="0.25">
      <c r="A5323" s="2">
        <v>5322</v>
      </c>
      <c r="B5323" s="3" t="s">
        <v>29</v>
      </c>
      <c r="C5323" s="4" t="str">
        <f t="shared" si="428"/>
        <v>Nghệ An</v>
      </c>
      <c r="D5323" s="3" t="s">
        <v>362</v>
      </c>
      <c r="E5323" s="4" t="str">
        <f t="shared" si="427"/>
        <v>Huyện Quỳ Châu</v>
      </c>
      <c r="F5323" s="3" t="s">
        <v>6086</v>
      </c>
      <c r="G5323" s="4" t="str">
        <f>HYPERLINK("https://diaocthongthai.com/xa-dien-lam-quy-chau/","Xã Diên Lãm")</f>
        <v>Xã Diên Lãm</v>
      </c>
    </row>
    <row r="5324" spans="1:7" x14ac:dyDescent="0.25">
      <c r="A5324" s="2">
        <v>5323</v>
      </c>
      <c r="B5324" s="3" t="s">
        <v>29</v>
      </c>
      <c r="C5324" s="4" t="str">
        <f t="shared" si="428"/>
        <v>Nghệ An</v>
      </c>
      <c r="D5324" s="3" t="s">
        <v>363</v>
      </c>
      <c r="E5324" s="4" t="str">
        <f t="shared" ref="E5324:E5344" si="429">HYPERLINK("https://diaocthongthai.com/ban-do-huyen-ky-son-nghe-an/","Huyện Kỳ Sơn")</f>
        <v>Huyện Kỳ Sơn</v>
      </c>
      <c r="F5324" s="3" t="s">
        <v>6087</v>
      </c>
      <c r="G5324" s="4" t="str">
        <f>HYPERLINK("https://diaocthongthai.com/thi-tran-muong-xen-ky-son-nghe-an/","Thị trấn Mường Xén")</f>
        <v>Thị trấn Mường Xén</v>
      </c>
    </row>
    <row r="5325" spans="1:7" x14ac:dyDescent="0.25">
      <c r="A5325" s="2">
        <v>5324</v>
      </c>
      <c r="B5325" s="3" t="s">
        <v>29</v>
      </c>
      <c r="C5325" s="4" t="str">
        <f t="shared" si="428"/>
        <v>Nghệ An</v>
      </c>
      <c r="D5325" s="3" t="s">
        <v>363</v>
      </c>
      <c r="E5325" s="4" t="str">
        <f t="shared" si="429"/>
        <v>Huyện Kỳ Sơn</v>
      </c>
      <c r="F5325" s="3" t="s">
        <v>6088</v>
      </c>
      <c r="G5325" s="4" t="str">
        <f>HYPERLINK("https://diaocthongthai.com/xa-my-ly-ky-son-nghe-an/","Xã Mỹ Lý")</f>
        <v>Xã Mỹ Lý</v>
      </c>
    </row>
    <row r="5326" spans="1:7" x14ac:dyDescent="0.25">
      <c r="A5326" s="2">
        <v>5325</v>
      </c>
      <c r="B5326" s="3" t="s">
        <v>29</v>
      </c>
      <c r="C5326" s="4" t="str">
        <f t="shared" si="428"/>
        <v>Nghệ An</v>
      </c>
      <c r="D5326" s="3" t="s">
        <v>363</v>
      </c>
      <c r="E5326" s="4" t="str">
        <f t="shared" si="429"/>
        <v>Huyện Kỳ Sơn</v>
      </c>
      <c r="F5326" s="3" t="s">
        <v>6089</v>
      </c>
      <c r="G5326" s="4" t="str">
        <f>HYPERLINK("https://diaocthongthai.com/xa-bac-ly-ky-son-nghe-an/","Xã Bắc Lý")</f>
        <v>Xã Bắc Lý</v>
      </c>
    </row>
    <row r="5327" spans="1:7" x14ac:dyDescent="0.25">
      <c r="A5327" s="2">
        <v>5326</v>
      </c>
      <c r="B5327" s="3" t="s">
        <v>29</v>
      </c>
      <c r="C5327" s="4" t="str">
        <f t="shared" si="428"/>
        <v>Nghệ An</v>
      </c>
      <c r="D5327" s="3" t="s">
        <v>363</v>
      </c>
      <c r="E5327" s="4" t="str">
        <f t="shared" si="429"/>
        <v>Huyện Kỳ Sơn</v>
      </c>
      <c r="F5327" s="3" t="s">
        <v>6090</v>
      </c>
      <c r="G5327" s="4" t="str">
        <f>HYPERLINK("https://diaocthongthai.com/xa-keng-du-ky-son-nghe-an/","Xã Keng Đu")</f>
        <v>Xã Keng Đu</v>
      </c>
    </row>
    <row r="5328" spans="1:7" x14ac:dyDescent="0.25">
      <c r="A5328" s="2">
        <v>5327</v>
      </c>
      <c r="B5328" s="3" t="s">
        <v>29</v>
      </c>
      <c r="C5328" s="4" t="str">
        <f t="shared" si="428"/>
        <v>Nghệ An</v>
      </c>
      <c r="D5328" s="3" t="s">
        <v>363</v>
      </c>
      <c r="E5328" s="4" t="str">
        <f t="shared" si="429"/>
        <v>Huyện Kỳ Sơn</v>
      </c>
      <c r="F5328" s="3" t="s">
        <v>6091</v>
      </c>
      <c r="G5328" s="4" t="str">
        <f>HYPERLINK("https://diaocthongthai.com/xa-dooc-may-ky-son-nghe-an/","Xã Đoọc Mạy")</f>
        <v>Xã Đoọc Mạy</v>
      </c>
    </row>
    <row r="5329" spans="1:7" x14ac:dyDescent="0.25">
      <c r="A5329" s="2">
        <v>5328</v>
      </c>
      <c r="B5329" s="3" t="s">
        <v>29</v>
      </c>
      <c r="C5329" s="4" t="str">
        <f t="shared" si="428"/>
        <v>Nghệ An</v>
      </c>
      <c r="D5329" s="3" t="s">
        <v>363</v>
      </c>
      <c r="E5329" s="4" t="str">
        <f t="shared" si="429"/>
        <v>Huyện Kỳ Sơn</v>
      </c>
      <c r="F5329" s="3" t="s">
        <v>6092</v>
      </c>
      <c r="G5329" s="4" t="str">
        <f>HYPERLINK("https://diaocthongthai.com/xa-huoi-tu-ky-son-nghe-an/","Xã Huồi Tụ")</f>
        <v>Xã Huồi Tụ</v>
      </c>
    </row>
    <row r="5330" spans="1:7" x14ac:dyDescent="0.25">
      <c r="A5330" s="2">
        <v>5329</v>
      </c>
      <c r="B5330" s="3" t="s">
        <v>29</v>
      </c>
      <c r="C5330" s="4" t="str">
        <f t="shared" si="428"/>
        <v>Nghệ An</v>
      </c>
      <c r="D5330" s="3" t="s">
        <v>363</v>
      </c>
      <c r="E5330" s="4" t="str">
        <f t="shared" si="429"/>
        <v>Huyện Kỳ Sơn</v>
      </c>
      <c r="F5330" s="3" t="s">
        <v>6093</v>
      </c>
      <c r="G5330" s="4" t="str">
        <f>HYPERLINK("https://diaocthongthai.com/xa-muong-long-ky-son-nghe-an/","Xã Mường Lống")</f>
        <v>Xã Mường Lống</v>
      </c>
    </row>
    <row r="5331" spans="1:7" x14ac:dyDescent="0.25">
      <c r="A5331" s="2">
        <v>5330</v>
      </c>
      <c r="B5331" s="3" t="s">
        <v>29</v>
      </c>
      <c r="C5331" s="4" t="str">
        <f t="shared" si="428"/>
        <v>Nghệ An</v>
      </c>
      <c r="D5331" s="3" t="s">
        <v>363</v>
      </c>
      <c r="E5331" s="4" t="str">
        <f t="shared" si="429"/>
        <v>Huyện Kỳ Sơn</v>
      </c>
      <c r="F5331" s="3" t="s">
        <v>6094</v>
      </c>
      <c r="G5331" s="4" t="str">
        <f>HYPERLINK("https://diaocthongthai.com/xa-na-loi-ky-son-nghe-an/","Xã Na Loi")</f>
        <v>Xã Na Loi</v>
      </c>
    </row>
    <row r="5332" spans="1:7" x14ac:dyDescent="0.25">
      <c r="A5332" s="2">
        <v>5331</v>
      </c>
      <c r="B5332" s="3" t="s">
        <v>29</v>
      </c>
      <c r="C5332" s="4" t="str">
        <f t="shared" si="428"/>
        <v>Nghệ An</v>
      </c>
      <c r="D5332" s="3" t="s">
        <v>363</v>
      </c>
      <c r="E5332" s="4" t="str">
        <f t="shared" si="429"/>
        <v>Huyện Kỳ Sơn</v>
      </c>
      <c r="F5332" s="3" t="s">
        <v>6095</v>
      </c>
      <c r="G5332" s="4" t="str">
        <f>HYPERLINK("https://diaocthongthai.com/xa-nam-can-2-ky-son-nghe-an/","Xã Nậm Cắn")</f>
        <v>Xã Nậm Cắn</v>
      </c>
    </row>
    <row r="5333" spans="1:7" x14ac:dyDescent="0.25">
      <c r="A5333" s="2">
        <v>5332</v>
      </c>
      <c r="B5333" s="3" t="s">
        <v>29</v>
      </c>
      <c r="C5333" s="4" t="str">
        <f t="shared" si="428"/>
        <v>Nghệ An</v>
      </c>
      <c r="D5333" s="3" t="s">
        <v>363</v>
      </c>
      <c r="E5333" s="4" t="str">
        <f t="shared" si="429"/>
        <v>Huyện Kỳ Sơn</v>
      </c>
      <c r="F5333" s="3" t="s">
        <v>6096</v>
      </c>
      <c r="G5333" s="4" t="str">
        <f>HYPERLINK("https://diaocthongthai.com/xa-bao-nam-ky-son-nghe-an/","Xã Bảo Nam")</f>
        <v>Xã Bảo Nam</v>
      </c>
    </row>
    <row r="5334" spans="1:7" x14ac:dyDescent="0.25">
      <c r="A5334" s="2">
        <v>5333</v>
      </c>
      <c r="B5334" s="3" t="s">
        <v>29</v>
      </c>
      <c r="C5334" s="4" t="str">
        <f t="shared" si="428"/>
        <v>Nghệ An</v>
      </c>
      <c r="D5334" s="3" t="s">
        <v>363</v>
      </c>
      <c r="E5334" s="4" t="str">
        <f t="shared" si="429"/>
        <v>Huyện Kỳ Sơn</v>
      </c>
      <c r="F5334" s="3" t="s">
        <v>6097</v>
      </c>
      <c r="G5334" s="4" t="str">
        <f>HYPERLINK("https://diaocthongthai.com/xa-pha-danh-ky-son-nghe-an/","Xã Phà Đánh")</f>
        <v>Xã Phà Đánh</v>
      </c>
    </row>
    <row r="5335" spans="1:7" x14ac:dyDescent="0.25">
      <c r="A5335" s="2">
        <v>5334</v>
      </c>
      <c r="B5335" s="3" t="s">
        <v>29</v>
      </c>
      <c r="C5335" s="4" t="str">
        <f t="shared" si="428"/>
        <v>Nghệ An</v>
      </c>
      <c r="D5335" s="3" t="s">
        <v>363</v>
      </c>
      <c r="E5335" s="4" t="str">
        <f t="shared" si="429"/>
        <v>Huyện Kỳ Sơn</v>
      </c>
      <c r="F5335" s="3" t="s">
        <v>6098</v>
      </c>
      <c r="G5335" s="4" t="str">
        <f>HYPERLINK("https://diaocthongthai.com/xa-bao-thang-ky-son-nghe-an/","Xã Bảo Thắng")</f>
        <v>Xã Bảo Thắng</v>
      </c>
    </row>
    <row r="5336" spans="1:7" x14ac:dyDescent="0.25">
      <c r="A5336" s="2">
        <v>5335</v>
      </c>
      <c r="B5336" s="3" t="s">
        <v>29</v>
      </c>
      <c r="C5336" s="4" t="str">
        <f t="shared" si="428"/>
        <v>Nghệ An</v>
      </c>
      <c r="D5336" s="3" t="s">
        <v>363</v>
      </c>
      <c r="E5336" s="4" t="str">
        <f t="shared" si="429"/>
        <v>Huyện Kỳ Sơn</v>
      </c>
      <c r="F5336" s="3" t="s">
        <v>6099</v>
      </c>
      <c r="G5336" s="4" t="str">
        <f>HYPERLINK("https://diaocthongthai.com/xa-huu-lap-ky-son-nghe-an/","Xã Hữu Lập")</f>
        <v>Xã Hữu Lập</v>
      </c>
    </row>
    <row r="5337" spans="1:7" x14ac:dyDescent="0.25">
      <c r="A5337" s="2">
        <v>5336</v>
      </c>
      <c r="B5337" s="3" t="s">
        <v>29</v>
      </c>
      <c r="C5337" s="4" t="str">
        <f t="shared" si="428"/>
        <v>Nghệ An</v>
      </c>
      <c r="D5337" s="3" t="s">
        <v>363</v>
      </c>
      <c r="E5337" s="4" t="str">
        <f t="shared" si="429"/>
        <v>Huyện Kỳ Sơn</v>
      </c>
      <c r="F5337" s="3" t="s">
        <v>6100</v>
      </c>
      <c r="G5337" s="4" t="str">
        <f>HYPERLINK("https://diaocthongthai.com/xa-ta-ca-ky-son-nghe-an/","Xã Tà Cạ")</f>
        <v>Xã Tà Cạ</v>
      </c>
    </row>
    <row r="5338" spans="1:7" x14ac:dyDescent="0.25">
      <c r="A5338" s="2">
        <v>5337</v>
      </c>
      <c r="B5338" s="3" t="s">
        <v>29</v>
      </c>
      <c r="C5338" s="4" t="str">
        <f t="shared" si="428"/>
        <v>Nghệ An</v>
      </c>
      <c r="D5338" s="3" t="s">
        <v>363</v>
      </c>
      <c r="E5338" s="4" t="str">
        <f t="shared" si="429"/>
        <v>Huyện Kỳ Sơn</v>
      </c>
      <c r="F5338" s="3" t="s">
        <v>6101</v>
      </c>
      <c r="G5338" s="4" t="str">
        <f>HYPERLINK("https://diaocthongthai.com/xa-chieu-luu-ky-son-nghe-an/","Xã Chiêu Lưu")</f>
        <v>Xã Chiêu Lưu</v>
      </c>
    </row>
    <row r="5339" spans="1:7" x14ac:dyDescent="0.25">
      <c r="A5339" s="2">
        <v>5338</v>
      </c>
      <c r="B5339" s="3" t="s">
        <v>29</v>
      </c>
      <c r="C5339" s="4" t="str">
        <f t="shared" si="428"/>
        <v>Nghệ An</v>
      </c>
      <c r="D5339" s="3" t="s">
        <v>363</v>
      </c>
      <c r="E5339" s="4" t="str">
        <f t="shared" si="429"/>
        <v>Huyện Kỳ Sơn</v>
      </c>
      <c r="F5339" s="3" t="s">
        <v>6102</v>
      </c>
      <c r="G5339" s="4" t="str">
        <f>HYPERLINK("https://diaocthongthai.com/xa-muong-tip-ky-son-nghe-an/","Xã Mường Típ")</f>
        <v>Xã Mường Típ</v>
      </c>
    </row>
    <row r="5340" spans="1:7" x14ac:dyDescent="0.25">
      <c r="A5340" s="2">
        <v>5339</v>
      </c>
      <c r="B5340" s="3" t="s">
        <v>29</v>
      </c>
      <c r="C5340" s="4" t="str">
        <f t="shared" si="428"/>
        <v>Nghệ An</v>
      </c>
      <c r="D5340" s="3" t="s">
        <v>363</v>
      </c>
      <c r="E5340" s="4" t="str">
        <f t="shared" si="429"/>
        <v>Huyện Kỳ Sơn</v>
      </c>
      <c r="F5340" s="3" t="s">
        <v>6103</v>
      </c>
      <c r="G5340" s="4" t="str">
        <f>HYPERLINK("https://diaocthongthai.com/xa-huu-kiem-ky-son-nghe-an/","Xã Hữu Kiệm")</f>
        <v>Xã Hữu Kiệm</v>
      </c>
    </row>
    <row r="5341" spans="1:7" x14ac:dyDescent="0.25">
      <c r="A5341" s="2">
        <v>5340</v>
      </c>
      <c r="B5341" s="3" t="s">
        <v>29</v>
      </c>
      <c r="C5341" s="4" t="str">
        <f t="shared" si="428"/>
        <v>Nghệ An</v>
      </c>
      <c r="D5341" s="3" t="s">
        <v>363</v>
      </c>
      <c r="E5341" s="4" t="str">
        <f t="shared" si="429"/>
        <v>Huyện Kỳ Sơn</v>
      </c>
      <c r="F5341" s="3" t="s">
        <v>6104</v>
      </c>
      <c r="G5341" s="4" t="str">
        <f>HYPERLINK("https://diaocthongthai.com/xa-tay-son-ky-son-nghe-an/","Xã Tây Sơn")</f>
        <v>Xã Tây Sơn</v>
      </c>
    </row>
    <row r="5342" spans="1:7" x14ac:dyDescent="0.25">
      <c r="A5342" s="2">
        <v>5341</v>
      </c>
      <c r="B5342" s="3" t="s">
        <v>29</v>
      </c>
      <c r="C5342" s="4" t="str">
        <f t="shared" si="428"/>
        <v>Nghệ An</v>
      </c>
      <c r="D5342" s="3" t="s">
        <v>363</v>
      </c>
      <c r="E5342" s="4" t="str">
        <f t="shared" si="429"/>
        <v>Huyện Kỳ Sơn</v>
      </c>
      <c r="F5342" s="3" t="s">
        <v>6105</v>
      </c>
      <c r="G5342" s="4" t="str">
        <f>HYPERLINK("https://diaocthongthai.com/xa-muong-ai-ky-son-nghe-an/","Xã Mường Ải")</f>
        <v>Xã Mường Ải</v>
      </c>
    </row>
    <row r="5343" spans="1:7" x14ac:dyDescent="0.25">
      <c r="A5343" s="2">
        <v>5342</v>
      </c>
      <c r="B5343" s="3" t="s">
        <v>29</v>
      </c>
      <c r="C5343" s="4" t="str">
        <f t="shared" si="428"/>
        <v>Nghệ An</v>
      </c>
      <c r="D5343" s="3" t="s">
        <v>363</v>
      </c>
      <c r="E5343" s="4" t="str">
        <f t="shared" si="429"/>
        <v>Huyện Kỳ Sơn</v>
      </c>
      <c r="F5343" s="3" t="s">
        <v>6106</v>
      </c>
      <c r="G5343" s="4" t="str">
        <f>HYPERLINK("https://diaocthongthai.com/xa-na-ngoi-ky-son-nghe-an/","Xã Na Ngoi")</f>
        <v>Xã Na Ngoi</v>
      </c>
    </row>
    <row r="5344" spans="1:7" x14ac:dyDescent="0.25">
      <c r="A5344" s="2">
        <v>5343</v>
      </c>
      <c r="B5344" s="3" t="s">
        <v>29</v>
      </c>
      <c r="C5344" s="4" t="str">
        <f t="shared" si="428"/>
        <v>Nghệ An</v>
      </c>
      <c r="D5344" s="3" t="s">
        <v>363</v>
      </c>
      <c r="E5344" s="4" t="str">
        <f t="shared" si="429"/>
        <v>Huyện Kỳ Sơn</v>
      </c>
      <c r="F5344" s="3" t="s">
        <v>6107</v>
      </c>
      <c r="G5344" s="4" t="str">
        <f>HYPERLINK("https://diaocthongthai.com/xa-nam-can-1-ky-son-nghe-an/","Xã Nậm Càn")</f>
        <v>Xã Nậm Càn</v>
      </c>
    </row>
    <row r="5345" spans="1:7" x14ac:dyDescent="0.25">
      <c r="A5345" s="2">
        <v>5344</v>
      </c>
      <c r="B5345" s="3" t="s">
        <v>29</v>
      </c>
      <c r="C5345" s="4" t="str">
        <f t="shared" si="428"/>
        <v>Nghệ An</v>
      </c>
      <c r="D5345" s="3" t="s">
        <v>364</v>
      </c>
      <c r="E5345" s="4" t="str">
        <f t="shared" ref="E5345:E5361" si="430">HYPERLINK("https://diaocthongthai.com/ban-do-huyen-tuong-duong-nghe-an/","Huyện Tương Dương")</f>
        <v>Huyện Tương Dương</v>
      </c>
      <c r="F5345" s="3" t="s">
        <v>6108</v>
      </c>
      <c r="G5345" s="4" t="str">
        <f>HYPERLINK("https://diaocthongthai.com/thi-tran-thach-giam-tuong-duong/","Thị trấn Thạch Giám")</f>
        <v>Thị trấn Thạch Giám</v>
      </c>
    </row>
    <row r="5346" spans="1:7" x14ac:dyDescent="0.25">
      <c r="A5346" s="2">
        <v>5345</v>
      </c>
      <c r="B5346" s="3" t="s">
        <v>29</v>
      </c>
      <c r="C5346" s="4" t="str">
        <f t="shared" si="428"/>
        <v>Nghệ An</v>
      </c>
      <c r="D5346" s="3" t="s">
        <v>364</v>
      </c>
      <c r="E5346" s="4" t="str">
        <f t="shared" si="430"/>
        <v>Huyện Tương Dương</v>
      </c>
      <c r="F5346" s="3" t="s">
        <v>6109</v>
      </c>
      <c r="G5346" s="4" t="str">
        <f>HYPERLINK("https://diaocthongthai.com/xa-mai-son-tuong-duong/","Xã Mai Sơn")</f>
        <v>Xã Mai Sơn</v>
      </c>
    </row>
    <row r="5347" spans="1:7" x14ac:dyDescent="0.25">
      <c r="A5347" s="2">
        <v>5346</v>
      </c>
      <c r="B5347" s="3" t="s">
        <v>29</v>
      </c>
      <c r="C5347" s="4" t="str">
        <f t="shared" si="428"/>
        <v>Nghệ An</v>
      </c>
      <c r="D5347" s="3" t="s">
        <v>364</v>
      </c>
      <c r="E5347" s="4" t="str">
        <f t="shared" si="430"/>
        <v>Huyện Tương Dương</v>
      </c>
      <c r="F5347" s="3" t="s">
        <v>6110</v>
      </c>
      <c r="G5347" s="4" t="str">
        <f>HYPERLINK("https://diaocthongthai.com/xa-nhon-mai-tuong-duong/","Xã Nhôn Mai")</f>
        <v>Xã Nhôn Mai</v>
      </c>
    </row>
    <row r="5348" spans="1:7" x14ac:dyDescent="0.25">
      <c r="A5348" s="2">
        <v>5347</v>
      </c>
      <c r="B5348" s="3" t="s">
        <v>29</v>
      </c>
      <c r="C5348" s="4" t="str">
        <f t="shared" si="428"/>
        <v>Nghệ An</v>
      </c>
      <c r="D5348" s="3" t="s">
        <v>364</v>
      </c>
      <c r="E5348" s="4" t="str">
        <f t="shared" si="430"/>
        <v>Huyện Tương Dương</v>
      </c>
      <c r="F5348" s="3" t="s">
        <v>6111</v>
      </c>
      <c r="G5348" s="4" t="str">
        <f>HYPERLINK("https://diaocthongthai.com/xa-huu-khuong-tuong-duong/","Xã Hữu Khuông")</f>
        <v>Xã Hữu Khuông</v>
      </c>
    </row>
    <row r="5349" spans="1:7" x14ac:dyDescent="0.25">
      <c r="A5349" s="2">
        <v>5348</v>
      </c>
      <c r="B5349" s="3" t="s">
        <v>29</v>
      </c>
      <c r="C5349" s="4" t="str">
        <f t="shared" si="428"/>
        <v>Nghệ An</v>
      </c>
      <c r="D5349" s="3" t="s">
        <v>364</v>
      </c>
      <c r="E5349" s="4" t="str">
        <f t="shared" si="430"/>
        <v>Huyện Tương Dương</v>
      </c>
      <c r="F5349" s="3" t="s">
        <v>6112</v>
      </c>
      <c r="G5349" s="4" t="str">
        <f>HYPERLINK("https://diaocthongthai.com/xa-yen-tinh-tuong-duong/","Xã Yên Tĩnh")</f>
        <v>Xã Yên Tĩnh</v>
      </c>
    </row>
    <row r="5350" spans="1:7" x14ac:dyDescent="0.25">
      <c r="A5350" s="2">
        <v>5349</v>
      </c>
      <c r="B5350" s="3" t="s">
        <v>29</v>
      </c>
      <c r="C5350" s="4" t="str">
        <f t="shared" si="428"/>
        <v>Nghệ An</v>
      </c>
      <c r="D5350" s="3" t="s">
        <v>364</v>
      </c>
      <c r="E5350" s="4" t="str">
        <f t="shared" si="430"/>
        <v>Huyện Tương Dương</v>
      </c>
      <c r="F5350" s="3" t="s">
        <v>6113</v>
      </c>
      <c r="G5350" s="4" t="str">
        <f>HYPERLINK("https://diaocthongthai.com/xa-nga-my-tuong-duong/","Xã Nga My")</f>
        <v>Xã Nga My</v>
      </c>
    </row>
    <row r="5351" spans="1:7" x14ac:dyDescent="0.25">
      <c r="A5351" s="2">
        <v>5350</v>
      </c>
      <c r="B5351" s="3" t="s">
        <v>29</v>
      </c>
      <c r="C5351" s="4" t="str">
        <f t="shared" si="428"/>
        <v>Nghệ An</v>
      </c>
      <c r="D5351" s="3" t="s">
        <v>364</v>
      </c>
      <c r="E5351" s="4" t="str">
        <f t="shared" si="430"/>
        <v>Huyện Tương Dương</v>
      </c>
      <c r="F5351" s="3" t="s">
        <v>6114</v>
      </c>
      <c r="G5351" s="4" t="str">
        <f>HYPERLINK("https://diaocthongthai.com/xa-xieng-my-tuong-duong/","Xã Xiêng My")</f>
        <v>Xã Xiêng My</v>
      </c>
    </row>
    <row r="5352" spans="1:7" x14ac:dyDescent="0.25">
      <c r="A5352" s="2">
        <v>5351</v>
      </c>
      <c r="B5352" s="3" t="s">
        <v>29</v>
      </c>
      <c r="C5352" s="4" t="str">
        <f t="shared" si="428"/>
        <v>Nghệ An</v>
      </c>
      <c r="D5352" s="3" t="s">
        <v>364</v>
      </c>
      <c r="E5352" s="4" t="str">
        <f t="shared" si="430"/>
        <v>Huyện Tương Dương</v>
      </c>
      <c r="F5352" s="3" t="s">
        <v>6115</v>
      </c>
      <c r="G5352" s="4" t="str">
        <f>HYPERLINK("https://diaocthongthai.com/xa-luong-minh-1-tuong-duong/","Xã Lưỡng Minh")</f>
        <v>Xã Lưỡng Minh</v>
      </c>
    </row>
    <row r="5353" spans="1:7" x14ac:dyDescent="0.25">
      <c r="A5353" s="2">
        <v>5352</v>
      </c>
      <c r="B5353" s="3" t="s">
        <v>29</v>
      </c>
      <c r="C5353" s="4" t="str">
        <f t="shared" si="428"/>
        <v>Nghệ An</v>
      </c>
      <c r="D5353" s="3" t="s">
        <v>364</v>
      </c>
      <c r="E5353" s="4" t="str">
        <f t="shared" si="430"/>
        <v>Huyện Tương Dương</v>
      </c>
      <c r="F5353" s="3" t="s">
        <v>6116</v>
      </c>
      <c r="G5353" s="4" t="str">
        <f>HYPERLINK("https://diaocthongthai.com/xa-yen-hoa-tuong-duong/","Xã Yên Hòa")</f>
        <v>Xã Yên Hòa</v>
      </c>
    </row>
    <row r="5354" spans="1:7" x14ac:dyDescent="0.25">
      <c r="A5354" s="2">
        <v>5353</v>
      </c>
      <c r="B5354" s="3" t="s">
        <v>29</v>
      </c>
      <c r="C5354" s="4" t="str">
        <f t="shared" si="428"/>
        <v>Nghệ An</v>
      </c>
      <c r="D5354" s="3" t="s">
        <v>364</v>
      </c>
      <c r="E5354" s="4" t="str">
        <f t="shared" si="430"/>
        <v>Huyện Tương Dương</v>
      </c>
      <c r="F5354" s="3" t="s">
        <v>6117</v>
      </c>
      <c r="G5354" s="4" t="str">
        <f>HYPERLINK("https://diaocthongthai.com/xa-yen-na-tuong-duong/","Xã Yên Na")</f>
        <v>Xã Yên Na</v>
      </c>
    </row>
    <row r="5355" spans="1:7" x14ac:dyDescent="0.25">
      <c r="A5355" s="2">
        <v>5354</v>
      </c>
      <c r="B5355" s="3" t="s">
        <v>29</v>
      </c>
      <c r="C5355" s="4" t="str">
        <f t="shared" si="428"/>
        <v>Nghệ An</v>
      </c>
      <c r="D5355" s="3" t="s">
        <v>364</v>
      </c>
      <c r="E5355" s="4" t="str">
        <f t="shared" si="430"/>
        <v>Huyện Tương Dương</v>
      </c>
      <c r="F5355" s="3" t="s">
        <v>6118</v>
      </c>
      <c r="G5355" s="4" t="str">
        <f>HYPERLINK("https://diaocthongthai.com/xa-luu-kien-tuong-duong/","Xã Lưu Kiền")</f>
        <v>Xã Lưu Kiền</v>
      </c>
    </row>
    <row r="5356" spans="1:7" x14ac:dyDescent="0.25">
      <c r="A5356" s="2">
        <v>5355</v>
      </c>
      <c r="B5356" s="3" t="s">
        <v>29</v>
      </c>
      <c r="C5356" s="4" t="str">
        <f t="shared" si="428"/>
        <v>Nghệ An</v>
      </c>
      <c r="D5356" s="3" t="s">
        <v>364</v>
      </c>
      <c r="E5356" s="4" t="str">
        <f t="shared" si="430"/>
        <v>Huyện Tương Dương</v>
      </c>
      <c r="F5356" s="3" t="s">
        <v>6119</v>
      </c>
      <c r="G5356" s="4" t="str">
        <f>HYPERLINK("https://diaocthongthai.com/xa-xa-luong-tuong-duong/","Xã Xá Lượng")</f>
        <v>Xã Xá Lượng</v>
      </c>
    </row>
    <row r="5357" spans="1:7" x14ac:dyDescent="0.25">
      <c r="A5357" s="2">
        <v>5356</v>
      </c>
      <c r="B5357" s="3" t="s">
        <v>29</v>
      </c>
      <c r="C5357" s="4" t="str">
        <f t="shared" si="428"/>
        <v>Nghệ An</v>
      </c>
      <c r="D5357" s="3" t="s">
        <v>364</v>
      </c>
      <c r="E5357" s="4" t="str">
        <f t="shared" si="430"/>
        <v>Huyện Tương Dương</v>
      </c>
      <c r="F5357" s="3" t="s">
        <v>6120</v>
      </c>
      <c r="G5357" s="4" t="str">
        <f>HYPERLINK("https://diaocthongthai.com/xa-tam-thai-tuong-duong/","Xã Tam Thái")</f>
        <v>Xã Tam Thái</v>
      </c>
    </row>
    <row r="5358" spans="1:7" x14ac:dyDescent="0.25">
      <c r="A5358" s="2">
        <v>5357</v>
      </c>
      <c r="B5358" s="3" t="s">
        <v>29</v>
      </c>
      <c r="C5358" s="4" t="str">
        <f t="shared" si="428"/>
        <v>Nghệ An</v>
      </c>
      <c r="D5358" s="3" t="s">
        <v>364</v>
      </c>
      <c r="E5358" s="4" t="str">
        <f t="shared" si="430"/>
        <v>Huyện Tương Dương</v>
      </c>
      <c r="F5358" s="3" t="s">
        <v>6121</v>
      </c>
      <c r="G5358" s="4" t="str">
        <f>HYPERLINK("https://diaocthongthai.com/xa-tam-dinh-tuong-duong/","Xã Tam Đình")</f>
        <v>Xã Tam Đình</v>
      </c>
    </row>
    <row r="5359" spans="1:7" x14ac:dyDescent="0.25">
      <c r="A5359" s="2">
        <v>5358</v>
      </c>
      <c r="B5359" s="3" t="s">
        <v>29</v>
      </c>
      <c r="C5359" s="4" t="str">
        <f t="shared" si="428"/>
        <v>Nghệ An</v>
      </c>
      <c r="D5359" s="3" t="s">
        <v>364</v>
      </c>
      <c r="E5359" s="4" t="str">
        <f t="shared" si="430"/>
        <v>Huyện Tương Dương</v>
      </c>
      <c r="F5359" s="3" t="s">
        <v>6122</v>
      </c>
      <c r="G5359" s="4" t="str">
        <f>HYPERLINK("https://diaocthongthai.com/xa-yen-thang-tuong-duong/","Xã Yên Thắng")</f>
        <v>Xã Yên Thắng</v>
      </c>
    </row>
    <row r="5360" spans="1:7" x14ac:dyDescent="0.25">
      <c r="A5360" s="2">
        <v>5359</v>
      </c>
      <c r="B5360" s="3" t="s">
        <v>29</v>
      </c>
      <c r="C5360" s="4" t="str">
        <f t="shared" si="428"/>
        <v>Nghệ An</v>
      </c>
      <c r="D5360" s="3" t="s">
        <v>364</v>
      </c>
      <c r="E5360" s="4" t="str">
        <f t="shared" si="430"/>
        <v>Huyện Tương Dương</v>
      </c>
      <c r="F5360" s="3" t="s">
        <v>6123</v>
      </c>
      <c r="G5360" s="4" t="str">
        <f>HYPERLINK("https://diaocthongthai.com/xa-tam-quang-tuong-duong/","Xã Tam Quang")</f>
        <v>Xã Tam Quang</v>
      </c>
    </row>
    <row r="5361" spans="1:7" x14ac:dyDescent="0.25">
      <c r="A5361" s="2">
        <v>5360</v>
      </c>
      <c r="B5361" s="3" t="s">
        <v>29</v>
      </c>
      <c r="C5361" s="4" t="str">
        <f t="shared" si="428"/>
        <v>Nghệ An</v>
      </c>
      <c r="D5361" s="3" t="s">
        <v>364</v>
      </c>
      <c r="E5361" s="4" t="str">
        <f t="shared" si="430"/>
        <v>Huyện Tương Dương</v>
      </c>
      <c r="F5361" s="3" t="s">
        <v>6124</v>
      </c>
      <c r="G5361" s="4" t="str">
        <f>HYPERLINK("https://diaocthongthai.com/xa-tam-hop-tuong-duong/","Xã Tam Hợp")</f>
        <v>Xã Tam Hợp</v>
      </c>
    </row>
    <row r="5362" spans="1:7" x14ac:dyDescent="0.25">
      <c r="A5362" s="2">
        <v>5361</v>
      </c>
      <c r="B5362" s="3" t="s">
        <v>29</v>
      </c>
      <c r="C5362" s="4" t="str">
        <f t="shared" si="428"/>
        <v>Nghệ An</v>
      </c>
      <c r="D5362" s="3" t="s">
        <v>365</v>
      </c>
      <c r="E5362" s="4" t="str">
        <f t="shared" ref="E5362:E5384" si="431">HYPERLINK("https://diaocthongthai.com/ban-do-huyen-nghia-dan-nghe-an/","Huyện Nghĩa Đàn")</f>
        <v>Huyện Nghĩa Đàn</v>
      </c>
      <c r="F5362" s="3" t="s">
        <v>6125</v>
      </c>
      <c r="G5362" s="4" t="str">
        <f>HYPERLINK("https://diaocthongthai.com/thi-tran-nghia-dan-nghia-dan/","Thị trấn Nghĩa Đàn")</f>
        <v>Thị trấn Nghĩa Đàn</v>
      </c>
    </row>
    <row r="5363" spans="1:7" x14ac:dyDescent="0.25">
      <c r="A5363" s="2">
        <v>5362</v>
      </c>
      <c r="B5363" s="3" t="s">
        <v>29</v>
      </c>
      <c r="C5363" s="4" t="str">
        <f t="shared" si="428"/>
        <v>Nghệ An</v>
      </c>
      <c r="D5363" s="3" t="s">
        <v>365</v>
      </c>
      <c r="E5363" s="4" t="str">
        <f t="shared" si="431"/>
        <v>Huyện Nghĩa Đàn</v>
      </c>
      <c r="F5363" s="3" t="s">
        <v>6126</v>
      </c>
      <c r="G5363" s="4" t="str">
        <f>HYPERLINK("https://diaocthongthai.com/xa-nghia-mai-nghia-dan/","Xã Nghĩa Mai")</f>
        <v>Xã Nghĩa Mai</v>
      </c>
    </row>
    <row r="5364" spans="1:7" x14ac:dyDescent="0.25">
      <c r="A5364" s="2">
        <v>5363</v>
      </c>
      <c r="B5364" s="3" t="s">
        <v>29</v>
      </c>
      <c r="C5364" s="4" t="str">
        <f t="shared" si="428"/>
        <v>Nghệ An</v>
      </c>
      <c r="D5364" s="3" t="s">
        <v>365</v>
      </c>
      <c r="E5364" s="4" t="str">
        <f t="shared" si="431"/>
        <v>Huyện Nghĩa Đàn</v>
      </c>
      <c r="F5364" s="3" t="s">
        <v>6127</v>
      </c>
      <c r="G5364" s="4" t="str">
        <f>HYPERLINK("https://diaocthongthai.com/xa-nghia-yen-nghia-dan/","Xã Nghĩa Yên")</f>
        <v>Xã Nghĩa Yên</v>
      </c>
    </row>
    <row r="5365" spans="1:7" x14ac:dyDescent="0.25">
      <c r="A5365" s="2">
        <v>5364</v>
      </c>
      <c r="B5365" s="3" t="s">
        <v>29</v>
      </c>
      <c r="C5365" s="4" t="str">
        <f t="shared" si="428"/>
        <v>Nghệ An</v>
      </c>
      <c r="D5365" s="3" t="s">
        <v>365</v>
      </c>
      <c r="E5365" s="4" t="str">
        <f t="shared" si="431"/>
        <v>Huyện Nghĩa Đàn</v>
      </c>
      <c r="F5365" s="3" t="s">
        <v>6128</v>
      </c>
      <c r="G5365" s="4" t="str">
        <f>HYPERLINK("https://diaocthongthai.com/xa-nghia-lac-nghia-dan/","Xã Nghĩa Lạc")</f>
        <v>Xã Nghĩa Lạc</v>
      </c>
    </row>
    <row r="5366" spans="1:7" x14ac:dyDescent="0.25">
      <c r="A5366" s="2">
        <v>5365</v>
      </c>
      <c r="B5366" s="3" t="s">
        <v>29</v>
      </c>
      <c r="C5366" s="4" t="str">
        <f t="shared" si="428"/>
        <v>Nghệ An</v>
      </c>
      <c r="D5366" s="3" t="s">
        <v>365</v>
      </c>
      <c r="E5366" s="4" t="str">
        <f t="shared" si="431"/>
        <v>Huyện Nghĩa Đàn</v>
      </c>
      <c r="F5366" s="3" t="s">
        <v>6129</v>
      </c>
      <c r="G5366" s="4" t="str">
        <f>HYPERLINK("https://diaocthongthai.com/xa-nghia-lam-nghia-dan/","Xã Nghĩa Lâm")</f>
        <v>Xã Nghĩa Lâm</v>
      </c>
    </row>
    <row r="5367" spans="1:7" x14ac:dyDescent="0.25">
      <c r="A5367" s="2">
        <v>5366</v>
      </c>
      <c r="B5367" s="3" t="s">
        <v>29</v>
      </c>
      <c r="C5367" s="4" t="str">
        <f t="shared" si="428"/>
        <v>Nghệ An</v>
      </c>
      <c r="D5367" s="3" t="s">
        <v>365</v>
      </c>
      <c r="E5367" s="4" t="str">
        <f t="shared" si="431"/>
        <v>Huyện Nghĩa Đàn</v>
      </c>
      <c r="F5367" s="3" t="s">
        <v>6130</v>
      </c>
      <c r="G5367" s="4" t="str">
        <f>HYPERLINK("https://diaocthongthai.com/xa-nghia-son-nghia-dan/","Xã Nghĩa Sơn")</f>
        <v>Xã Nghĩa Sơn</v>
      </c>
    </row>
    <row r="5368" spans="1:7" x14ac:dyDescent="0.25">
      <c r="A5368" s="2">
        <v>5367</v>
      </c>
      <c r="B5368" s="3" t="s">
        <v>29</v>
      </c>
      <c r="C5368" s="4" t="str">
        <f t="shared" si="428"/>
        <v>Nghệ An</v>
      </c>
      <c r="D5368" s="3" t="s">
        <v>365</v>
      </c>
      <c r="E5368" s="4" t="str">
        <f t="shared" si="431"/>
        <v>Huyện Nghĩa Đàn</v>
      </c>
      <c r="F5368" s="3" t="s">
        <v>6131</v>
      </c>
      <c r="G5368" s="4" t="str">
        <f>HYPERLINK("https://diaocthongthai.com/xa-nghia-loi-nghia-dan/","Xã Nghĩa Lợi")</f>
        <v>Xã Nghĩa Lợi</v>
      </c>
    </row>
    <row r="5369" spans="1:7" x14ac:dyDescent="0.25">
      <c r="A5369" s="2">
        <v>5368</v>
      </c>
      <c r="B5369" s="3" t="s">
        <v>29</v>
      </c>
      <c r="C5369" s="4" t="str">
        <f t="shared" si="428"/>
        <v>Nghệ An</v>
      </c>
      <c r="D5369" s="3" t="s">
        <v>365</v>
      </c>
      <c r="E5369" s="4" t="str">
        <f t="shared" si="431"/>
        <v>Huyện Nghĩa Đàn</v>
      </c>
      <c r="F5369" s="3" t="s">
        <v>6132</v>
      </c>
      <c r="G5369" s="4" t="str">
        <f>HYPERLINK("https://diaocthongthai.com/xa-nghia-binh-nghia-dan/","Xã Nghĩa Bình")</f>
        <v>Xã Nghĩa Bình</v>
      </c>
    </row>
    <row r="5370" spans="1:7" x14ac:dyDescent="0.25">
      <c r="A5370" s="2">
        <v>5369</v>
      </c>
      <c r="B5370" s="3" t="s">
        <v>29</v>
      </c>
      <c r="C5370" s="4" t="str">
        <f t="shared" si="428"/>
        <v>Nghệ An</v>
      </c>
      <c r="D5370" s="3" t="s">
        <v>365</v>
      </c>
      <c r="E5370" s="4" t="str">
        <f t="shared" si="431"/>
        <v>Huyện Nghĩa Đàn</v>
      </c>
      <c r="F5370" s="3" t="s">
        <v>6133</v>
      </c>
      <c r="G5370" s="4" t="str">
        <f>HYPERLINK("https://diaocthongthai.com/xa-nghia-tho-nghia-dan/","Xã Nghĩa Thọ")</f>
        <v>Xã Nghĩa Thọ</v>
      </c>
    </row>
    <row r="5371" spans="1:7" x14ac:dyDescent="0.25">
      <c r="A5371" s="2">
        <v>5370</v>
      </c>
      <c r="B5371" s="3" t="s">
        <v>29</v>
      </c>
      <c r="C5371" s="4" t="str">
        <f t="shared" si="428"/>
        <v>Nghệ An</v>
      </c>
      <c r="D5371" s="3" t="s">
        <v>365</v>
      </c>
      <c r="E5371" s="4" t="str">
        <f t="shared" si="431"/>
        <v>Huyện Nghĩa Đàn</v>
      </c>
      <c r="F5371" s="3" t="s">
        <v>6134</v>
      </c>
      <c r="G5371" s="4" t="str">
        <f>HYPERLINK("https://diaocthongthai.com/xa-nghia-minh-nghia-dan/","Xã Nghĩa Minh")</f>
        <v>Xã Nghĩa Minh</v>
      </c>
    </row>
    <row r="5372" spans="1:7" x14ac:dyDescent="0.25">
      <c r="A5372" s="2">
        <v>5371</v>
      </c>
      <c r="B5372" s="3" t="s">
        <v>29</v>
      </c>
      <c r="C5372" s="4" t="str">
        <f t="shared" si="428"/>
        <v>Nghệ An</v>
      </c>
      <c r="D5372" s="3" t="s">
        <v>365</v>
      </c>
      <c r="E5372" s="4" t="str">
        <f t="shared" si="431"/>
        <v>Huyện Nghĩa Đàn</v>
      </c>
      <c r="F5372" s="3" t="s">
        <v>6135</v>
      </c>
      <c r="G5372" s="4" t="str">
        <f>HYPERLINK("https://diaocthongthai.com/xa-nghia-phu-nghia-dan/","Xã Nghĩa Phú")</f>
        <v>Xã Nghĩa Phú</v>
      </c>
    </row>
    <row r="5373" spans="1:7" x14ac:dyDescent="0.25">
      <c r="A5373" s="2">
        <v>5372</v>
      </c>
      <c r="B5373" s="3" t="s">
        <v>29</v>
      </c>
      <c r="C5373" s="4" t="str">
        <f t="shared" si="428"/>
        <v>Nghệ An</v>
      </c>
      <c r="D5373" s="3" t="s">
        <v>365</v>
      </c>
      <c r="E5373" s="4" t="str">
        <f t="shared" si="431"/>
        <v>Huyện Nghĩa Đàn</v>
      </c>
      <c r="F5373" s="3" t="s">
        <v>6136</v>
      </c>
      <c r="G5373" s="4" t="str">
        <f>HYPERLINK("https://diaocthongthai.com/xa-nghia-hung-nghia-dan/","Xã Nghĩa Hưng")</f>
        <v>Xã Nghĩa Hưng</v>
      </c>
    </row>
    <row r="5374" spans="1:7" x14ac:dyDescent="0.25">
      <c r="A5374" s="2">
        <v>5373</v>
      </c>
      <c r="B5374" s="3" t="s">
        <v>29</v>
      </c>
      <c r="C5374" s="4" t="str">
        <f t="shared" si="428"/>
        <v>Nghệ An</v>
      </c>
      <c r="D5374" s="3" t="s">
        <v>365</v>
      </c>
      <c r="E5374" s="4" t="str">
        <f t="shared" si="431"/>
        <v>Huyện Nghĩa Đàn</v>
      </c>
      <c r="F5374" s="3" t="s">
        <v>6137</v>
      </c>
      <c r="G5374" s="4" t="str">
        <f>HYPERLINK("https://diaocthongthai.com/xa-nghia-hong-nghia-dan/","Xã Nghĩa Hồng")</f>
        <v>Xã Nghĩa Hồng</v>
      </c>
    </row>
    <row r="5375" spans="1:7" x14ac:dyDescent="0.25">
      <c r="A5375" s="2">
        <v>5374</v>
      </c>
      <c r="B5375" s="3" t="s">
        <v>29</v>
      </c>
      <c r="C5375" s="4" t="str">
        <f t="shared" si="428"/>
        <v>Nghệ An</v>
      </c>
      <c r="D5375" s="3" t="s">
        <v>365</v>
      </c>
      <c r="E5375" s="4" t="str">
        <f t="shared" si="431"/>
        <v>Huyện Nghĩa Đàn</v>
      </c>
      <c r="F5375" s="3" t="s">
        <v>6138</v>
      </c>
      <c r="G5375" s="4" t="str">
        <f>HYPERLINK("https://diaocthongthai.com/xa-nghia-thinh-nghia-dan/","Xã Nghĩa Thịnh")</f>
        <v>Xã Nghĩa Thịnh</v>
      </c>
    </row>
    <row r="5376" spans="1:7" x14ac:dyDescent="0.25">
      <c r="A5376" s="2">
        <v>5375</v>
      </c>
      <c r="B5376" s="3" t="s">
        <v>29</v>
      </c>
      <c r="C5376" s="4" t="str">
        <f t="shared" si="428"/>
        <v>Nghệ An</v>
      </c>
      <c r="D5376" s="3" t="s">
        <v>365</v>
      </c>
      <c r="E5376" s="4" t="str">
        <f t="shared" si="431"/>
        <v>Huyện Nghĩa Đàn</v>
      </c>
      <c r="F5376" s="3" t="s">
        <v>6139</v>
      </c>
      <c r="G5376" s="4" t="str">
        <f>HYPERLINK("https://diaocthongthai.com/xa-nghia-trung-nghia-dan/","Xã Nghĩa Trung")</f>
        <v>Xã Nghĩa Trung</v>
      </c>
    </row>
    <row r="5377" spans="1:7" x14ac:dyDescent="0.25">
      <c r="A5377" s="2">
        <v>5376</v>
      </c>
      <c r="B5377" s="3" t="s">
        <v>29</v>
      </c>
      <c r="C5377" s="4" t="str">
        <f t="shared" si="428"/>
        <v>Nghệ An</v>
      </c>
      <c r="D5377" s="3" t="s">
        <v>365</v>
      </c>
      <c r="E5377" s="4" t="str">
        <f t="shared" si="431"/>
        <v>Huyện Nghĩa Đàn</v>
      </c>
      <c r="F5377" s="3" t="s">
        <v>6140</v>
      </c>
      <c r="G5377" s="4" t="str">
        <f>HYPERLINK("https://diaocthongthai.com/xa-nghia-hoi-nghia-dan/","Xã Nghĩa Hội")</f>
        <v>Xã Nghĩa Hội</v>
      </c>
    </row>
    <row r="5378" spans="1:7" x14ac:dyDescent="0.25">
      <c r="A5378" s="2">
        <v>5377</v>
      </c>
      <c r="B5378" s="3" t="s">
        <v>29</v>
      </c>
      <c r="C5378" s="4" t="str">
        <f t="shared" si="428"/>
        <v>Nghệ An</v>
      </c>
      <c r="D5378" s="3" t="s">
        <v>365</v>
      </c>
      <c r="E5378" s="4" t="str">
        <f t="shared" si="431"/>
        <v>Huyện Nghĩa Đàn</v>
      </c>
      <c r="F5378" s="3" t="s">
        <v>6141</v>
      </c>
      <c r="G5378" s="4" t="str">
        <f>HYPERLINK("https://diaocthongthai.com/xa-nghia-thanh-nghia-dan/","Xã Nghĩa Thành")</f>
        <v>Xã Nghĩa Thành</v>
      </c>
    </row>
    <row r="5379" spans="1:7" x14ac:dyDescent="0.25">
      <c r="A5379" s="2">
        <v>5378</v>
      </c>
      <c r="B5379" s="3" t="s">
        <v>29</v>
      </c>
      <c r="C5379" s="4" t="str">
        <f t="shared" si="428"/>
        <v>Nghệ An</v>
      </c>
      <c r="D5379" s="3" t="s">
        <v>365</v>
      </c>
      <c r="E5379" s="4" t="str">
        <f t="shared" si="431"/>
        <v>Huyện Nghĩa Đàn</v>
      </c>
      <c r="F5379" s="3" t="s">
        <v>6142</v>
      </c>
      <c r="G5379" s="4" t="str">
        <f>HYPERLINK("https://diaocthongthai.com/xa-nghia-hieu-nghia-dan/","Xã Nghĩa Hiếu")</f>
        <v>Xã Nghĩa Hiếu</v>
      </c>
    </row>
    <row r="5380" spans="1:7" x14ac:dyDescent="0.25">
      <c r="A5380" s="2">
        <v>5379</v>
      </c>
      <c r="B5380" s="3" t="s">
        <v>29</v>
      </c>
      <c r="C5380" s="4" t="str">
        <f t="shared" si="428"/>
        <v>Nghệ An</v>
      </c>
      <c r="D5380" s="3" t="s">
        <v>365</v>
      </c>
      <c r="E5380" s="4" t="str">
        <f t="shared" si="431"/>
        <v>Huyện Nghĩa Đàn</v>
      </c>
      <c r="F5380" s="3" t="s">
        <v>6143</v>
      </c>
      <c r="G5380" s="4" t="str">
        <f>HYPERLINK("https://diaocthongthai.com/xa-nghia-duc-nghia-dan/","Xã Nghĩa Đức")</f>
        <v>Xã Nghĩa Đức</v>
      </c>
    </row>
    <row r="5381" spans="1:7" x14ac:dyDescent="0.25">
      <c r="A5381" s="2">
        <v>5380</v>
      </c>
      <c r="B5381" s="3" t="s">
        <v>29</v>
      </c>
      <c r="C5381" s="4" t="str">
        <f t="shared" si="428"/>
        <v>Nghệ An</v>
      </c>
      <c r="D5381" s="3" t="s">
        <v>365</v>
      </c>
      <c r="E5381" s="4" t="str">
        <f t="shared" si="431"/>
        <v>Huyện Nghĩa Đàn</v>
      </c>
      <c r="F5381" s="3" t="s">
        <v>6144</v>
      </c>
      <c r="G5381" s="4" t="str">
        <f>HYPERLINK("https://diaocthongthai.com/xa-nghia-an-nghia-dan/","Xã Nghĩa An")</f>
        <v>Xã Nghĩa An</v>
      </c>
    </row>
    <row r="5382" spans="1:7" x14ac:dyDescent="0.25">
      <c r="A5382" s="2">
        <v>5381</v>
      </c>
      <c r="B5382" s="3" t="s">
        <v>29</v>
      </c>
      <c r="C5382" s="4" t="str">
        <f t="shared" si="428"/>
        <v>Nghệ An</v>
      </c>
      <c r="D5382" s="3" t="s">
        <v>365</v>
      </c>
      <c r="E5382" s="4" t="str">
        <f t="shared" si="431"/>
        <v>Huyện Nghĩa Đàn</v>
      </c>
      <c r="F5382" s="3" t="s">
        <v>6145</v>
      </c>
      <c r="G5382" s="4" t="str">
        <f>HYPERLINK("https://diaocthongthai.com/xa-nghia-long-nghia-dan/","Xã Nghĩa Long")</f>
        <v>Xã Nghĩa Long</v>
      </c>
    </row>
    <row r="5383" spans="1:7" x14ac:dyDescent="0.25">
      <c r="A5383" s="2">
        <v>5382</v>
      </c>
      <c r="B5383" s="3" t="s">
        <v>29</v>
      </c>
      <c r="C5383" s="4" t="str">
        <f t="shared" si="428"/>
        <v>Nghệ An</v>
      </c>
      <c r="D5383" s="3" t="s">
        <v>365</v>
      </c>
      <c r="E5383" s="4" t="str">
        <f t="shared" si="431"/>
        <v>Huyện Nghĩa Đàn</v>
      </c>
      <c r="F5383" s="3" t="s">
        <v>6146</v>
      </c>
      <c r="G5383" s="4" t="str">
        <f>HYPERLINK("https://diaocthongthai.com/xa-nghia-loc-nghia-dan/","Xã Nghĩa Lộc")</f>
        <v>Xã Nghĩa Lộc</v>
      </c>
    </row>
    <row r="5384" spans="1:7" x14ac:dyDescent="0.25">
      <c r="A5384" s="2">
        <v>5383</v>
      </c>
      <c r="B5384" s="3" t="s">
        <v>29</v>
      </c>
      <c r="C5384" s="4" t="str">
        <f t="shared" si="428"/>
        <v>Nghệ An</v>
      </c>
      <c r="D5384" s="3" t="s">
        <v>365</v>
      </c>
      <c r="E5384" s="4" t="str">
        <f t="shared" si="431"/>
        <v>Huyện Nghĩa Đàn</v>
      </c>
      <c r="F5384" s="3" t="s">
        <v>6147</v>
      </c>
      <c r="G5384" s="4" t="str">
        <f>HYPERLINK("https://diaocthongthai.com/xa-nghia-khanh-nghia-dan/","Xã Nghĩa Khánh")</f>
        <v>Xã Nghĩa Khánh</v>
      </c>
    </row>
    <row r="5385" spans="1:7" x14ac:dyDescent="0.25">
      <c r="A5385" s="2">
        <v>5384</v>
      </c>
      <c r="B5385" s="3" t="s">
        <v>29</v>
      </c>
      <c r="C5385" s="4" t="str">
        <f t="shared" si="428"/>
        <v>Nghệ An</v>
      </c>
      <c r="D5385" s="3" t="s">
        <v>366</v>
      </c>
      <c r="E5385" s="4" t="str">
        <f t="shared" ref="E5385:E5405" si="432">HYPERLINK("https://diaocthongthai.com/ban-do-huyen-quy-hop-nghe-an/","Huyện Quỳ Hợp")</f>
        <v>Huyện Quỳ Hợp</v>
      </c>
      <c r="F5385" s="3" t="s">
        <v>6148</v>
      </c>
      <c r="G5385" s="4" t="str">
        <f>HYPERLINK("https://diaocthongthai.com/thi-tran-quy-hop-quy-hop/","Thị trấn Quỳ Hợp")</f>
        <v>Thị trấn Quỳ Hợp</v>
      </c>
    </row>
    <row r="5386" spans="1:7" x14ac:dyDescent="0.25">
      <c r="A5386" s="2">
        <v>5385</v>
      </c>
      <c r="B5386" s="3" t="s">
        <v>29</v>
      </c>
      <c r="C5386" s="4" t="str">
        <f t="shared" ref="C5386:C5449" si="433">HYPERLINK("https://diaocthongthai.com/ban-do-nghe-an/","Nghệ An")</f>
        <v>Nghệ An</v>
      </c>
      <c r="D5386" s="3" t="s">
        <v>366</v>
      </c>
      <c r="E5386" s="4" t="str">
        <f t="shared" si="432"/>
        <v>Huyện Quỳ Hợp</v>
      </c>
      <c r="F5386" s="3" t="s">
        <v>6149</v>
      </c>
      <c r="G5386" s="4" t="str">
        <f>HYPERLINK("https://diaocthongthai.com/xa-yen-hop-quy-hop/","Xã Yên Hợp")</f>
        <v>Xã Yên Hợp</v>
      </c>
    </row>
    <row r="5387" spans="1:7" x14ac:dyDescent="0.25">
      <c r="A5387" s="2">
        <v>5386</v>
      </c>
      <c r="B5387" s="3" t="s">
        <v>29</v>
      </c>
      <c r="C5387" s="4" t="str">
        <f t="shared" si="433"/>
        <v>Nghệ An</v>
      </c>
      <c r="D5387" s="3" t="s">
        <v>366</v>
      </c>
      <c r="E5387" s="4" t="str">
        <f t="shared" si="432"/>
        <v>Huyện Quỳ Hợp</v>
      </c>
      <c r="F5387" s="3" t="s">
        <v>6150</v>
      </c>
      <c r="G5387" s="4" t="str">
        <f>HYPERLINK("https://diaocthongthai.com/xa-chau-tien-quy-hop/","Xã Châu Tiến")</f>
        <v>Xã Châu Tiến</v>
      </c>
    </row>
    <row r="5388" spans="1:7" x14ac:dyDescent="0.25">
      <c r="A5388" s="2">
        <v>5387</v>
      </c>
      <c r="B5388" s="3" t="s">
        <v>29</v>
      </c>
      <c r="C5388" s="4" t="str">
        <f t="shared" si="433"/>
        <v>Nghệ An</v>
      </c>
      <c r="D5388" s="3" t="s">
        <v>366</v>
      </c>
      <c r="E5388" s="4" t="str">
        <f t="shared" si="432"/>
        <v>Huyện Quỳ Hợp</v>
      </c>
      <c r="F5388" s="3" t="s">
        <v>6151</v>
      </c>
      <c r="G5388" s="4" t="str">
        <f>HYPERLINK("https://diaocthongthai.com/xa-chau-hong-quy-hop/","Xã Châu Hồng")</f>
        <v>Xã Châu Hồng</v>
      </c>
    </row>
    <row r="5389" spans="1:7" x14ac:dyDescent="0.25">
      <c r="A5389" s="2">
        <v>5388</v>
      </c>
      <c r="B5389" s="3" t="s">
        <v>29</v>
      </c>
      <c r="C5389" s="4" t="str">
        <f t="shared" si="433"/>
        <v>Nghệ An</v>
      </c>
      <c r="D5389" s="3" t="s">
        <v>366</v>
      </c>
      <c r="E5389" s="4" t="str">
        <f t="shared" si="432"/>
        <v>Huyện Quỳ Hợp</v>
      </c>
      <c r="F5389" s="3" t="s">
        <v>6152</v>
      </c>
      <c r="G5389" s="4" t="str">
        <f>HYPERLINK("https://diaocthongthai.com/xa-dong-hop-quy-hop/","Xã Đồng Hợp")</f>
        <v>Xã Đồng Hợp</v>
      </c>
    </row>
    <row r="5390" spans="1:7" x14ac:dyDescent="0.25">
      <c r="A5390" s="2">
        <v>5389</v>
      </c>
      <c r="B5390" s="3" t="s">
        <v>29</v>
      </c>
      <c r="C5390" s="4" t="str">
        <f t="shared" si="433"/>
        <v>Nghệ An</v>
      </c>
      <c r="D5390" s="3" t="s">
        <v>366</v>
      </c>
      <c r="E5390" s="4" t="str">
        <f t="shared" si="432"/>
        <v>Huyện Quỳ Hợp</v>
      </c>
      <c r="F5390" s="3" t="s">
        <v>6153</v>
      </c>
      <c r="G5390" s="4" t="str">
        <f>HYPERLINK("https://diaocthongthai.com/xa-chau-thanh-quy-hop/","Xã Châu Thành")</f>
        <v>Xã Châu Thành</v>
      </c>
    </row>
    <row r="5391" spans="1:7" x14ac:dyDescent="0.25">
      <c r="A5391" s="2">
        <v>5390</v>
      </c>
      <c r="B5391" s="3" t="s">
        <v>29</v>
      </c>
      <c r="C5391" s="4" t="str">
        <f t="shared" si="433"/>
        <v>Nghệ An</v>
      </c>
      <c r="D5391" s="3" t="s">
        <v>366</v>
      </c>
      <c r="E5391" s="4" t="str">
        <f t="shared" si="432"/>
        <v>Huyện Quỳ Hợp</v>
      </c>
      <c r="F5391" s="3" t="s">
        <v>6154</v>
      </c>
      <c r="G5391" s="4" t="str">
        <f>HYPERLINK("https://diaocthongthai.com/xa-lien-hop-quy-hop/","Xã Liên Hợp")</f>
        <v>Xã Liên Hợp</v>
      </c>
    </row>
    <row r="5392" spans="1:7" x14ac:dyDescent="0.25">
      <c r="A5392" s="2">
        <v>5391</v>
      </c>
      <c r="B5392" s="3" t="s">
        <v>29</v>
      </c>
      <c r="C5392" s="4" t="str">
        <f t="shared" si="433"/>
        <v>Nghệ An</v>
      </c>
      <c r="D5392" s="3" t="s">
        <v>366</v>
      </c>
      <c r="E5392" s="4" t="str">
        <f t="shared" si="432"/>
        <v>Huyện Quỳ Hợp</v>
      </c>
      <c r="F5392" s="3" t="s">
        <v>6155</v>
      </c>
      <c r="G5392" s="4" t="str">
        <f>HYPERLINK("https://diaocthongthai.com/xa-chau-loc-quy-hop/","Xã Châu Lộc")</f>
        <v>Xã Châu Lộc</v>
      </c>
    </row>
    <row r="5393" spans="1:7" x14ac:dyDescent="0.25">
      <c r="A5393" s="2">
        <v>5392</v>
      </c>
      <c r="B5393" s="3" t="s">
        <v>29</v>
      </c>
      <c r="C5393" s="4" t="str">
        <f t="shared" si="433"/>
        <v>Nghệ An</v>
      </c>
      <c r="D5393" s="3" t="s">
        <v>366</v>
      </c>
      <c r="E5393" s="4" t="str">
        <f t="shared" si="432"/>
        <v>Huyện Quỳ Hợp</v>
      </c>
      <c r="F5393" s="3" t="s">
        <v>6156</v>
      </c>
      <c r="G5393" s="4" t="str">
        <f>HYPERLINK("https://diaocthongthai.com/xa-tam-hop-quy-hop/","Xã Tam Hợp")</f>
        <v>Xã Tam Hợp</v>
      </c>
    </row>
    <row r="5394" spans="1:7" x14ac:dyDescent="0.25">
      <c r="A5394" s="2">
        <v>5393</v>
      </c>
      <c r="B5394" s="3" t="s">
        <v>29</v>
      </c>
      <c r="C5394" s="4" t="str">
        <f t="shared" si="433"/>
        <v>Nghệ An</v>
      </c>
      <c r="D5394" s="3" t="s">
        <v>366</v>
      </c>
      <c r="E5394" s="4" t="str">
        <f t="shared" si="432"/>
        <v>Huyện Quỳ Hợp</v>
      </c>
      <c r="F5394" s="3" t="s">
        <v>6157</v>
      </c>
      <c r="G5394" s="4" t="str">
        <f>HYPERLINK("https://diaocthongthai.com/xa-chau-cuong-quy-hop/","Xã Châu Cường")</f>
        <v>Xã Châu Cường</v>
      </c>
    </row>
    <row r="5395" spans="1:7" x14ac:dyDescent="0.25">
      <c r="A5395" s="2">
        <v>5394</v>
      </c>
      <c r="B5395" s="3" t="s">
        <v>29</v>
      </c>
      <c r="C5395" s="4" t="str">
        <f t="shared" si="433"/>
        <v>Nghệ An</v>
      </c>
      <c r="D5395" s="3" t="s">
        <v>366</v>
      </c>
      <c r="E5395" s="4" t="str">
        <f t="shared" si="432"/>
        <v>Huyện Quỳ Hợp</v>
      </c>
      <c r="F5395" s="3" t="s">
        <v>6158</v>
      </c>
      <c r="G5395" s="4" t="str">
        <f>HYPERLINK("https://diaocthongthai.com/xa-chau-quang-quy-hop/","Xã Châu Quang")</f>
        <v>Xã Châu Quang</v>
      </c>
    </row>
    <row r="5396" spans="1:7" x14ac:dyDescent="0.25">
      <c r="A5396" s="2">
        <v>5395</v>
      </c>
      <c r="B5396" s="3" t="s">
        <v>29</v>
      </c>
      <c r="C5396" s="4" t="str">
        <f t="shared" si="433"/>
        <v>Nghệ An</v>
      </c>
      <c r="D5396" s="3" t="s">
        <v>366</v>
      </c>
      <c r="E5396" s="4" t="str">
        <f t="shared" si="432"/>
        <v>Huyện Quỳ Hợp</v>
      </c>
      <c r="F5396" s="3" t="s">
        <v>6159</v>
      </c>
      <c r="G5396" s="4" t="str">
        <f>HYPERLINK("https://diaocthongthai.com/xa-tho-hop-quy-hop/","Xã Thọ Hợp")</f>
        <v>Xã Thọ Hợp</v>
      </c>
    </row>
    <row r="5397" spans="1:7" x14ac:dyDescent="0.25">
      <c r="A5397" s="2">
        <v>5396</v>
      </c>
      <c r="B5397" s="3" t="s">
        <v>29</v>
      </c>
      <c r="C5397" s="4" t="str">
        <f t="shared" si="433"/>
        <v>Nghệ An</v>
      </c>
      <c r="D5397" s="3" t="s">
        <v>366</v>
      </c>
      <c r="E5397" s="4" t="str">
        <f t="shared" si="432"/>
        <v>Huyện Quỳ Hợp</v>
      </c>
      <c r="F5397" s="3" t="s">
        <v>6160</v>
      </c>
      <c r="G5397" s="4" t="str">
        <f>HYPERLINK("https://diaocthongthai.com/xa-minh-hop-quy-hop/","Xã Minh Hợp")</f>
        <v>Xã Minh Hợp</v>
      </c>
    </row>
    <row r="5398" spans="1:7" x14ac:dyDescent="0.25">
      <c r="A5398" s="2">
        <v>5397</v>
      </c>
      <c r="B5398" s="3" t="s">
        <v>29</v>
      </c>
      <c r="C5398" s="4" t="str">
        <f t="shared" si="433"/>
        <v>Nghệ An</v>
      </c>
      <c r="D5398" s="3" t="s">
        <v>366</v>
      </c>
      <c r="E5398" s="4" t="str">
        <f t="shared" si="432"/>
        <v>Huyện Quỳ Hợp</v>
      </c>
      <c r="F5398" s="3" t="s">
        <v>6161</v>
      </c>
      <c r="G5398" s="4" t="str">
        <f>HYPERLINK("https://diaocthongthai.com/xa-nghia-xuan-quy-hop/","Xã Nghĩa Xuân")</f>
        <v>Xã Nghĩa Xuân</v>
      </c>
    </row>
    <row r="5399" spans="1:7" x14ac:dyDescent="0.25">
      <c r="A5399" s="2">
        <v>5398</v>
      </c>
      <c r="B5399" s="3" t="s">
        <v>29</v>
      </c>
      <c r="C5399" s="4" t="str">
        <f t="shared" si="433"/>
        <v>Nghệ An</v>
      </c>
      <c r="D5399" s="3" t="s">
        <v>366</v>
      </c>
      <c r="E5399" s="4" t="str">
        <f t="shared" si="432"/>
        <v>Huyện Quỳ Hợp</v>
      </c>
      <c r="F5399" s="3" t="s">
        <v>6162</v>
      </c>
      <c r="G5399" s="4" t="str">
        <f>HYPERLINK("https://diaocthongthai.com/xa-chau-thai-quy-hop/","Xã Châu Thái")</f>
        <v>Xã Châu Thái</v>
      </c>
    </row>
    <row r="5400" spans="1:7" x14ac:dyDescent="0.25">
      <c r="A5400" s="2">
        <v>5399</v>
      </c>
      <c r="B5400" s="3" t="s">
        <v>29</v>
      </c>
      <c r="C5400" s="4" t="str">
        <f t="shared" si="433"/>
        <v>Nghệ An</v>
      </c>
      <c r="D5400" s="3" t="s">
        <v>366</v>
      </c>
      <c r="E5400" s="4" t="str">
        <f t="shared" si="432"/>
        <v>Huyện Quỳ Hợp</v>
      </c>
      <c r="F5400" s="3" t="s">
        <v>6163</v>
      </c>
      <c r="G5400" s="4" t="str">
        <f>HYPERLINK("https://diaocthongthai.com/xa-chau-dinh-quy-hop/","Xã Châu Đình")</f>
        <v>Xã Châu Đình</v>
      </c>
    </row>
    <row r="5401" spans="1:7" x14ac:dyDescent="0.25">
      <c r="A5401" s="2">
        <v>5400</v>
      </c>
      <c r="B5401" s="3" t="s">
        <v>29</v>
      </c>
      <c r="C5401" s="4" t="str">
        <f t="shared" si="433"/>
        <v>Nghệ An</v>
      </c>
      <c r="D5401" s="3" t="s">
        <v>366</v>
      </c>
      <c r="E5401" s="4" t="str">
        <f t="shared" si="432"/>
        <v>Huyện Quỳ Hợp</v>
      </c>
      <c r="F5401" s="3" t="s">
        <v>6164</v>
      </c>
      <c r="G5401" s="4" t="str">
        <f>HYPERLINK("https://diaocthongthai.com/xa-van-loi-quy-hop/","Xã Văn Lợi")</f>
        <v>Xã Văn Lợi</v>
      </c>
    </row>
    <row r="5402" spans="1:7" x14ac:dyDescent="0.25">
      <c r="A5402" s="2">
        <v>5401</v>
      </c>
      <c r="B5402" s="3" t="s">
        <v>29</v>
      </c>
      <c r="C5402" s="4" t="str">
        <f t="shared" si="433"/>
        <v>Nghệ An</v>
      </c>
      <c r="D5402" s="3" t="s">
        <v>366</v>
      </c>
      <c r="E5402" s="4" t="str">
        <f t="shared" si="432"/>
        <v>Huyện Quỳ Hợp</v>
      </c>
      <c r="F5402" s="3" t="s">
        <v>6165</v>
      </c>
      <c r="G5402" s="4" t="str">
        <f>HYPERLINK("https://diaocthongthai.com/xa-nam-son-quy-hop/","Xã Nam Sơn")</f>
        <v>Xã Nam Sơn</v>
      </c>
    </row>
    <row r="5403" spans="1:7" x14ac:dyDescent="0.25">
      <c r="A5403" s="2">
        <v>5402</v>
      </c>
      <c r="B5403" s="3" t="s">
        <v>29</v>
      </c>
      <c r="C5403" s="4" t="str">
        <f t="shared" si="433"/>
        <v>Nghệ An</v>
      </c>
      <c r="D5403" s="3" t="s">
        <v>366</v>
      </c>
      <c r="E5403" s="4" t="str">
        <f t="shared" si="432"/>
        <v>Huyện Quỳ Hợp</v>
      </c>
      <c r="F5403" s="3" t="s">
        <v>6166</v>
      </c>
      <c r="G5403" s="4" t="str">
        <f>HYPERLINK("https://diaocthongthai.com/xa-chau-ly-quy-hop/","Xã Châu Lý")</f>
        <v>Xã Châu Lý</v>
      </c>
    </row>
    <row r="5404" spans="1:7" x14ac:dyDescent="0.25">
      <c r="A5404" s="2">
        <v>5403</v>
      </c>
      <c r="B5404" s="3" t="s">
        <v>29</v>
      </c>
      <c r="C5404" s="4" t="str">
        <f t="shared" si="433"/>
        <v>Nghệ An</v>
      </c>
      <c r="D5404" s="3" t="s">
        <v>366</v>
      </c>
      <c r="E5404" s="4" t="str">
        <f t="shared" si="432"/>
        <v>Huyện Quỳ Hợp</v>
      </c>
      <c r="F5404" s="3" t="s">
        <v>6167</v>
      </c>
      <c r="G5404" s="4" t="str">
        <f>HYPERLINK("https://diaocthongthai.com/xa-ha-son-quy-hop/","Xã Hạ Sơn")</f>
        <v>Xã Hạ Sơn</v>
      </c>
    </row>
    <row r="5405" spans="1:7" x14ac:dyDescent="0.25">
      <c r="A5405" s="2">
        <v>5404</v>
      </c>
      <c r="B5405" s="3" t="s">
        <v>29</v>
      </c>
      <c r="C5405" s="4" t="str">
        <f t="shared" si="433"/>
        <v>Nghệ An</v>
      </c>
      <c r="D5405" s="3" t="s">
        <v>366</v>
      </c>
      <c r="E5405" s="4" t="str">
        <f t="shared" si="432"/>
        <v>Huyện Quỳ Hợp</v>
      </c>
      <c r="F5405" s="3" t="s">
        <v>6168</v>
      </c>
      <c r="G5405" s="4" t="str">
        <f>HYPERLINK("https://diaocthongthai.com/xa-bac-son-quy-hop/","Xã Bắc Sơn")</f>
        <v>Xã Bắc Sơn</v>
      </c>
    </row>
    <row r="5406" spans="1:7" x14ac:dyDescent="0.25">
      <c r="A5406" s="2">
        <v>5405</v>
      </c>
      <c r="B5406" s="3" t="s">
        <v>29</v>
      </c>
      <c r="C5406" s="4" t="str">
        <f t="shared" si="433"/>
        <v>Nghệ An</v>
      </c>
      <c r="D5406" s="3" t="s">
        <v>367</v>
      </c>
      <c r="E5406" s="4" t="str">
        <f t="shared" ref="E5406:E5438" si="434">HYPERLINK("https://diaocthongthai.com/ban-do-huyen-quynh-luu-nghe-an/","Huyện Quỳnh Lưu")</f>
        <v>Huyện Quỳnh Lưu</v>
      </c>
      <c r="F5406" s="3" t="s">
        <v>6169</v>
      </c>
      <c r="G5406" s="4" t="str">
        <f>HYPERLINK("https://diaocthongthai.com/thi-tran-cau-giat-quynh-luu/","Thị trấn Cầu Giát")</f>
        <v>Thị trấn Cầu Giát</v>
      </c>
    </row>
    <row r="5407" spans="1:7" x14ac:dyDescent="0.25">
      <c r="A5407" s="2">
        <v>5406</v>
      </c>
      <c r="B5407" s="3" t="s">
        <v>29</v>
      </c>
      <c r="C5407" s="4" t="str">
        <f t="shared" si="433"/>
        <v>Nghệ An</v>
      </c>
      <c r="D5407" s="3" t="s">
        <v>367</v>
      </c>
      <c r="E5407" s="4" t="str">
        <f t="shared" si="434"/>
        <v>Huyện Quỳnh Lưu</v>
      </c>
      <c r="F5407" s="3" t="s">
        <v>6170</v>
      </c>
      <c r="G5407" s="4" t="str">
        <f>HYPERLINK("https://diaocthongthai.com/xa-quynh-thang-quynh-luu/","Xã Quỳnh Thắng")</f>
        <v>Xã Quỳnh Thắng</v>
      </c>
    </row>
    <row r="5408" spans="1:7" x14ac:dyDescent="0.25">
      <c r="A5408" s="2">
        <v>5407</v>
      </c>
      <c r="B5408" s="3" t="s">
        <v>29</v>
      </c>
      <c r="C5408" s="4" t="str">
        <f t="shared" si="433"/>
        <v>Nghệ An</v>
      </c>
      <c r="D5408" s="3" t="s">
        <v>367</v>
      </c>
      <c r="E5408" s="4" t="str">
        <f t="shared" si="434"/>
        <v>Huyện Quỳnh Lưu</v>
      </c>
      <c r="F5408" s="3" t="s">
        <v>6171</v>
      </c>
      <c r="G5408" s="4" t="str">
        <f>HYPERLINK("https://diaocthongthai.com/xa-quynh-tan-quynh-luu/","Xã Quỳnh Tân")</f>
        <v>Xã Quỳnh Tân</v>
      </c>
    </row>
    <row r="5409" spans="1:7" x14ac:dyDescent="0.25">
      <c r="A5409" s="2">
        <v>5408</v>
      </c>
      <c r="B5409" s="3" t="s">
        <v>29</v>
      </c>
      <c r="C5409" s="4" t="str">
        <f t="shared" si="433"/>
        <v>Nghệ An</v>
      </c>
      <c r="D5409" s="3" t="s">
        <v>367</v>
      </c>
      <c r="E5409" s="4" t="str">
        <f t="shared" si="434"/>
        <v>Huyện Quỳnh Lưu</v>
      </c>
      <c r="F5409" s="3" t="s">
        <v>6172</v>
      </c>
      <c r="G5409" s="4" t="str">
        <f>HYPERLINK("https://diaocthongthai.com/xa-quynh-chau-quynh-luu/","Xã Quỳnh Châu")</f>
        <v>Xã Quỳnh Châu</v>
      </c>
    </row>
    <row r="5410" spans="1:7" x14ac:dyDescent="0.25">
      <c r="A5410" s="2">
        <v>5409</v>
      </c>
      <c r="B5410" s="3" t="s">
        <v>29</v>
      </c>
      <c r="C5410" s="4" t="str">
        <f t="shared" si="433"/>
        <v>Nghệ An</v>
      </c>
      <c r="D5410" s="3" t="s">
        <v>367</v>
      </c>
      <c r="E5410" s="4" t="str">
        <f t="shared" si="434"/>
        <v>Huyện Quỳnh Lưu</v>
      </c>
      <c r="F5410" s="3" t="s">
        <v>6173</v>
      </c>
      <c r="G5410" s="4" t="str">
        <f>HYPERLINK("https://diaocthongthai.com/xa-tan-son-quynh-luu/","Xã Tân Sơn")</f>
        <v>Xã Tân Sơn</v>
      </c>
    </row>
    <row r="5411" spans="1:7" x14ac:dyDescent="0.25">
      <c r="A5411" s="2">
        <v>5410</v>
      </c>
      <c r="B5411" s="3" t="s">
        <v>29</v>
      </c>
      <c r="C5411" s="4" t="str">
        <f t="shared" si="433"/>
        <v>Nghệ An</v>
      </c>
      <c r="D5411" s="3" t="s">
        <v>367</v>
      </c>
      <c r="E5411" s="4" t="str">
        <f t="shared" si="434"/>
        <v>Huyện Quỳnh Lưu</v>
      </c>
      <c r="F5411" s="3" t="s">
        <v>6174</v>
      </c>
      <c r="G5411" s="4" t="str">
        <f>HYPERLINK("https://diaocthongthai.com/xa-quynh-van-quynh-luu/","Xã Quỳnh Văn")</f>
        <v>Xã Quỳnh Văn</v>
      </c>
    </row>
    <row r="5412" spans="1:7" x14ac:dyDescent="0.25">
      <c r="A5412" s="2">
        <v>5411</v>
      </c>
      <c r="B5412" s="3" t="s">
        <v>29</v>
      </c>
      <c r="C5412" s="4" t="str">
        <f t="shared" si="433"/>
        <v>Nghệ An</v>
      </c>
      <c r="D5412" s="3" t="s">
        <v>367</v>
      </c>
      <c r="E5412" s="4" t="str">
        <f t="shared" si="434"/>
        <v>Huyện Quỳnh Lưu</v>
      </c>
      <c r="F5412" s="3" t="s">
        <v>6175</v>
      </c>
      <c r="G5412" s="4" t="str">
        <f>HYPERLINK("https://diaocthongthai.com/xa-ngoc-son-quynh-luu/","Xã Ngọc Sơn")</f>
        <v>Xã Ngọc Sơn</v>
      </c>
    </row>
    <row r="5413" spans="1:7" x14ac:dyDescent="0.25">
      <c r="A5413" s="2">
        <v>5412</v>
      </c>
      <c r="B5413" s="3" t="s">
        <v>29</v>
      </c>
      <c r="C5413" s="4" t="str">
        <f t="shared" si="433"/>
        <v>Nghệ An</v>
      </c>
      <c r="D5413" s="3" t="s">
        <v>367</v>
      </c>
      <c r="E5413" s="4" t="str">
        <f t="shared" si="434"/>
        <v>Huyện Quỳnh Lưu</v>
      </c>
      <c r="F5413" s="3" t="s">
        <v>6176</v>
      </c>
      <c r="G5413" s="4" t="str">
        <f>HYPERLINK("https://diaocthongthai.com/xa-quynh-tam-quynh-luu/","Xã Quỳnh Tam")</f>
        <v>Xã Quỳnh Tam</v>
      </c>
    </row>
    <row r="5414" spans="1:7" x14ac:dyDescent="0.25">
      <c r="A5414" s="2">
        <v>5413</v>
      </c>
      <c r="B5414" s="3" t="s">
        <v>29</v>
      </c>
      <c r="C5414" s="4" t="str">
        <f t="shared" si="433"/>
        <v>Nghệ An</v>
      </c>
      <c r="D5414" s="3" t="s">
        <v>367</v>
      </c>
      <c r="E5414" s="4" t="str">
        <f t="shared" si="434"/>
        <v>Huyện Quỳnh Lưu</v>
      </c>
      <c r="F5414" s="3" t="s">
        <v>6177</v>
      </c>
      <c r="G5414" s="4" t="str">
        <f>HYPERLINK("https://diaocthongthai.com/xa-quynh-hoa-quynh-luu/","Xã Quỳnh Hoa")</f>
        <v>Xã Quỳnh Hoa</v>
      </c>
    </row>
    <row r="5415" spans="1:7" x14ac:dyDescent="0.25">
      <c r="A5415" s="2">
        <v>5414</v>
      </c>
      <c r="B5415" s="3" t="s">
        <v>29</v>
      </c>
      <c r="C5415" s="4" t="str">
        <f t="shared" si="433"/>
        <v>Nghệ An</v>
      </c>
      <c r="D5415" s="3" t="s">
        <v>367</v>
      </c>
      <c r="E5415" s="4" t="str">
        <f t="shared" si="434"/>
        <v>Huyện Quỳnh Lưu</v>
      </c>
      <c r="F5415" s="3" t="s">
        <v>6178</v>
      </c>
      <c r="G5415" s="4" t="str">
        <f>HYPERLINK("https://diaocthongthai.com/xa-quynh-thach-quynh-luu/","Xã Quỳnh Thạch")</f>
        <v>Xã Quỳnh Thạch</v>
      </c>
    </row>
    <row r="5416" spans="1:7" x14ac:dyDescent="0.25">
      <c r="A5416" s="2">
        <v>5415</v>
      </c>
      <c r="B5416" s="3" t="s">
        <v>29</v>
      </c>
      <c r="C5416" s="4" t="str">
        <f t="shared" si="433"/>
        <v>Nghệ An</v>
      </c>
      <c r="D5416" s="3" t="s">
        <v>367</v>
      </c>
      <c r="E5416" s="4" t="str">
        <f t="shared" si="434"/>
        <v>Huyện Quỳnh Lưu</v>
      </c>
      <c r="F5416" s="3" t="s">
        <v>6179</v>
      </c>
      <c r="G5416" s="4" t="str">
        <f>HYPERLINK("https://diaocthongthai.com/xa-quynh-bang-quynh-luu/","Xã Quỳnh Bảng")</f>
        <v>Xã Quỳnh Bảng</v>
      </c>
    </row>
    <row r="5417" spans="1:7" x14ac:dyDescent="0.25">
      <c r="A5417" s="2">
        <v>5416</v>
      </c>
      <c r="B5417" s="3" t="s">
        <v>29</v>
      </c>
      <c r="C5417" s="4" t="str">
        <f t="shared" si="433"/>
        <v>Nghệ An</v>
      </c>
      <c r="D5417" s="3" t="s">
        <v>367</v>
      </c>
      <c r="E5417" s="4" t="str">
        <f t="shared" si="434"/>
        <v>Huyện Quỳnh Lưu</v>
      </c>
      <c r="F5417" s="3" t="s">
        <v>6180</v>
      </c>
      <c r="G5417" s="4" t="str">
        <f>HYPERLINK("https://diaocthongthai.com/xa-quynh-my-quynh-luu/","Xã Quỳnh Mỹ")</f>
        <v>Xã Quỳnh Mỹ</v>
      </c>
    </row>
    <row r="5418" spans="1:7" x14ac:dyDescent="0.25">
      <c r="A5418" s="2">
        <v>5417</v>
      </c>
      <c r="B5418" s="3" t="s">
        <v>29</v>
      </c>
      <c r="C5418" s="4" t="str">
        <f t="shared" si="433"/>
        <v>Nghệ An</v>
      </c>
      <c r="D5418" s="3" t="s">
        <v>367</v>
      </c>
      <c r="E5418" s="4" t="str">
        <f t="shared" si="434"/>
        <v>Huyện Quỳnh Lưu</v>
      </c>
      <c r="F5418" s="3" t="s">
        <v>6181</v>
      </c>
      <c r="G5418" s="4" t="str">
        <f>HYPERLINK("https://diaocthongthai.com/xa-quynh-thanh-quynh-luu/","Xã Quỳnh Thanh")</f>
        <v>Xã Quỳnh Thanh</v>
      </c>
    </row>
    <row r="5419" spans="1:7" x14ac:dyDescent="0.25">
      <c r="A5419" s="2">
        <v>5418</v>
      </c>
      <c r="B5419" s="3" t="s">
        <v>29</v>
      </c>
      <c r="C5419" s="4" t="str">
        <f t="shared" si="433"/>
        <v>Nghệ An</v>
      </c>
      <c r="D5419" s="3" t="s">
        <v>367</v>
      </c>
      <c r="E5419" s="4" t="str">
        <f t="shared" si="434"/>
        <v>Huyện Quỳnh Lưu</v>
      </c>
      <c r="F5419" s="3" t="s">
        <v>6182</v>
      </c>
      <c r="G5419" s="4" t="str">
        <f>HYPERLINK("https://diaocthongthai.com/xa-quynh-hau-quynh-luu/","Xã Quỳnh Hậu")</f>
        <v>Xã Quỳnh Hậu</v>
      </c>
    </row>
    <row r="5420" spans="1:7" x14ac:dyDescent="0.25">
      <c r="A5420" s="2">
        <v>5419</v>
      </c>
      <c r="B5420" s="3" t="s">
        <v>29</v>
      </c>
      <c r="C5420" s="4" t="str">
        <f t="shared" si="433"/>
        <v>Nghệ An</v>
      </c>
      <c r="D5420" s="3" t="s">
        <v>367</v>
      </c>
      <c r="E5420" s="4" t="str">
        <f t="shared" si="434"/>
        <v>Huyện Quỳnh Lưu</v>
      </c>
      <c r="F5420" s="3" t="s">
        <v>6183</v>
      </c>
      <c r="G5420" s="4" t="str">
        <f>HYPERLINK("https://diaocthongthai.com/xa-quynh-lam-quynh-luu/","Xã Quỳnh Lâm")</f>
        <v>Xã Quỳnh Lâm</v>
      </c>
    </row>
    <row r="5421" spans="1:7" x14ac:dyDescent="0.25">
      <c r="A5421" s="2">
        <v>5420</v>
      </c>
      <c r="B5421" s="3" t="s">
        <v>29</v>
      </c>
      <c r="C5421" s="4" t="str">
        <f t="shared" si="433"/>
        <v>Nghệ An</v>
      </c>
      <c r="D5421" s="3" t="s">
        <v>367</v>
      </c>
      <c r="E5421" s="4" t="str">
        <f t="shared" si="434"/>
        <v>Huyện Quỳnh Lưu</v>
      </c>
      <c r="F5421" s="3" t="s">
        <v>6184</v>
      </c>
      <c r="G5421" s="4" t="str">
        <f>HYPERLINK("https://diaocthongthai.com/xa-quynh-doi-quynh-luu/","Xã Quỳnh Đôi")</f>
        <v>Xã Quỳnh Đôi</v>
      </c>
    </row>
    <row r="5422" spans="1:7" x14ac:dyDescent="0.25">
      <c r="A5422" s="2">
        <v>5421</v>
      </c>
      <c r="B5422" s="3" t="s">
        <v>29</v>
      </c>
      <c r="C5422" s="4" t="str">
        <f t="shared" si="433"/>
        <v>Nghệ An</v>
      </c>
      <c r="D5422" s="3" t="s">
        <v>367</v>
      </c>
      <c r="E5422" s="4" t="str">
        <f t="shared" si="434"/>
        <v>Huyện Quỳnh Lưu</v>
      </c>
      <c r="F5422" s="3" t="s">
        <v>6185</v>
      </c>
      <c r="G5422" s="4" t="str">
        <f>HYPERLINK("https://diaocthongthai.com/xa-quynh-luong-quynh-luu/","Xã Quỳnh Lương")</f>
        <v>Xã Quỳnh Lương</v>
      </c>
    </row>
    <row r="5423" spans="1:7" x14ac:dyDescent="0.25">
      <c r="A5423" s="2">
        <v>5422</v>
      </c>
      <c r="B5423" s="3" t="s">
        <v>29</v>
      </c>
      <c r="C5423" s="4" t="str">
        <f t="shared" si="433"/>
        <v>Nghệ An</v>
      </c>
      <c r="D5423" s="3" t="s">
        <v>367</v>
      </c>
      <c r="E5423" s="4" t="str">
        <f t="shared" si="434"/>
        <v>Huyện Quỳnh Lưu</v>
      </c>
      <c r="F5423" s="3" t="s">
        <v>6186</v>
      </c>
      <c r="G5423" s="4" t="str">
        <f>HYPERLINK("https://diaocthongthai.com/xa-quynh-hong-quynh-luu/","Xã Quỳnh Hồng")</f>
        <v>Xã Quỳnh Hồng</v>
      </c>
    </row>
    <row r="5424" spans="1:7" x14ac:dyDescent="0.25">
      <c r="A5424" s="2">
        <v>5423</v>
      </c>
      <c r="B5424" s="3" t="s">
        <v>29</v>
      </c>
      <c r="C5424" s="4" t="str">
        <f t="shared" si="433"/>
        <v>Nghệ An</v>
      </c>
      <c r="D5424" s="3" t="s">
        <v>367</v>
      </c>
      <c r="E5424" s="4" t="str">
        <f t="shared" si="434"/>
        <v>Huyện Quỳnh Lưu</v>
      </c>
      <c r="F5424" s="3" t="s">
        <v>6187</v>
      </c>
      <c r="G5424" s="4" t="str">
        <f>HYPERLINK("https://diaocthongthai.com/xa-quynh-yen-quynh-luu/","Xã Quỳnh Yên")</f>
        <v>Xã Quỳnh Yên</v>
      </c>
    </row>
    <row r="5425" spans="1:7" x14ac:dyDescent="0.25">
      <c r="A5425" s="2">
        <v>5424</v>
      </c>
      <c r="B5425" s="3" t="s">
        <v>29</v>
      </c>
      <c r="C5425" s="4" t="str">
        <f t="shared" si="433"/>
        <v>Nghệ An</v>
      </c>
      <c r="D5425" s="3" t="s">
        <v>367</v>
      </c>
      <c r="E5425" s="4" t="str">
        <f t="shared" si="434"/>
        <v>Huyện Quỳnh Lưu</v>
      </c>
      <c r="F5425" s="3" t="s">
        <v>6188</v>
      </c>
      <c r="G5425" s="4" t="str">
        <f>HYPERLINK("https://diaocthongthai.com/xa-quynh-ba-quynh-luu/","Xã Quỳnh Bá")</f>
        <v>Xã Quỳnh Bá</v>
      </c>
    </row>
    <row r="5426" spans="1:7" x14ac:dyDescent="0.25">
      <c r="A5426" s="2">
        <v>5425</v>
      </c>
      <c r="B5426" s="3" t="s">
        <v>29</v>
      </c>
      <c r="C5426" s="4" t="str">
        <f t="shared" si="433"/>
        <v>Nghệ An</v>
      </c>
      <c r="D5426" s="3" t="s">
        <v>367</v>
      </c>
      <c r="E5426" s="4" t="str">
        <f t="shared" si="434"/>
        <v>Huyện Quỳnh Lưu</v>
      </c>
      <c r="F5426" s="3" t="s">
        <v>6189</v>
      </c>
      <c r="G5426" s="4" t="str">
        <f>HYPERLINK("https://diaocthongthai.com/xa-quynh-minh-quynh-luu/","Xã Quỳnh Minh")</f>
        <v>Xã Quỳnh Minh</v>
      </c>
    </row>
    <row r="5427" spans="1:7" x14ac:dyDescent="0.25">
      <c r="A5427" s="2">
        <v>5426</v>
      </c>
      <c r="B5427" s="3" t="s">
        <v>29</v>
      </c>
      <c r="C5427" s="4" t="str">
        <f t="shared" si="433"/>
        <v>Nghệ An</v>
      </c>
      <c r="D5427" s="3" t="s">
        <v>367</v>
      </c>
      <c r="E5427" s="4" t="str">
        <f t="shared" si="434"/>
        <v>Huyện Quỳnh Lưu</v>
      </c>
      <c r="F5427" s="3" t="s">
        <v>6190</v>
      </c>
      <c r="G5427" s="4" t="str">
        <f>HYPERLINK("https://diaocthongthai.com/xa-quynh-dien-quynh-luu/","Xã Quỳnh Diễn")</f>
        <v>Xã Quỳnh Diễn</v>
      </c>
    </row>
    <row r="5428" spans="1:7" x14ac:dyDescent="0.25">
      <c r="A5428" s="2">
        <v>5427</v>
      </c>
      <c r="B5428" s="3" t="s">
        <v>29</v>
      </c>
      <c r="C5428" s="4" t="str">
        <f t="shared" si="433"/>
        <v>Nghệ An</v>
      </c>
      <c r="D5428" s="3" t="s">
        <v>367</v>
      </c>
      <c r="E5428" s="4" t="str">
        <f t="shared" si="434"/>
        <v>Huyện Quỳnh Lưu</v>
      </c>
      <c r="F5428" s="3" t="s">
        <v>6191</v>
      </c>
      <c r="G5428" s="4" t="str">
        <f>HYPERLINK("https://diaocthongthai.com/xa-quynh-hung-quynh-luu/","Xã Quỳnh Hưng")</f>
        <v>Xã Quỳnh Hưng</v>
      </c>
    </row>
    <row r="5429" spans="1:7" x14ac:dyDescent="0.25">
      <c r="A5429" s="2">
        <v>5428</v>
      </c>
      <c r="B5429" s="3" t="s">
        <v>29</v>
      </c>
      <c r="C5429" s="4" t="str">
        <f t="shared" si="433"/>
        <v>Nghệ An</v>
      </c>
      <c r="D5429" s="3" t="s">
        <v>367</v>
      </c>
      <c r="E5429" s="4" t="str">
        <f t="shared" si="434"/>
        <v>Huyện Quỳnh Lưu</v>
      </c>
      <c r="F5429" s="3" t="s">
        <v>6192</v>
      </c>
      <c r="G5429" s="4" t="str">
        <f>HYPERLINK("https://diaocthongthai.com/xa-quynh-giang-quynh-luu/","Xã Quỳnh Giang")</f>
        <v>Xã Quỳnh Giang</v>
      </c>
    </row>
    <row r="5430" spans="1:7" x14ac:dyDescent="0.25">
      <c r="A5430" s="2">
        <v>5429</v>
      </c>
      <c r="B5430" s="3" t="s">
        <v>29</v>
      </c>
      <c r="C5430" s="4" t="str">
        <f t="shared" si="433"/>
        <v>Nghệ An</v>
      </c>
      <c r="D5430" s="3" t="s">
        <v>367</v>
      </c>
      <c r="E5430" s="4" t="str">
        <f t="shared" si="434"/>
        <v>Huyện Quỳnh Lưu</v>
      </c>
      <c r="F5430" s="3" t="s">
        <v>6193</v>
      </c>
      <c r="G5430" s="4" t="str">
        <f>HYPERLINK("https://diaocthongthai.com/xa-quynh-ngoc-quynh-luu/","Xã Quỳnh Ngọc")</f>
        <v>Xã Quỳnh Ngọc</v>
      </c>
    </row>
    <row r="5431" spans="1:7" x14ac:dyDescent="0.25">
      <c r="A5431" s="2">
        <v>5430</v>
      </c>
      <c r="B5431" s="3" t="s">
        <v>29</v>
      </c>
      <c r="C5431" s="4" t="str">
        <f t="shared" si="433"/>
        <v>Nghệ An</v>
      </c>
      <c r="D5431" s="3" t="s">
        <v>367</v>
      </c>
      <c r="E5431" s="4" t="str">
        <f t="shared" si="434"/>
        <v>Huyện Quỳnh Lưu</v>
      </c>
      <c r="F5431" s="3" t="s">
        <v>6194</v>
      </c>
      <c r="G5431" s="4" t="str">
        <f>HYPERLINK("https://diaocthongthai.com/xa-quynh-nghia-quynh-luu/","Xã Quỳnh Nghĩa")</f>
        <v>Xã Quỳnh Nghĩa</v>
      </c>
    </row>
    <row r="5432" spans="1:7" x14ac:dyDescent="0.25">
      <c r="A5432" s="2">
        <v>5431</v>
      </c>
      <c r="B5432" s="3" t="s">
        <v>29</v>
      </c>
      <c r="C5432" s="4" t="str">
        <f t="shared" si="433"/>
        <v>Nghệ An</v>
      </c>
      <c r="D5432" s="3" t="s">
        <v>367</v>
      </c>
      <c r="E5432" s="4" t="str">
        <f t="shared" si="434"/>
        <v>Huyện Quỳnh Lưu</v>
      </c>
      <c r="F5432" s="3" t="s">
        <v>6195</v>
      </c>
      <c r="G5432" s="4" t="str">
        <f>HYPERLINK("https://diaocthongthai.com/xa-an-hoa-quynh-luu/","Xã An Hòa")</f>
        <v>Xã An Hòa</v>
      </c>
    </row>
    <row r="5433" spans="1:7" x14ac:dyDescent="0.25">
      <c r="A5433" s="2">
        <v>5432</v>
      </c>
      <c r="B5433" s="3" t="s">
        <v>29</v>
      </c>
      <c r="C5433" s="4" t="str">
        <f t="shared" si="433"/>
        <v>Nghệ An</v>
      </c>
      <c r="D5433" s="3" t="s">
        <v>367</v>
      </c>
      <c r="E5433" s="4" t="str">
        <f t="shared" si="434"/>
        <v>Huyện Quỳnh Lưu</v>
      </c>
      <c r="F5433" s="3" t="s">
        <v>6196</v>
      </c>
      <c r="G5433" s="4" t="str">
        <f>HYPERLINK("https://diaocthongthai.com/xa-tien-thuy-quynh-luu/","Xã Tiến Thủy")</f>
        <v>Xã Tiến Thủy</v>
      </c>
    </row>
    <row r="5434" spans="1:7" x14ac:dyDescent="0.25">
      <c r="A5434" s="2">
        <v>5433</v>
      </c>
      <c r="B5434" s="3" t="s">
        <v>29</v>
      </c>
      <c r="C5434" s="4" t="str">
        <f t="shared" si="433"/>
        <v>Nghệ An</v>
      </c>
      <c r="D5434" s="3" t="s">
        <v>367</v>
      </c>
      <c r="E5434" s="4" t="str">
        <f t="shared" si="434"/>
        <v>Huyện Quỳnh Lưu</v>
      </c>
      <c r="F5434" s="3" t="s">
        <v>6197</v>
      </c>
      <c r="G5434" s="4" t="str">
        <f>HYPERLINK("https://diaocthongthai.com/xa-son-hai-quynh-luu/","Xã Sơn Hải")</f>
        <v>Xã Sơn Hải</v>
      </c>
    </row>
    <row r="5435" spans="1:7" x14ac:dyDescent="0.25">
      <c r="A5435" s="2">
        <v>5434</v>
      </c>
      <c r="B5435" s="3" t="s">
        <v>29</v>
      </c>
      <c r="C5435" s="4" t="str">
        <f t="shared" si="433"/>
        <v>Nghệ An</v>
      </c>
      <c r="D5435" s="3" t="s">
        <v>367</v>
      </c>
      <c r="E5435" s="4" t="str">
        <f t="shared" si="434"/>
        <v>Huyện Quỳnh Lưu</v>
      </c>
      <c r="F5435" s="3" t="s">
        <v>6198</v>
      </c>
      <c r="G5435" s="4" t="str">
        <f>HYPERLINK("https://diaocthongthai.com/xa-quynh-tho-quynh-luu/","Xã Quỳnh Thọ")</f>
        <v>Xã Quỳnh Thọ</v>
      </c>
    </row>
    <row r="5436" spans="1:7" x14ac:dyDescent="0.25">
      <c r="A5436" s="2">
        <v>5435</v>
      </c>
      <c r="B5436" s="3" t="s">
        <v>29</v>
      </c>
      <c r="C5436" s="4" t="str">
        <f t="shared" si="433"/>
        <v>Nghệ An</v>
      </c>
      <c r="D5436" s="3" t="s">
        <v>367</v>
      </c>
      <c r="E5436" s="4" t="str">
        <f t="shared" si="434"/>
        <v>Huyện Quỳnh Lưu</v>
      </c>
      <c r="F5436" s="3" t="s">
        <v>6199</v>
      </c>
      <c r="G5436" s="4" t="str">
        <f>HYPERLINK("https://diaocthongthai.com/xa-quynh-thuan-quynh-luu/","Xã Quỳnh Thuận")</f>
        <v>Xã Quỳnh Thuận</v>
      </c>
    </row>
    <row r="5437" spans="1:7" x14ac:dyDescent="0.25">
      <c r="A5437" s="2">
        <v>5436</v>
      </c>
      <c r="B5437" s="3" t="s">
        <v>29</v>
      </c>
      <c r="C5437" s="4" t="str">
        <f t="shared" si="433"/>
        <v>Nghệ An</v>
      </c>
      <c r="D5437" s="3" t="s">
        <v>367</v>
      </c>
      <c r="E5437" s="4" t="str">
        <f t="shared" si="434"/>
        <v>Huyện Quỳnh Lưu</v>
      </c>
      <c r="F5437" s="3" t="s">
        <v>6200</v>
      </c>
      <c r="G5437" s="4" t="str">
        <f>HYPERLINK("https://diaocthongthai.com/xa-quynh-long-quynh-luu/","Xã Quỳnh Long")</f>
        <v>Xã Quỳnh Long</v>
      </c>
    </row>
    <row r="5438" spans="1:7" x14ac:dyDescent="0.25">
      <c r="A5438" s="2">
        <v>5437</v>
      </c>
      <c r="B5438" s="3" t="s">
        <v>29</v>
      </c>
      <c r="C5438" s="4" t="str">
        <f t="shared" si="433"/>
        <v>Nghệ An</v>
      </c>
      <c r="D5438" s="3" t="s">
        <v>367</v>
      </c>
      <c r="E5438" s="4" t="str">
        <f t="shared" si="434"/>
        <v>Huyện Quỳnh Lưu</v>
      </c>
      <c r="F5438" s="3" t="s">
        <v>6201</v>
      </c>
      <c r="G5438" s="4" t="str">
        <f>HYPERLINK("https://diaocthongthai.com/xa-tan-thang-quynh-luu/","Xã Tân Thắng")</f>
        <v>Xã Tân Thắng</v>
      </c>
    </row>
    <row r="5439" spans="1:7" x14ac:dyDescent="0.25">
      <c r="A5439" s="2">
        <v>5438</v>
      </c>
      <c r="B5439" s="3" t="s">
        <v>29</v>
      </c>
      <c r="C5439" s="4" t="str">
        <f t="shared" si="433"/>
        <v>Nghệ An</v>
      </c>
      <c r="D5439" s="3" t="s">
        <v>368</v>
      </c>
      <c r="E5439" s="4" t="str">
        <f t="shared" ref="E5439:E5451" si="435">HYPERLINK("https://diaocthongthai.com/ban-do-huyen-con-cuong-nghe-an/","Huyện Con Cuông")</f>
        <v>Huyện Con Cuông</v>
      </c>
      <c r="F5439" s="3" t="s">
        <v>6202</v>
      </c>
      <c r="G5439" s="4" t="str">
        <f>HYPERLINK("https://diaocthongthai.com/thi-tran-con-cuong-con-cuong/","Thị trấn Con Cuông")</f>
        <v>Thị trấn Con Cuông</v>
      </c>
    </row>
    <row r="5440" spans="1:7" x14ac:dyDescent="0.25">
      <c r="A5440" s="2">
        <v>5439</v>
      </c>
      <c r="B5440" s="3" t="s">
        <v>29</v>
      </c>
      <c r="C5440" s="4" t="str">
        <f t="shared" si="433"/>
        <v>Nghệ An</v>
      </c>
      <c r="D5440" s="3" t="s">
        <v>368</v>
      </c>
      <c r="E5440" s="4" t="str">
        <f t="shared" si="435"/>
        <v>Huyện Con Cuông</v>
      </c>
      <c r="F5440" s="3" t="s">
        <v>6203</v>
      </c>
      <c r="G5440" s="4" t="str">
        <f>HYPERLINK("https://diaocthongthai.com/xa-binh-chuan-con-cuong/","Xã Bình Chuẩn")</f>
        <v>Xã Bình Chuẩn</v>
      </c>
    </row>
    <row r="5441" spans="1:7" x14ac:dyDescent="0.25">
      <c r="A5441" s="2">
        <v>5440</v>
      </c>
      <c r="B5441" s="3" t="s">
        <v>29</v>
      </c>
      <c r="C5441" s="4" t="str">
        <f t="shared" si="433"/>
        <v>Nghệ An</v>
      </c>
      <c r="D5441" s="3" t="s">
        <v>368</v>
      </c>
      <c r="E5441" s="4" t="str">
        <f t="shared" si="435"/>
        <v>Huyện Con Cuông</v>
      </c>
      <c r="F5441" s="3" t="s">
        <v>6204</v>
      </c>
      <c r="G5441" s="4" t="str">
        <f>HYPERLINK("https://diaocthongthai.com/xa-lang-khe-con-cuong/","Xã Lạng Khê")</f>
        <v>Xã Lạng Khê</v>
      </c>
    </row>
    <row r="5442" spans="1:7" x14ac:dyDescent="0.25">
      <c r="A5442" s="2">
        <v>5441</v>
      </c>
      <c r="B5442" s="3" t="s">
        <v>29</v>
      </c>
      <c r="C5442" s="4" t="str">
        <f t="shared" si="433"/>
        <v>Nghệ An</v>
      </c>
      <c r="D5442" s="3" t="s">
        <v>368</v>
      </c>
      <c r="E5442" s="4" t="str">
        <f t="shared" si="435"/>
        <v>Huyện Con Cuông</v>
      </c>
      <c r="F5442" s="3" t="s">
        <v>6205</v>
      </c>
      <c r="G5442" s="4" t="str">
        <f>HYPERLINK("https://diaocthongthai.com/xa-cam-lam-con-cuong/","Xã Cam Lâm")</f>
        <v>Xã Cam Lâm</v>
      </c>
    </row>
    <row r="5443" spans="1:7" x14ac:dyDescent="0.25">
      <c r="A5443" s="2">
        <v>5442</v>
      </c>
      <c r="B5443" s="3" t="s">
        <v>29</v>
      </c>
      <c r="C5443" s="4" t="str">
        <f t="shared" si="433"/>
        <v>Nghệ An</v>
      </c>
      <c r="D5443" s="3" t="s">
        <v>368</v>
      </c>
      <c r="E5443" s="4" t="str">
        <f t="shared" si="435"/>
        <v>Huyện Con Cuông</v>
      </c>
      <c r="F5443" s="3" t="s">
        <v>6206</v>
      </c>
      <c r="G5443" s="4" t="str">
        <f>HYPERLINK("https://diaocthongthai.com/xa-thach-ngan-con-cuong/","Xã Thạch Ngàn")</f>
        <v>Xã Thạch Ngàn</v>
      </c>
    </row>
    <row r="5444" spans="1:7" x14ac:dyDescent="0.25">
      <c r="A5444" s="2">
        <v>5443</v>
      </c>
      <c r="B5444" s="3" t="s">
        <v>29</v>
      </c>
      <c r="C5444" s="4" t="str">
        <f t="shared" si="433"/>
        <v>Nghệ An</v>
      </c>
      <c r="D5444" s="3" t="s">
        <v>368</v>
      </c>
      <c r="E5444" s="4" t="str">
        <f t="shared" si="435"/>
        <v>Huyện Con Cuông</v>
      </c>
      <c r="F5444" s="3" t="s">
        <v>6207</v>
      </c>
      <c r="G5444" s="4" t="str">
        <f>HYPERLINK("https://diaocthongthai.com/xa-don-phuc-con-cuong/","Xã Đôn Phục")</f>
        <v>Xã Đôn Phục</v>
      </c>
    </row>
    <row r="5445" spans="1:7" x14ac:dyDescent="0.25">
      <c r="A5445" s="2">
        <v>5444</v>
      </c>
      <c r="B5445" s="3" t="s">
        <v>29</v>
      </c>
      <c r="C5445" s="4" t="str">
        <f t="shared" si="433"/>
        <v>Nghệ An</v>
      </c>
      <c r="D5445" s="3" t="s">
        <v>368</v>
      </c>
      <c r="E5445" s="4" t="str">
        <f t="shared" si="435"/>
        <v>Huyện Con Cuông</v>
      </c>
      <c r="F5445" s="3" t="s">
        <v>6208</v>
      </c>
      <c r="G5445" s="4" t="str">
        <f>HYPERLINK("https://diaocthongthai.com/xa-mau-duc-con-cuong/","Xã Mậu Đức")</f>
        <v>Xã Mậu Đức</v>
      </c>
    </row>
    <row r="5446" spans="1:7" x14ac:dyDescent="0.25">
      <c r="A5446" s="2">
        <v>5445</v>
      </c>
      <c r="B5446" s="3" t="s">
        <v>29</v>
      </c>
      <c r="C5446" s="4" t="str">
        <f t="shared" si="433"/>
        <v>Nghệ An</v>
      </c>
      <c r="D5446" s="3" t="s">
        <v>368</v>
      </c>
      <c r="E5446" s="4" t="str">
        <f t="shared" si="435"/>
        <v>Huyện Con Cuông</v>
      </c>
      <c r="F5446" s="3" t="s">
        <v>6209</v>
      </c>
      <c r="G5446" s="4" t="str">
        <f>HYPERLINK("https://diaocthongthai.com/xa-chau-khe-con-cuong/","Xã Châu Khê")</f>
        <v>Xã Châu Khê</v>
      </c>
    </row>
    <row r="5447" spans="1:7" x14ac:dyDescent="0.25">
      <c r="A5447" s="2">
        <v>5446</v>
      </c>
      <c r="B5447" s="3" t="s">
        <v>29</v>
      </c>
      <c r="C5447" s="4" t="str">
        <f t="shared" si="433"/>
        <v>Nghệ An</v>
      </c>
      <c r="D5447" s="3" t="s">
        <v>368</v>
      </c>
      <c r="E5447" s="4" t="str">
        <f t="shared" si="435"/>
        <v>Huyện Con Cuông</v>
      </c>
      <c r="F5447" s="3" t="s">
        <v>6210</v>
      </c>
      <c r="G5447" s="4" t="str">
        <f>HYPERLINK("https://diaocthongthai.com/xa-chi-khe-con-cuong/","Xã Chi Khê")</f>
        <v>Xã Chi Khê</v>
      </c>
    </row>
    <row r="5448" spans="1:7" x14ac:dyDescent="0.25">
      <c r="A5448" s="2">
        <v>5447</v>
      </c>
      <c r="B5448" s="3" t="s">
        <v>29</v>
      </c>
      <c r="C5448" s="4" t="str">
        <f t="shared" si="433"/>
        <v>Nghệ An</v>
      </c>
      <c r="D5448" s="3" t="s">
        <v>368</v>
      </c>
      <c r="E5448" s="4" t="str">
        <f t="shared" si="435"/>
        <v>Huyện Con Cuông</v>
      </c>
      <c r="F5448" s="3" t="s">
        <v>6211</v>
      </c>
      <c r="G5448" s="4" t="str">
        <f>HYPERLINK("https://diaocthongthai.com/xa-bong-khe-con-cuong/","Xã Bồng Khê")</f>
        <v>Xã Bồng Khê</v>
      </c>
    </row>
    <row r="5449" spans="1:7" x14ac:dyDescent="0.25">
      <c r="A5449" s="2">
        <v>5448</v>
      </c>
      <c r="B5449" s="3" t="s">
        <v>29</v>
      </c>
      <c r="C5449" s="4" t="str">
        <f t="shared" si="433"/>
        <v>Nghệ An</v>
      </c>
      <c r="D5449" s="3" t="s">
        <v>368</v>
      </c>
      <c r="E5449" s="4" t="str">
        <f t="shared" si="435"/>
        <v>Huyện Con Cuông</v>
      </c>
      <c r="F5449" s="3" t="s">
        <v>6212</v>
      </c>
      <c r="G5449" s="4" t="str">
        <f>HYPERLINK("https://diaocthongthai.com/xa-yen-khe-con-cuong/","Xã Yên Khê")</f>
        <v>Xã Yên Khê</v>
      </c>
    </row>
    <row r="5450" spans="1:7" x14ac:dyDescent="0.25">
      <c r="A5450" s="2">
        <v>5449</v>
      </c>
      <c r="B5450" s="3" t="s">
        <v>29</v>
      </c>
      <c r="C5450" s="4" t="str">
        <f t="shared" ref="C5450:C5513" si="436">HYPERLINK("https://diaocthongthai.com/ban-do-nghe-an/","Nghệ An")</f>
        <v>Nghệ An</v>
      </c>
      <c r="D5450" s="3" t="s">
        <v>368</v>
      </c>
      <c r="E5450" s="4" t="str">
        <f t="shared" si="435"/>
        <v>Huyện Con Cuông</v>
      </c>
      <c r="F5450" s="3" t="s">
        <v>6213</v>
      </c>
      <c r="G5450" s="4" t="str">
        <f>HYPERLINK("https://diaocthongthai.com/xa-luc-da-con-cuong/","Xã Lục Dạ")</f>
        <v>Xã Lục Dạ</v>
      </c>
    </row>
    <row r="5451" spans="1:7" x14ac:dyDescent="0.25">
      <c r="A5451" s="2">
        <v>5450</v>
      </c>
      <c r="B5451" s="3" t="s">
        <v>29</v>
      </c>
      <c r="C5451" s="4" t="str">
        <f t="shared" si="436"/>
        <v>Nghệ An</v>
      </c>
      <c r="D5451" s="3" t="s">
        <v>368</v>
      </c>
      <c r="E5451" s="4" t="str">
        <f t="shared" si="435"/>
        <v>Huyện Con Cuông</v>
      </c>
      <c r="F5451" s="3" t="s">
        <v>6214</v>
      </c>
      <c r="G5451" s="4" t="str">
        <f>HYPERLINK("https://diaocthongthai.com/xa-mon-son-con-cuong/","Xã Môn Sơn")</f>
        <v>Xã Môn Sơn</v>
      </c>
    </row>
    <row r="5452" spans="1:7" x14ac:dyDescent="0.25">
      <c r="A5452" s="2">
        <v>5451</v>
      </c>
      <c r="B5452" s="3" t="s">
        <v>29</v>
      </c>
      <c r="C5452" s="4" t="str">
        <f t="shared" si="436"/>
        <v>Nghệ An</v>
      </c>
      <c r="D5452" s="3" t="s">
        <v>369</v>
      </c>
      <c r="E5452" s="4" t="str">
        <f t="shared" ref="E5452:E5473" si="437">HYPERLINK("https://diaocthongthai.com/ban-do-huyen-tan-ky-nghe-an/","Huyện Tân Kỳ")</f>
        <v>Huyện Tân Kỳ</v>
      </c>
      <c r="F5452" s="3" t="s">
        <v>6215</v>
      </c>
      <c r="G5452" s="4" t="str">
        <f>HYPERLINK("https://diaocthongthai.com/thi-tran-tan-ky-tan-ky/","Thị trấn Tân Kỳ")</f>
        <v>Thị trấn Tân Kỳ</v>
      </c>
    </row>
    <row r="5453" spans="1:7" x14ac:dyDescent="0.25">
      <c r="A5453" s="2">
        <v>5452</v>
      </c>
      <c r="B5453" s="3" t="s">
        <v>29</v>
      </c>
      <c r="C5453" s="4" t="str">
        <f t="shared" si="436"/>
        <v>Nghệ An</v>
      </c>
      <c r="D5453" s="3" t="s">
        <v>369</v>
      </c>
      <c r="E5453" s="4" t="str">
        <f t="shared" si="437"/>
        <v>Huyện Tân Kỳ</v>
      </c>
      <c r="F5453" s="3" t="s">
        <v>6216</v>
      </c>
      <c r="G5453" s="4" t="str">
        <f>HYPERLINK("https://diaocthongthai.com/xa-tan-hop-tan-ky/","Xã Tân Hợp")</f>
        <v>Xã Tân Hợp</v>
      </c>
    </row>
    <row r="5454" spans="1:7" x14ac:dyDescent="0.25">
      <c r="A5454" s="2">
        <v>5453</v>
      </c>
      <c r="B5454" s="3" t="s">
        <v>29</v>
      </c>
      <c r="C5454" s="4" t="str">
        <f t="shared" si="436"/>
        <v>Nghệ An</v>
      </c>
      <c r="D5454" s="3" t="s">
        <v>369</v>
      </c>
      <c r="E5454" s="4" t="str">
        <f t="shared" si="437"/>
        <v>Huyện Tân Kỳ</v>
      </c>
      <c r="F5454" s="3" t="s">
        <v>6217</v>
      </c>
      <c r="G5454" s="4" t="str">
        <f>HYPERLINK("https://diaocthongthai.com/xa-tan-phu-tan-ky/","Xã Tân Phú")</f>
        <v>Xã Tân Phú</v>
      </c>
    </row>
    <row r="5455" spans="1:7" x14ac:dyDescent="0.25">
      <c r="A5455" s="2">
        <v>5454</v>
      </c>
      <c r="B5455" s="3" t="s">
        <v>29</v>
      </c>
      <c r="C5455" s="4" t="str">
        <f t="shared" si="436"/>
        <v>Nghệ An</v>
      </c>
      <c r="D5455" s="3" t="s">
        <v>369</v>
      </c>
      <c r="E5455" s="4" t="str">
        <f t="shared" si="437"/>
        <v>Huyện Tân Kỳ</v>
      </c>
      <c r="F5455" s="3" t="s">
        <v>6218</v>
      </c>
      <c r="G5455" s="4" t="str">
        <f>HYPERLINK("https://diaocthongthai.com/xa-tan-xuan-tan-ky/","Xã Tân Xuân")</f>
        <v>Xã Tân Xuân</v>
      </c>
    </row>
    <row r="5456" spans="1:7" x14ac:dyDescent="0.25">
      <c r="A5456" s="2">
        <v>5455</v>
      </c>
      <c r="B5456" s="3" t="s">
        <v>29</v>
      </c>
      <c r="C5456" s="4" t="str">
        <f t="shared" si="436"/>
        <v>Nghệ An</v>
      </c>
      <c r="D5456" s="3" t="s">
        <v>369</v>
      </c>
      <c r="E5456" s="4" t="str">
        <f t="shared" si="437"/>
        <v>Huyện Tân Kỳ</v>
      </c>
      <c r="F5456" s="3" t="s">
        <v>6219</v>
      </c>
      <c r="G5456" s="4" t="str">
        <f>HYPERLINK("https://diaocthongthai.com/xa-giai-xuan-tan-ky/","Xã Giai Xuân")</f>
        <v>Xã Giai Xuân</v>
      </c>
    </row>
    <row r="5457" spans="1:7" x14ac:dyDescent="0.25">
      <c r="A5457" s="2">
        <v>5456</v>
      </c>
      <c r="B5457" s="3" t="s">
        <v>29</v>
      </c>
      <c r="C5457" s="4" t="str">
        <f t="shared" si="436"/>
        <v>Nghệ An</v>
      </c>
      <c r="D5457" s="3" t="s">
        <v>369</v>
      </c>
      <c r="E5457" s="4" t="str">
        <f t="shared" si="437"/>
        <v>Huyện Tân Kỳ</v>
      </c>
      <c r="F5457" s="3" t="s">
        <v>6220</v>
      </c>
      <c r="G5457" s="4" t="str">
        <f>HYPERLINK("https://diaocthongthai.com/xa-nghia-binh-tan-ky/","Xã Nghĩa Bình")</f>
        <v>Xã Nghĩa Bình</v>
      </c>
    </row>
    <row r="5458" spans="1:7" x14ac:dyDescent="0.25">
      <c r="A5458" s="2">
        <v>5457</v>
      </c>
      <c r="B5458" s="3" t="s">
        <v>29</v>
      </c>
      <c r="C5458" s="4" t="str">
        <f t="shared" si="436"/>
        <v>Nghệ An</v>
      </c>
      <c r="D5458" s="3" t="s">
        <v>369</v>
      </c>
      <c r="E5458" s="4" t="str">
        <f t="shared" si="437"/>
        <v>Huyện Tân Kỳ</v>
      </c>
      <c r="F5458" s="3" t="s">
        <v>6221</v>
      </c>
      <c r="G5458" s="4" t="str">
        <f>HYPERLINK("https://diaocthongthai.com/xa-nghia-dong-tan-ky/","Xã Nghĩa Đồng")</f>
        <v>Xã Nghĩa Đồng</v>
      </c>
    </row>
    <row r="5459" spans="1:7" x14ac:dyDescent="0.25">
      <c r="A5459" s="2">
        <v>5458</v>
      </c>
      <c r="B5459" s="3" t="s">
        <v>29</v>
      </c>
      <c r="C5459" s="4" t="str">
        <f t="shared" si="436"/>
        <v>Nghệ An</v>
      </c>
      <c r="D5459" s="3" t="s">
        <v>369</v>
      </c>
      <c r="E5459" s="4" t="str">
        <f t="shared" si="437"/>
        <v>Huyện Tân Kỳ</v>
      </c>
      <c r="F5459" s="3" t="s">
        <v>6222</v>
      </c>
      <c r="G5459" s="4" t="str">
        <f>HYPERLINK("https://diaocthongthai.com/xa-dong-van-tan-ky/","Xã Đồng Văn")</f>
        <v>Xã Đồng Văn</v>
      </c>
    </row>
    <row r="5460" spans="1:7" x14ac:dyDescent="0.25">
      <c r="A5460" s="2">
        <v>5459</v>
      </c>
      <c r="B5460" s="3" t="s">
        <v>29</v>
      </c>
      <c r="C5460" s="4" t="str">
        <f t="shared" si="436"/>
        <v>Nghệ An</v>
      </c>
      <c r="D5460" s="3" t="s">
        <v>369</v>
      </c>
      <c r="E5460" s="4" t="str">
        <f t="shared" si="437"/>
        <v>Huyện Tân Kỳ</v>
      </c>
      <c r="F5460" s="3" t="s">
        <v>6223</v>
      </c>
      <c r="G5460" s="4" t="str">
        <f>HYPERLINK("https://diaocthongthai.com/xa-nghia-thai-tan-ky/","Xã Nghĩa Thái")</f>
        <v>Xã Nghĩa Thái</v>
      </c>
    </row>
    <row r="5461" spans="1:7" x14ac:dyDescent="0.25">
      <c r="A5461" s="2">
        <v>5460</v>
      </c>
      <c r="B5461" s="3" t="s">
        <v>29</v>
      </c>
      <c r="C5461" s="4" t="str">
        <f t="shared" si="436"/>
        <v>Nghệ An</v>
      </c>
      <c r="D5461" s="3" t="s">
        <v>369</v>
      </c>
      <c r="E5461" s="4" t="str">
        <f t="shared" si="437"/>
        <v>Huyện Tân Kỳ</v>
      </c>
      <c r="F5461" s="3" t="s">
        <v>6224</v>
      </c>
      <c r="G5461" s="4" t="str">
        <f>HYPERLINK("https://diaocthongthai.com/xa-nghia-hop-tan-ky/","Xã Nghĩa Hợp")</f>
        <v>Xã Nghĩa Hợp</v>
      </c>
    </row>
    <row r="5462" spans="1:7" x14ac:dyDescent="0.25">
      <c r="A5462" s="2">
        <v>5461</v>
      </c>
      <c r="B5462" s="3" t="s">
        <v>29</v>
      </c>
      <c r="C5462" s="4" t="str">
        <f t="shared" si="436"/>
        <v>Nghệ An</v>
      </c>
      <c r="D5462" s="3" t="s">
        <v>369</v>
      </c>
      <c r="E5462" s="4" t="str">
        <f t="shared" si="437"/>
        <v>Huyện Tân Kỳ</v>
      </c>
      <c r="F5462" s="3" t="s">
        <v>6225</v>
      </c>
      <c r="G5462" s="4" t="str">
        <f>HYPERLINK("https://diaocthongthai.com/xa-nghia-hoan-tan-ky/","Xã Nghĩa Hoàn")</f>
        <v>Xã Nghĩa Hoàn</v>
      </c>
    </row>
    <row r="5463" spans="1:7" x14ac:dyDescent="0.25">
      <c r="A5463" s="2">
        <v>5462</v>
      </c>
      <c r="B5463" s="3" t="s">
        <v>29</v>
      </c>
      <c r="C5463" s="4" t="str">
        <f t="shared" si="436"/>
        <v>Nghệ An</v>
      </c>
      <c r="D5463" s="3" t="s">
        <v>369</v>
      </c>
      <c r="E5463" s="4" t="str">
        <f t="shared" si="437"/>
        <v>Huyện Tân Kỳ</v>
      </c>
      <c r="F5463" s="3" t="s">
        <v>6226</v>
      </c>
      <c r="G5463" s="4" t="str">
        <f>HYPERLINK("https://diaocthongthai.com/xa-nghia-phuc-tan-ky/","Xã Nghĩa Phúc")</f>
        <v>Xã Nghĩa Phúc</v>
      </c>
    </row>
    <row r="5464" spans="1:7" x14ac:dyDescent="0.25">
      <c r="A5464" s="2">
        <v>5463</v>
      </c>
      <c r="B5464" s="3" t="s">
        <v>29</v>
      </c>
      <c r="C5464" s="4" t="str">
        <f t="shared" si="436"/>
        <v>Nghệ An</v>
      </c>
      <c r="D5464" s="3" t="s">
        <v>369</v>
      </c>
      <c r="E5464" s="4" t="str">
        <f t="shared" si="437"/>
        <v>Huyện Tân Kỳ</v>
      </c>
      <c r="F5464" s="3" t="s">
        <v>6227</v>
      </c>
      <c r="G5464" s="4" t="str">
        <f>HYPERLINK("https://diaocthongthai.com/xa-tien-ky-tan-ky/","Xã Tiên Kỳ")</f>
        <v>Xã Tiên Kỳ</v>
      </c>
    </row>
    <row r="5465" spans="1:7" x14ac:dyDescent="0.25">
      <c r="A5465" s="2">
        <v>5464</v>
      </c>
      <c r="B5465" s="3" t="s">
        <v>29</v>
      </c>
      <c r="C5465" s="4" t="str">
        <f t="shared" si="436"/>
        <v>Nghệ An</v>
      </c>
      <c r="D5465" s="3" t="s">
        <v>369</v>
      </c>
      <c r="E5465" s="4" t="str">
        <f t="shared" si="437"/>
        <v>Huyện Tân Kỳ</v>
      </c>
      <c r="F5465" s="3" t="s">
        <v>6228</v>
      </c>
      <c r="G5465" s="4" t="str">
        <f>HYPERLINK("https://diaocthongthai.com/xa-tan-an-tan-ky/","Xã Tân An")</f>
        <v>Xã Tân An</v>
      </c>
    </row>
    <row r="5466" spans="1:7" x14ac:dyDescent="0.25">
      <c r="A5466" s="2">
        <v>5465</v>
      </c>
      <c r="B5466" s="3" t="s">
        <v>29</v>
      </c>
      <c r="C5466" s="4" t="str">
        <f t="shared" si="436"/>
        <v>Nghệ An</v>
      </c>
      <c r="D5466" s="3" t="s">
        <v>369</v>
      </c>
      <c r="E5466" s="4" t="str">
        <f t="shared" si="437"/>
        <v>Huyện Tân Kỳ</v>
      </c>
      <c r="F5466" s="3" t="s">
        <v>6229</v>
      </c>
      <c r="G5466" s="4" t="str">
        <f>HYPERLINK("https://diaocthongthai.com/xa-nghia-dung-tan-ky/","Xã Nghĩa Dũng")</f>
        <v>Xã Nghĩa Dũng</v>
      </c>
    </row>
    <row r="5467" spans="1:7" x14ac:dyDescent="0.25">
      <c r="A5467" s="2">
        <v>5466</v>
      </c>
      <c r="B5467" s="3" t="s">
        <v>29</v>
      </c>
      <c r="C5467" s="4" t="str">
        <f t="shared" si="436"/>
        <v>Nghệ An</v>
      </c>
      <c r="D5467" s="3" t="s">
        <v>369</v>
      </c>
      <c r="E5467" s="4" t="str">
        <f t="shared" si="437"/>
        <v>Huyện Tân Kỳ</v>
      </c>
      <c r="F5467" s="3" t="s">
        <v>6230</v>
      </c>
      <c r="G5467" s="4" t="str">
        <f>HYPERLINK("https://diaocthongthai.com/xa-tan-long-tan-ky/","Xã Tân Long")</f>
        <v>Xã Tân Long</v>
      </c>
    </row>
    <row r="5468" spans="1:7" x14ac:dyDescent="0.25">
      <c r="A5468" s="2">
        <v>5467</v>
      </c>
      <c r="B5468" s="3" t="s">
        <v>29</v>
      </c>
      <c r="C5468" s="4" t="str">
        <f t="shared" si="436"/>
        <v>Nghệ An</v>
      </c>
      <c r="D5468" s="3" t="s">
        <v>369</v>
      </c>
      <c r="E5468" s="4" t="str">
        <f t="shared" si="437"/>
        <v>Huyện Tân Kỳ</v>
      </c>
      <c r="F5468" s="3" t="s">
        <v>6231</v>
      </c>
      <c r="G5468" s="4" t="str">
        <f>HYPERLINK("https://diaocthongthai.com/xa-ky-son-tan-ky/","Xã Kỳ Sơn")</f>
        <v>Xã Kỳ Sơn</v>
      </c>
    </row>
    <row r="5469" spans="1:7" x14ac:dyDescent="0.25">
      <c r="A5469" s="2">
        <v>5468</v>
      </c>
      <c r="B5469" s="3" t="s">
        <v>29</v>
      </c>
      <c r="C5469" s="4" t="str">
        <f t="shared" si="436"/>
        <v>Nghệ An</v>
      </c>
      <c r="D5469" s="3" t="s">
        <v>369</v>
      </c>
      <c r="E5469" s="4" t="str">
        <f t="shared" si="437"/>
        <v>Huyện Tân Kỳ</v>
      </c>
      <c r="F5469" s="3" t="s">
        <v>6232</v>
      </c>
      <c r="G5469" s="4" t="str">
        <f>HYPERLINK("https://diaocthongthai.com/xa-huong-son-tan-ky/","Xã Hương Sơn")</f>
        <v>Xã Hương Sơn</v>
      </c>
    </row>
    <row r="5470" spans="1:7" x14ac:dyDescent="0.25">
      <c r="A5470" s="2">
        <v>5469</v>
      </c>
      <c r="B5470" s="3" t="s">
        <v>29</v>
      </c>
      <c r="C5470" s="4" t="str">
        <f t="shared" si="436"/>
        <v>Nghệ An</v>
      </c>
      <c r="D5470" s="3" t="s">
        <v>369</v>
      </c>
      <c r="E5470" s="4" t="str">
        <f t="shared" si="437"/>
        <v>Huyện Tân Kỳ</v>
      </c>
      <c r="F5470" s="3" t="s">
        <v>6233</v>
      </c>
      <c r="G5470" s="4" t="str">
        <f>HYPERLINK("https://diaocthongthai.com/xa-ky-tan-tan-ky/","Xã Kỳ Tân")</f>
        <v>Xã Kỳ Tân</v>
      </c>
    </row>
    <row r="5471" spans="1:7" x14ac:dyDescent="0.25">
      <c r="A5471" s="2">
        <v>5470</v>
      </c>
      <c r="B5471" s="3" t="s">
        <v>29</v>
      </c>
      <c r="C5471" s="4" t="str">
        <f t="shared" si="436"/>
        <v>Nghệ An</v>
      </c>
      <c r="D5471" s="3" t="s">
        <v>369</v>
      </c>
      <c r="E5471" s="4" t="str">
        <f t="shared" si="437"/>
        <v>Huyện Tân Kỳ</v>
      </c>
      <c r="F5471" s="3" t="s">
        <v>6234</v>
      </c>
      <c r="G5471" s="4" t="str">
        <f>HYPERLINK("https://diaocthongthai.com/xa-phu-son-tan-ky/","Xã Phú Sơn")</f>
        <v>Xã Phú Sơn</v>
      </c>
    </row>
    <row r="5472" spans="1:7" x14ac:dyDescent="0.25">
      <c r="A5472" s="2">
        <v>5471</v>
      </c>
      <c r="B5472" s="3" t="s">
        <v>29</v>
      </c>
      <c r="C5472" s="4" t="str">
        <f t="shared" si="436"/>
        <v>Nghệ An</v>
      </c>
      <c r="D5472" s="3" t="s">
        <v>369</v>
      </c>
      <c r="E5472" s="4" t="str">
        <f t="shared" si="437"/>
        <v>Huyện Tân Kỳ</v>
      </c>
      <c r="F5472" s="3" t="s">
        <v>6235</v>
      </c>
      <c r="G5472" s="4" t="str">
        <f>HYPERLINK("https://diaocthongthai.com/xa-tan-huong-tan-ky/","Xã Tân Hương")</f>
        <v>Xã Tân Hương</v>
      </c>
    </row>
    <row r="5473" spans="1:7" x14ac:dyDescent="0.25">
      <c r="A5473" s="2">
        <v>5472</v>
      </c>
      <c r="B5473" s="3" t="s">
        <v>29</v>
      </c>
      <c r="C5473" s="4" t="str">
        <f t="shared" si="436"/>
        <v>Nghệ An</v>
      </c>
      <c r="D5473" s="3" t="s">
        <v>369</v>
      </c>
      <c r="E5473" s="4" t="str">
        <f t="shared" si="437"/>
        <v>Huyện Tân Kỳ</v>
      </c>
      <c r="F5473" s="3" t="s">
        <v>6236</v>
      </c>
      <c r="G5473" s="4" t="str">
        <f>HYPERLINK("https://diaocthongthai.com/xa-nghia-hanh-tan-ky/","Xã Nghĩa Hành")</f>
        <v>Xã Nghĩa Hành</v>
      </c>
    </row>
    <row r="5474" spans="1:7" x14ac:dyDescent="0.25">
      <c r="A5474" s="2">
        <v>5473</v>
      </c>
      <c r="B5474" s="3" t="s">
        <v>29</v>
      </c>
      <c r="C5474" s="4" t="str">
        <f t="shared" si="436"/>
        <v>Nghệ An</v>
      </c>
      <c r="D5474" s="3" t="s">
        <v>370</v>
      </c>
      <c r="E5474" s="4" t="str">
        <f t="shared" ref="E5474:E5494" si="438">HYPERLINK("https://diaocthongthai.com/ban-do-huyen-anh-son-nghe-an/","Huyện Anh Sơn")</f>
        <v>Huyện Anh Sơn</v>
      </c>
      <c r="F5474" s="3" t="s">
        <v>6237</v>
      </c>
      <c r="G5474" s="4" t="str">
        <f>HYPERLINK("https://diaocthongthai.com/thi-tran-anh-son-anh-son/","Thị trấn Anh Sơn")</f>
        <v>Thị trấn Anh Sơn</v>
      </c>
    </row>
    <row r="5475" spans="1:7" x14ac:dyDescent="0.25">
      <c r="A5475" s="2">
        <v>5474</v>
      </c>
      <c r="B5475" s="3" t="s">
        <v>29</v>
      </c>
      <c r="C5475" s="4" t="str">
        <f t="shared" si="436"/>
        <v>Nghệ An</v>
      </c>
      <c r="D5475" s="3" t="s">
        <v>370</v>
      </c>
      <c r="E5475" s="4" t="str">
        <f t="shared" si="438"/>
        <v>Huyện Anh Sơn</v>
      </c>
      <c r="F5475" s="3" t="s">
        <v>6238</v>
      </c>
      <c r="G5475" s="4" t="str">
        <f>HYPERLINK("https://diaocthongthai.com/xa-tho-son-anh-son/","Xã Thọ Sơn")</f>
        <v>Xã Thọ Sơn</v>
      </c>
    </row>
    <row r="5476" spans="1:7" x14ac:dyDescent="0.25">
      <c r="A5476" s="2">
        <v>5475</v>
      </c>
      <c r="B5476" s="3" t="s">
        <v>29</v>
      </c>
      <c r="C5476" s="4" t="str">
        <f t="shared" si="436"/>
        <v>Nghệ An</v>
      </c>
      <c r="D5476" s="3" t="s">
        <v>370</v>
      </c>
      <c r="E5476" s="4" t="str">
        <f t="shared" si="438"/>
        <v>Huyện Anh Sơn</v>
      </c>
      <c r="F5476" s="3" t="s">
        <v>6239</v>
      </c>
      <c r="G5476" s="4" t="str">
        <f>HYPERLINK("https://diaocthongthai.com/xa-thanh-son-anh-son/","Xã Thành Sơn")</f>
        <v>Xã Thành Sơn</v>
      </c>
    </row>
    <row r="5477" spans="1:7" x14ac:dyDescent="0.25">
      <c r="A5477" s="2">
        <v>5476</v>
      </c>
      <c r="B5477" s="3" t="s">
        <v>29</v>
      </c>
      <c r="C5477" s="4" t="str">
        <f t="shared" si="436"/>
        <v>Nghệ An</v>
      </c>
      <c r="D5477" s="3" t="s">
        <v>370</v>
      </c>
      <c r="E5477" s="4" t="str">
        <f t="shared" si="438"/>
        <v>Huyện Anh Sơn</v>
      </c>
      <c r="F5477" s="3" t="s">
        <v>6240</v>
      </c>
      <c r="G5477" s="4" t="str">
        <f>HYPERLINK("https://diaocthongthai.com/xa-binh-son-anh-son/","Xã Bình Sơn")</f>
        <v>Xã Bình Sơn</v>
      </c>
    </row>
    <row r="5478" spans="1:7" x14ac:dyDescent="0.25">
      <c r="A5478" s="2">
        <v>5477</v>
      </c>
      <c r="B5478" s="3" t="s">
        <v>29</v>
      </c>
      <c r="C5478" s="4" t="str">
        <f t="shared" si="436"/>
        <v>Nghệ An</v>
      </c>
      <c r="D5478" s="3" t="s">
        <v>370</v>
      </c>
      <c r="E5478" s="4" t="str">
        <f t="shared" si="438"/>
        <v>Huyện Anh Sơn</v>
      </c>
      <c r="F5478" s="3" t="s">
        <v>6241</v>
      </c>
      <c r="G5478" s="4" t="str">
        <f>HYPERLINK("https://diaocthongthai.com/xa-tam-son-anh-son/","Xã Tam Sơn")</f>
        <v>Xã Tam Sơn</v>
      </c>
    </row>
    <row r="5479" spans="1:7" x14ac:dyDescent="0.25">
      <c r="A5479" s="2">
        <v>5478</v>
      </c>
      <c r="B5479" s="3" t="s">
        <v>29</v>
      </c>
      <c r="C5479" s="4" t="str">
        <f t="shared" si="436"/>
        <v>Nghệ An</v>
      </c>
      <c r="D5479" s="3" t="s">
        <v>370</v>
      </c>
      <c r="E5479" s="4" t="str">
        <f t="shared" si="438"/>
        <v>Huyện Anh Sơn</v>
      </c>
      <c r="F5479" s="3" t="s">
        <v>6242</v>
      </c>
      <c r="G5479" s="4" t="str">
        <f>HYPERLINK("https://diaocthongthai.com/xa-dinh-son-anh-son/","Xã Đỉnh Sơn")</f>
        <v>Xã Đỉnh Sơn</v>
      </c>
    </row>
    <row r="5480" spans="1:7" x14ac:dyDescent="0.25">
      <c r="A5480" s="2">
        <v>5479</v>
      </c>
      <c r="B5480" s="3" t="s">
        <v>29</v>
      </c>
      <c r="C5480" s="4" t="str">
        <f t="shared" si="436"/>
        <v>Nghệ An</v>
      </c>
      <c r="D5480" s="3" t="s">
        <v>370</v>
      </c>
      <c r="E5480" s="4" t="str">
        <f t="shared" si="438"/>
        <v>Huyện Anh Sơn</v>
      </c>
      <c r="F5480" s="3" t="s">
        <v>6243</v>
      </c>
      <c r="G5480" s="4" t="str">
        <f>HYPERLINK("https://diaocthongthai.com/xa-hung-son-anh-son/","Xã Hùng Sơn")</f>
        <v>Xã Hùng Sơn</v>
      </c>
    </row>
    <row r="5481" spans="1:7" x14ac:dyDescent="0.25">
      <c r="A5481" s="2">
        <v>5480</v>
      </c>
      <c r="B5481" s="3" t="s">
        <v>29</v>
      </c>
      <c r="C5481" s="4" t="str">
        <f t="shared" si="436"/>
        <v>Nghệ An</v>
      </c>
      <c r="D5481" s="3" t="s">
        <v>370</v>
      </c>
      <c r="E5481" s="4" t="str">
        <f t="shared" si="438"/>
        <v>Huyện Anh Sơn</v>
      </c>
      <c r="F5481" s="3" t="s">
        <v>6244</v>
      </c>
      <c r="G5481" s="4" t="str">
        <f>HYPERLINK("https://diaocthongthai.com/xa-cam-son-anh-son/","Xã Cẩm Sơn")</f>
        <v>Xã Cẩm Sơn</v>
      </c>
    </row>
    <row r="5482" spans="1:7" x14ac:dyDescent="0.25">
      <c r="A5482" s="2">
        <v>5481</v>
      </c>
      <c r="B5482" s="3" t="s">
        <v>29</v>
      </c>
      <c r="C5482" s="4" t="str">
        <f t="shared" si="436"/>
        <v>Nghệ An</v>
      </c>
      <c r="D5482" s="3" t="s">
        <v>370</v>
      </c>
      <c r="E5482" s="4" t="str">
        <f t="shared" si="438"/>
        <v>Huyện Anh Sơn</v>
      </c>
      <c r="F5482" s="3" t="s">
        <v>6245</v>
      </c>
      <c r="G5482" s="4" t="str">
        <f>HYPERLINK("https://diaocthongthai.com/xa-duc-son-anh-son/","Xã Đức Sơn")</f>
        <v>Xã Đức Sơn</v>
      </c>
    </row>
    <row r="5483" spans="1:7" x14ac:dyDescent="0.25">
      <c r="A5483" s="2">
        <v>5482</v>
      </c>
      <c r="B5483" s="3" t="s">
        <v>29</v>
      </c>
      <c r="C5483" s="4" t="str">
        <f t="shared" si="436"/>
        <v>Nghệ An</v>
      </c>
      <c r="D5483" s="3" t="s">
        <v>370</v>
      </c>
      <c r="E5483" s="4" t="str">
        <f t="shared" si="438"/>
        <v>Huyện Anh Sơn</v>
      </c>
      <c r="F5483" s="3" t="s">
        <v>6246</v>
      </c>
      <c r="G5483" s="4" t="str">
        <f>HYPERLINK("https://diaocthongthai.com/xa-tuong-son-anh-son/","Xã Tường Sơn")</f>
        <v>Xã Tường Sơn</v>
      </c>
    </row>
    <row r="5484" spans="1:7" x14ac:dyDescent="0.25">
      <c r="A5484" s="2">
        <v>5483</v>
      </c>
      <c r="B5484" s="3" t="s">
        <v>29</v>
      </c>
      <c r="C5484" s="4" t="str">
        <f t="shared" si="436"/>
        <v>Nghệ An</v>
      </c>
      <c r="D5484" s="3" t="s">
        <v>370</v>
      </c>
      <c r="E5484" s="4" t="str">
        <f t="shared" si="438"/>
        <v>Huyện Anh Sơn</v>
      </c>
      <c r="F5484" s="3" t="s">
        <v>6247</v>
      </c>
      <c r="G5484" s="4" t="str">
        <f>HYPERLINK("https://diaocthongthai.com/xa-hoa-son-anh-son/","Xã Hoa Sơn")</f>
        <v>Xã Hoa Sơn</v>
      </c>
    </row>
    <row r="5485" spans="1:7" x14ac:dyDescent="0.25">
      <c r="A5485" s="2">
        <v>5484</v>
      </c>
      <c r="B5485" s="3" t="s">
        <v>29</v>
      </c>
      <c r="C5485" s="4" t="str">
        <f t="shared" si="436"/>
        <v>Nghệ An</v>
      </c>
      <c r="D5485" s="3" t="s">
        <v>370</v>
      </c>
      <c r="E5485" s="4" t="str">
        <f t="shared" si="438"/>
        <v>Huyện Anh Sơn</v>
      </c>
      <c r="F5485" s="3" t="s">
        <v>6248</v>
      </c>
      <c r="G5485" s="4" t="str">
        <f>HYPERLINK("https://diaocthongthai.com/xa-tao-son-anh-son/","Xã Tào Sơn")</f>
        <v>Xã Tào Sơn</v>
      </c>
    </row>
    <row r="5486" spans="1:7" x14ac:dyDescent="0.25">
      <c r="A5486" s="2">
        <v>5485</v>
      </c>
      <c r="B5486" s="3" t="s">
        <v>29</v>
      </c>
      <c r="C5486" s="4" t="str">
        <f t="shared" si="436"/>
        <v>Nghệ An</v>
      </c>
      <c r="D5486" s="3" t="s">
        <v>370</v>
      </c>
      <c r="E5486" s="4" t="str">
        <f t="shared" si="438"/>
        <v>Huyện Anh Sơn</v>
      </c>
      <c r="F5486" s="3" t="s">
        <v>6249</v>
      </c>
      <c r="G5486" s="4" t="str">
        <f>HYPERLINK("https://diaocthongthai.com/xa-vinh-son-anh-son/","Xã Vĩnh Sơn")</f>
        <v>Xã Vĩnh Sơn</v>
      </c>
    </row>
    <row r="5487" spans="1:7" x14ac:dyDescent="0.25">
      <c r="A5487" s="2">
        <v>5486</v>
      </c>
      <c r="B5487" s="3" t="s">
        <v>29</v>
      </c>
      <c r="C5487" s="4" t="str">
        <f t="shared" si="436"/>
        <v>Nghệ An</v>
      </c>
      <c r="D5487" s="3" t="s">
        <v>370</v>
      </c>
      <c r="E5487" s="4" t="str">
        <f t="shared" si="438"/>
        <v>Huyện Anh Sơn</v>
      </c>
      <c r="F5487" s="3" t="s">
        <v>6250</v>
      </c>
      <c r="G5487" s="4" t="str">
        <f>HYPERLINK("https://diaocthongthai.com/xa-lang-son-anh-son/","Xã Lạng Sơn")</f>
        <v>Xã Lạng Sơn</v>
      </c>
    </row>
    <row r="5488" spans="1:7" x14ac:dyDescent="0.25">
      <c r="A5488" s="2">
        <v>5487</v>
      </c>
      <c r="B5488" s="3" t="s">
        <v>29</v>
      </c>
      <c r="C5488" s="4" t="str">
        <f t="shared" si="436"/>
        <v>Nghệ An</v>
      </c>
      <c r="D5488" s="3" t="s">
        <v>370</v>
      </c>
      <c r="E5488" s="4" t="str">
        <f t="shared" si="438"/>
        <v>Huyện Anh Sơn</v>
      </c>
      <c r="F5488" s="3" t="s">
        <v>6251</v>
      </c>
      <c r="G5488" s="4" t="str">
        <f>HYPERLINK("https://diaocthongthai.com/xa-hoi-son-anh-son/","Xã Hội Sơn")</f>
        <v>Xã Hội Sơn</v>
      </c>
    </row>
    <row r="5489" spans="1:7" x14ac:dyDescent="0.25">
      <c r="A5489" s="2">
        <v>5488</v>
      </c>
      <c r="B5489" s="3" t="s">
        <v>29</v>
      </c>
      <c r="C5489" s="4" t="str">
        <f t="shared" si="436"/>
        <v>Nghệ An</v>
      </c>
      <c r="D5489" s="3" t="s">
        <v>370</v>
      </c>
      <c r="E5489" s="4" t="str">
        <f t="shared" si="438"/>
        <v>Huyện Anh Sơn</v>
      </c>
      <c r="F5489" s="3" t="s">
        <v>6252</v>
      </c>
      <c r="G5489" s="4" t="str">
        <f>HYPERLINK("https://diaocthongthai.com/xa-thach-son-anh-son/","Xã Thạch Sơn")</f>
        <v>Xã Thạch Sơn</v>
      </c>
    </row>
    <row r="5490" spans="1:7" x14ac:dyDescent="0.25">
      <c r="A5490" s="2">
        <v>5489</v>
      </c>
      <c r="B5490" s="3" t="s">
        <v>29</v>
      </c>
      <c r="C5490" s="4" t="str">
        <f t="shared" si="436"/>
        <v>Nghệ An</v>
      </c>
      <c r="D5490" s="3" t="s">
        <v>370</v>
      </c>
      <c r="E5490" s="4" t="str">
        <f t="shared" si="438"/>
        <v>Huyện Anh Sơn</v>
      </c>
      <c r="F5490" s="3" t="s">
        <v>6253</v>
      </c>
      <c r="G5490" s="4" t="str">
        <f>HYPERLINK("https://diaocthongthai.com/xa-phuc-son-anh-son/","Xã Phúc Sơn")</f>
        <v>Xã Phúc Sơn</v>
      </c>
    </row>
    <row r="5491" spans="1:7" x14ac:dyDescent="0.25">
      <c r="A5491" s="2">
        <v>5490</v>
      </c>
      <c r="B5491" s="3" t="s">
        <v>29</v>
      </c>
      <c r="C5491" s="4" t="str">
        <f t="shared" si="436"/>
        <v>Nghệ An</v>
      </c>
      <c r="D5491" s="3" t="s">
        <v>370</v>
      </c>
      <c r="E5491" s="4" t="str">
        <f t="shared" si="438"/>
        <v>Huyện Anh Sơn</v>
      </c>
      <c r="F5491" s="3" t="s">
        <v>6254</v>
      </c>
      <c r="G5491" s="4" t="str">
        <f>HYPERLINK("https://diaocthongthai.com/xa-long-son-anh-son/","Xã Long Sơn")</f>
        <v>Xã Long Sơn</v>
      </c>
    </row>
    <row r="5492" spans="1:7" x14ac:dyDescent="0.25">
      <c r="A5492" s="2">
        <v>5491</v>
      </c>
      <c r="B5492" s="3" t="s">
        <v>29</v>
      </c>
      <c r="C5492" s="4" t="str">
        <f t="shared" si="436"/>
        <v>Nghệ An</v>
      </c>
      <c r="D5492" s="3" t="s">
        <v>370</v>
      </c>
      <c r="E5492" s="4" t="str">
        <f t="shared" si="438"/>
        <v>Huyện Anh Sơn</v>
      </c>
      <c r="F5492" s="3" t="s">
        <v>6255</v>
      </c>
      <c r="G5492" s="4" t="str">
        <f>HYPERLINK("https://diaocthongthai.com/xa-khai-son-anh-son/","Xã Khai Sơn")</f>
        <v>Xã Khai Sơn</v>
      </c>
    </row>
    <row r="5493" spans="1:7" x14ac:dyDescent="0.25">
      <c r="A5493" s="2">
        <v>5492</v>
      </c>
      <c r="B5493" s="3" t="s">
        <v>29</v>
      </c>
      <c r="C5493" s="4" t="str">
        <f t="shared" si="436"/>
        <v>Nghệ An</v>
      </c>
      <c r="D5493" s="3" t="s">
        <v>370</v>
      </c>
      <c r="E5493" s="4" t="str">
        <f t="shared" si="438"/>
        <v>Huyện Anh Sơn</v>
      </c>
      <c r="F5493" s="3" t="s">
        <v>6256</v>
      </c>
      <c r="G5493" s="4" t="str">
        <f>HYPERLINK("https://diaocthongthai.com/xa-linh-son-anh-son/","Xã Lĩnh Sơn")</f>
        <v>Xã Lĩnh Sơn</v>
      </c>
    </row>
    <row r="5494" spans="1:7" x14ac:dyDescent="0.25">
      <c r="A5494" s="2">
        <v>5493</v>
      </c>
      <c r="B5494" s="3" t="s">
        <v>29</v>
      </c>
      <c r="C5494" s="4" t="str">
        <f t="shared" si="436"/>
        <v>Nghệ An</v>
      </c>
      <c r="D5494" s="3" t="s">
        <v>370</v>
      </c>
      <c r="E5494" s="4" t="str">
        <f t="shared" si="438"/>
        <v>Huyện Anh Sơn</v>
      </c>
      <c r="F5494" s="3" t="s">
        <v>6257</v>
      </c>
      <c r="G5494" s="4" t="str">
        <f>HYPERLINK("https://diaocthongthai.com/xa-cao-son-anh-son/","Xã Cao Sơn")</f>
        <v>Xã Cao Sơn</v>
      </c>
    </row>
    <row r="5495" spans="1:7" x14ac:dyDescent="0.25">
      <c r="A5495" s="2">
        <v>5494</v>
      </c>
      <c r="B5495" s="3" t="s">
        <v>29</v>
      </c>
      <c r="C5495" s="4" t="str">
        <f t="shared" si="436"/>
        <v>Nghệ An</v>
      </c>
      <c r="D5495" s="3" t="s">
        <v>371</v>
      </c>
      <c r="E5495" s="4" t="str">
        <f t="shared" ref="E5495:E5531" si="439">HYPERLINK("https://diaocthongthai.com/ban-do-huyen-dien-chau-nghe-an/","Huyện Diễn Châu")</f>
        <v>Huyện Diễn Châu</v>
      </c>
      <c r="F5495" s="3" t="s">
        <v>6258</v>
      </c>
      <c r="G5495" s="4" t="str">
        <f>HYPERLINK("https://diaocthongthai.com/thi-tran-dien-chau-dien-chau/","Thị trấn Diễn Châu")</f>
        <v>Thị trấn Diễn Châu</v>
      </c>
    </row>
    <row r="5496" spans="1:7" x14ac:dyDescent="0.25">
      <c r="A5496" s="2">
        <v>5495</v>
      </c>
      <c r="B5496" s="3" t="s">
        <v>29</v>
      </c>
      <c r="C5496" s="4" t="str">
        <f t="shared" si="436"/>
        <v>Nghệ An</v>
      </c>
      <c r="D5496" s="3" t="s">
        <v>371</v>
      </c>
      <c r="E5496" s="4" t="str">
        <f t="shared" si="439"/>
        <v>Huyện Diễn Châu</v>
      </c>
      <c r="F5496" s="3" t="s">
        <v>6259</v>
      </c>
      <c r="G5496" s="4" t="str">
        <f>HYPERLINK("https://diaocthongthai.com/xa-dien-lam-dien-chau/","Xã Diễn Lâm")</f>
        <v>Xã Diễn Lâm</v>
      </c>
    </row>
    <row r="5497" spans="1:7" x14ac:dyDescent="0.25">
      <c r="A5497" s="2">
        <v>5496</v>
      </c>
      <c r="B5497" s="3" t="s">
        <v>29</v>
      </c>
      <c r="C5497" s="4" t="str">
        <f t="shared" si="436"/>
        <v>Nghệ An</v>
      </c>
      <c r="D5497" s="3" t="s">
        <v>371</v>
      </c>
      <c r="E5497" s="4" t="str">
        <f t="shared" si="439"/>
        <v>Huyện Diễn Châu</v>
      </c>
      <c r="F5497" s="3" t="s">
        <v>6260</v>
      </c>
      <c r="G5497" s="4" t="str">
        <f>HYPERLINK("https://diaocthongthai.com/xa-dien-doai-dien-chau/","Xã Diễn Đoài")</f>
        <v>Xã Diễn Đoài</v>
      </c>
    </row>
    <row r="5498" spans="1:7" x14ac:dyDescent="0.25">
      <c r="A5498" s="2">
        <v>5497</v>
      </c>
      <c r="B5498" s="3" t="s">
        <v>29</v>
      </c>
      <c r="C5498" s="4" t="str">
        <f t="shared" si="436"/>
        <v>Nghệ An</v>
      </c>
      <c r="D5498" s="3" t="s">
        <v>371</v>
      </c>
      <c r="E5498" s="4" t="str">
        <f t="shared" si="439"/>
        <v>Huyện Diễn Châu</v>
      </c>
      <c r="F5498" s="3" t="s">
        <v>6261</v>
      </c>
      <c r="G5498" s="4" t="str">
        <f>HYPERLINK("https://diaocthongthai.com/xa-dien-truong-dien-chau/","Xã Diễn Trường")</f>
        <v>Xã Diễn Trường</v>
      </c>
    </row>
    <row r="5499" spans="1:7" x14ac:dyDescent="0.25">
      <c r="A5499" s="2">
        <v>5498</v>
      </c>
      <c r="B5499" s="3" t="s">
        <v>29</v>
      </c>
      <c r="C5499" s="4" t="str">
        <f t="shared" si="436"/>
        <v>Nghệ An</v>
      </c>
      <c r="D5499" s="3" t="s">
        <v>371</v>
      </c>
      <c r="E5499" s="4" t="str">
        <f t="shared" si="439"/>
        <v>Huyện Diễn Châu</v>
      </c>
      <c r="F5499" s="3" t="s">
        <v>6262</v>
      </c>
      <c r="G5499" s="4" t="str">
        <f>HYPERLINK("https://diaocthongthai.com/xa-dien-yen-dien-chau/","Xã Diễn Yên")</f>
        <v>Xã Diễn Yên</v>
      </c>
    </row>
    <row r="5500" spans="1:7" x14ac:dyDescent="0.25">
      <c r="A5500" s="2">
        <v>5499</v>
      </c>
      <c r="B5500" s="3" t="s">
        <v>29</v>
      </c>
      <c r="C5500" s="4" t="str">
        <f t="shared" si="436"/>
        <v>Nghệ An</v>
      </c>
      <c r="D5500" s="3" t="s">
        <v>371</v>
      </c>
      <c r="E5500" s="4" t="str">
        <f t="shared" si="439"/>
        <v>Huyện Diễn Châu</v>
      </c>
      <c r="F5500" s="3" t="s">
        <v>6263</v>
      </c>
      <c r="G5500" s="4" t="str">
        <f>HYPERLINK("https://diaocthongthai.com/xa-dien-hoang-dien-chau/","Xã Diễn Hoàng")</f>
        <v>Xã Diễn Hoàng</v>
      </c>
    </row>
    <row r="5501" spans="1:7" x14ac:dyDescent="0.25">
      <c r="A5501" s="2">
        <v>5500</v>
      </c>
      <c r="B5501" s="3" t="s">
        <v>29</v>
      </c>
      <c r="C5501" s="4" t="str">
        <f t="shared" si="436"/>
        <v>Nghệ An</v>
      </c>
      <c r="D5501" s="3" t="s">
        <v>371</v>
      </c>
      <c r="E5501" s="4" t="str">
        <f t="shared" si="439"/>
        <v>Huyện Diễn Châu</v>
      </c>
      <c r="F5501" s="3" t="s">
        <v>6264</v>
      </c>
      <c r="G5501" s="4" t="str">
        <f>HYPERLINK("https://diaocthongthai.com/xa-dien-hung-dien-chau/","Xã Diễn Hùng")</f>
        <v>Xã Diễn Hùng</v>
      </c>
    </row>
    <row r="5502" spans="1:7" x14ac:dyDescent="0.25">
      <c r="A5502" s="2">
        <v>5501</v>
      </c>
      <c r="B5502" s="3" t="s">
        <v>29</v>
      </c>
      <c r="C5502" s="4" t="str">
        <f t="shared" si="436"/>
        <v>Nghệ An</v>
      </c>
      <c r="D5502" s="3" t="s">
        <v>371</v>
      </c>
      <c r="E5502" s="4" t="str">
        <f t="shared" si="439"/>
        <v>Huyện Diễn Châu</v>
      </c>
      <c r="F5502" s="3" t="s">
        <v>6265</v>
      </c>
      <c r="G5502" s="4" t="str">
        <f>HYPERLINK("https://diaocthongthai.com/xa-dien-my-dien-chau/","Xã Diễn Mỹ")</f>
        <v>Xã Diễn Mỹ</v>
      </c>
    </row>
    <row r="5503" spans="1:7" x14ac:dyDescent="0.25">
      <c r="A5503" s="2">
        <v>5502</v>
      </c>
      <c r="B5503" s="3" t="s">
        <v>29</v>
      </c>
      <c r="C5503" s="4" t="str">
        <f t="shared" si="436"/>
        <v>Nghệ An</v>
      </c>
      <c r="D5503" s="3" t="s">
        <v>371</v>
      </c>
      <c r="E5503" s="4" t="str">
        <f t="shared" si="439"/>
        <v>Huyện Diễn Châu</v>
      </c>
      <c r="F5503" s="3" t="s">
        <v>6266</v>
      </c>
      <c r="G5503" s="4" t="str">
        <f>HYPERLINK("https://diaocthongthai.com/xa-dien-hong-dien-chau/","Xã Diễn Hồng")</f>
        <v>Xã Diễn Hồng</v>
      </c>
    </row>
    <row r="5504" spans="1:7" x14ac:dyDescent="0.25">
      <c r="A5504" s="2">
        <v>5503</v>
      </c>
      <c r="B5504" s="3" t="s">
        <v>29</v>
      </c>
      <c r="C5504" s="4" t="str">
        <f t="shared" si="436"/>
        <v>Nghệ An</v>
      </c>
      <c r="D5504" s="3" t="s">
        <v>371</v>
      </c>
      <c r="E5504" s="4" t="str">
        <f t="shared" si="439"/>
        <v>Huyện Diễn Châu</v>
      </c>
      <c r="F5504" s="3" t="s">
        <v>6267</v>
      </c>
      <c r="G5504" s="4" t="str">
        <f>HYPERLINK("https://diaocthongthai.com/xa-dien-phong-dien-chau/","Xã Diễn Phong")</f>
        <v>Xã Diễn Phong</v>
      </c>
    </row>
    <row r="5505" spans="1:7" x14ac:dyDescent="0.25">
      <c r="A5505" s="2">
        <v>5504</v>
      </c>
      <c r="B5505" s="3" t="s">
        <v>29</v>
      </c>
      <c r="C5505" s="4" t="str">
        <f t="shared" si="436"/>
        <v>Nghệ An</v>
      </c>
      <c r="D5505" s="3" t="s">
        <v>371</v>
      </c>
      <c r="E5505" s="4" t="str">
        <f t="shared" si="439"/>
        <v>Huyện Diễn Châu</v>
      </c>
      <c r="F5505" s="3" t="s">
        <v>6268</v>
      </c>
      <c r="G5505" s="4" t="str">
        <f>HYPERLINK("https://diaocthongthai.com/xa-dien-hai-dien-chau/","Xã Diễn Hải")</f>
        <v>Xã Diễn Hải</v>
      </c>
    </row>
    <row r="5506" spans="1:7" x14ac:dyDescent="0.25">
      <c r="A5506" s="2">
        <v>5505</v>
      </c>
      <c r="B5506" s="3" t="s">
        <v>29</v>
      </c>
      <c r="C5506" s="4" t="str">
        <f t="shared" si="436"/>
        <v>Nghệ An</v>
      </c>
      <c r="D5506" s="3" t="s">
        <v>371</v>
      </c>
      <c r="E5506" s="4" t="str">
        <f t="shared" si="439"/>
        <v>Huyện Diễn Châu</v>
      </c>
      <c r="F5506" s="3" t="s">
        <v>6269</v>
      </c>
      <c r="G5506" s="4" t="str">
        <f>HYPERLINK("https://diaocthongthai.com/xa-dien-thap-dien-chau/","Xã Diễn Tháp")</f>
        <v>Xã Diễn Tháp</v>
      </c>
    </row>
    <row r="5507" spans="1:7" x14ac:dyDescent="0.25">
      <c r="A5507" s="2">
        <v>5506</v>
      </c>
      <c r="B5507" s="3" t="s">
        <v>29</v>
      </c>
      <c r="C5507" s="4" t="str">
        <f t="shared" si="436"/>
        <v>Nghệ An</v>
      </c>
      <c r="D5507" s="3" t="s">
        <v>371</v>
      </c>
      <c r="E5507" s="4" t="str">
        <f t="shared" si="439"/>
        <v>Huyện Diễn Châu</v>
      </c>
      <c r="F5507" s="3" t="s">
        <v>6270</v>
      </c>
      <c r="G5507" s="4" t="str">
        <f>HYPERLINK("https://diaocthongthai.com/xa-dien-lien-dien-chau/","Xã Diễn Liên")</f>
        <v>Xã Diễn Liên</v>
      </c>
    </row>
    <row r="5508" spans="1:7" x14ac:dyDescent="0.25">
      <c r="A5508" s="2">
        <v>5507</v>
      </c>
      <c r="B5508" s="3" t="s">
        <v>29</v>
      </c>
      <c r="C5508" s="4" t="str">
        <f t="shared" si="436"/>
        <v>Nghệ An</v>
      </c>
      <c r="D5508" s="3" t="s">
        <v>371</v>
      </c>
      <c r="E5508" s="4" t="str">
        <f t="shared" si="439"/>
        <v>Huyện Diễn Châu</v>
      </c>
      <c r="F5508" s="3" t="s">
        <v>6271</v>
      </c>
      <c r="G5508" s="4" t="str">
        <f>HYPERLINK("https://diaocthongthai.com/xa-dien-van-dien-chau/","Xã Diễn Vạn")</f>
        <v>Xã Diễn Vạn</v>
      </c>
    </row>
    <row r="5509" spans="1:7" x14ac:dyDescent="0.25">
      <c r="A5509" s="2">
        <v>5508</v>
      </c>
      <c r="B5509" s="3" t="s">
        <v>29</v>
      </c>
      <c r="C5509" s="4" t="str">
        <f t="shared" si="436"/>
        <v>Nghệ An</v>
      </c>
      <c r="D5509" s="3" t="s">
        <v>371</v>
      </c>
      <c r="E5509" s="4" t="str">
        <f t="shared" si="439"/>
        <v>Huyện Diễn Châu</v>
      </c>
      <c r="F5509" s="3" t="s">
        <v>6272</v>
      </c>
      <c r="G5509" s="4" t="str">
        <f>HYPERLINK("https://diaocthongthai.com/xa-dien-kim-dien-chau/","Xã Diễn Kim")</f>
        <v>Xã Diễn Kim</v>
      </c>
    </row>
    <row r="5510" spans="1:7" x14ac:dyDescent="0.25">
      <c r="A5510" s="2">
        <v>5509</v>
      </c>
      <c r="B5510" s="3" t="s">
        <v>29</v>
      </c>
      <c r="C5510" s="4" t="str">
        <f t="shared" si="436"/>
        <v>Nghệ An</v>
      </c>
      <c r="D5510" s="3" t="s">
        <v>371</v>
      </c>
      <c r="E5510" s="4" t="str">
        <f t="shared" si="439"/>
        <v>Huyện Diễn Châu</v>
      </c>
      <c r="F5510" s="3" t="s">
        <v>6273</v>
      </c>
      <c r="G5510" s="4" t="str">
        <f>HYPERLINK("https://diaocthongthai.com/xa-dien-ky-dien-chau/","Xã Diễn Kỷ")</f>
        <v>Xã Diễn Kỷ</v>
      </c>
    </row>
    <row r="5511" spans="1:7" x14ac:dyDescent="0.25">
      <c r="A5511" s="2">
        <v>5510</v>
      </c>
      <c r="B5511" s="3" t="s">
        <v>29</v>
      </c>
      <c r="C5511" s="4" t="str">
        <f t="shared" si="436"/>
        <v>Nghệ An</v>
      </c>
      <c r="D5511" s="3" t="s">
        <v>371</v>
      </c>
      <c r="E5511" s="4" t="str">
        <f t="shared" si="439"/>
        <v>Huyện Diễn Châu</v>
      </c>
      <c r="F5511" s="3" t="s">
        <v>6274</v>
      </c>
      <c r="G5511" s="4" t="str">
        <f>HYPERLINK("https://diaocthongthai.com/xa-dien-xuan-dien-chau/","Xã Diễn Xuân")</f>
        <v>Xã Diễn Xuân</v>
      </c>
    </row>
    <row r="5512" spans="1:7" x14ac:dyDescent="0.25">
      <c r="A5512" s="2">
        <v>5511</v>
      </c>
      <c r="B5512" s="3" t="s">
        <v>29</v>
      </c>
      <c r="C5512" s="4" t="str">
        <f t="shared" si="436"/>
        <v>Nghệ An</v>
      </c>
      <c r="D5512" s="3" t="s">
        <v>371</v>
      </c>
      <c r="E5512" s="4" t="str">
        <f t="shared" si="439"/>
        <v>Huyện Diễn Châu</v>
      </c>
      <c r="F5512" s="3" t="s">
        <v>6275</v>
      </c>
      <c r="G5512" s="4" t="str">
        <f>HYPERLINK("https://diaocthongthai.com/xa-dien-thai-dien-chau/","Xã Diễn Thái")</f>
        <v>Xã Diễn Thái</v>
      </c>
    </row>
    <row r="5513" spans="1:7" x14ac:dyDescent="0.25">
      <c r="A5513" s="2">
        <v>5512</v>
      </c>
      <c r="B5513" s="3" t="s">
        <v>29</v>
      </c>
      <c r="C5513" s="4" t="str">
        <f t="shared" si="436"/>
        <v>Nghệ An</v>
      </c>
      <c r="D5513" s="3" t="s">
        <v>371</v>
      </c>
      <c r="E5513" s="4" t="str">
        <f t="shared" si="439"/>
        <v>Huyện Diễn Châu</v>
      </c>
      <c r="F5513" s="3" t="s">
        <v>6276</v>
      </c>
      <c r="G5513" s="4" t="str">
        <f>HYPERLINK("https://diaocthongthai.com/xa-dien-dong-dien-chau/","Xã Diễn Đồng")</f>
        <v>Xã Diễn Đồng</v>
      </c>
    </row>
    <row r="5514" spans="1:7" x14ac:dyDescent="0.25">
      <c r="A5514" s="2">
        <v>5513</v>
      </c>
      <c r="B5514" s="3" t="s">
        <v>29</v>
      </c>
      <c r="C5514" s="4" t="str">
        <f t="shared" ref="C5514:C5577" si="440">HYPERLINK("https://diaocthongthai.com/ban-do-nghe-an/","Nghệ An")</f>
        <v>Nghệ An</v>
      </c>
      <c r="D5514" s="3" t="s">
        <v>371</v>
      </c>
      <c r="E5514" s="4" t="str">
        <f t="shared" si="439"/>
        <v>Huyện Diễn Châu</v>
      </c>
      <c r="F5514" s="3" t="s">
        <v>6277</v>
      </c>
      <c r="G5514" s="4" t="str">
        <f>HYPERLINK("https://diaocthongthai.com/xa-dien-bich-dien-chau/","Xã Diễn Bích")</f>
        <v>Xã Diễn Bích</v>
      </c>
    </row>
    <row r="5515" spans="1:7" x14ac:dyDescent="0.25">
      <c r="A5515" s="2">
        <v>5514</v>
      </c>
      <c r="B5515" s="3" t="s">
        <v>29</v>
      </c>
      <c r="C5515" s="4" t="str">
        <f t="shared" si="440"/>
        <v>Nghệ An</v>
      </c>
      <c r="D5515" s="3" t="s">
        <v>371</v>
      </c>
      <c r="E5515" s="4" t="str">
        <f t="shared" si="439"/>
        <v>Huyện Diễn Châu</v>
      </c>
      <c r="F5515" s="3" t="s">
        <v>6278</v>
      </c>
      <c r="G5515" s="4" t="str">
        <f>HYPERLINK("https://diaocthongthai.com/xa-dien-hanh-dien-chau/","Xã Diễn Hạnh")</f>
        <v>Xã Diễn Hạnh</v>
      </c>
    </row>
    <row r="5516" spans="1:7" x14ac:dyDescent="0.25">
      <c r="A5516" s="2">
        <v>5515</v>
      </c>
      <c r="B5516" s="3" t="s">
        <v>29</v>
      </c>
      <c r="C5516" s="4" t="str">
        <f t="shared" si="440"/>
        <v>Nghệ An</v>
      </c>
      <c r="D5516" s="3" t="s">
        <v>371</v>
      </c>
      <c r="E5516" s="4" t="str">
        <f t="shared" si="439"/>
        <v>Huyện Diễn Châu</v>
      </c>
      <c r="F5516" s="3" t="s">
        <v>6279</v>
      </c>
      <c r="G5516" s="4" t="str">
        <f>HYPERLINK("https://diaocthongthai.com/xa-dien-ngoc-dien-chau/","Xã Diễn Ngọc")</f>
        <v>Xã Diễn Ngọc</v>
      </c>
    </row>
    <row r="5517" spans="1:7" x14ac:dyDescent="0.25">
      <c r="A5517" s="2">
        <v>5516</v>
      </c>
      <c r="B5517" s="3" t="s">
        <v>29</v>
      </c>
      <c r="C5517" s="4" t="str">
        <f t="shared" si="440"/>
        <v>Nghệ An</v>
      </c>
      <c r="D5517" s="3" t="s">
        <v>371</v>
      </c>
      <c r="E5517" s="4" t="str">
        <f t="shared" si="439"/>
        <v>Huyện Diễn Châu</v>
      </c>
      <c r="F5517" s="3" t="s">
        <v>6280</v>
      </c>
      <c r="G5517" s="4" t="str">
        <f>HYPERLINK("https://diaocthongthai.com/xa-dien-quang-dien-chau/","Xã Diễn Quảng")</f>
        <v>Xã Diễn Quảng</v>
      </c>
    </row>
    <row r="5518" spans="1:7" x14ac:dyDescent="0.25">
      <c r="A5518" s="2">
        <v>5517</v>
      </c>
      <c r="B5518" s="3" t="s">
        <v>29</v>
      </c>
      <c r="C5518" s="4" t="str">
        <f t="shared" si="440"/>
        <v>Nghệ An</v>
      </c>
      <c r="D5518" s="3" t="s">
        <v>371</v>
      </c>
      <c r="E5518" s="4" t="str">
        <f t="shared" si="439"/>
        <v>Huyện Diễn Châu</v>
      </c>
      <c r="F5518" s="3" t="s">
        <v>6281</v>
      </c>
      <c r="G5518" s="4" t="str">
        <f>HYPERLINK("https://diaocthongthai.com/xa-dien-nguyen-dien-chau/","Xã Diễn Nguyên")</f>
        <v>Xã Diễn Nguyên</v>
      </c>
    </row>
    <row r="5519" spans="1:7" x14ac:dyDescent="0.25">
      <c r="A5519" s="2">
        <v>5518</v>
      </c>
      <c r="B5519" s="3" t="s">
        <v>29</v>
      </c>
      <c r="C5519" s="4" t="str">
        <f t="shared" si="440"/>
        <v>Nghệ An</v>
      </c>
      <c r="D5519" s="3" t="s">
        <v>371</v>
      </c>
      <c r="E5519" s="4" t="str">
        <f t="shared" si="439"/>
        <v>Huyện Diễn Châu</v>
      </c>
      <c r="F5519" s="3" t="s">
        <v>6282</v>
      </c>
      <c r="G5519" s="4" t="str">
        <f>HYPERLINK("https://diaocthongthai.com/xa-dien-hoa-dien-chau/","Xã Diễn Hoa")</f>
        <v>Xã Diễn Hoa</v>
      </c>
    </row>
    <row r="5520" spans="1:7" x14ac:dyDescent="0.25">
      <c r="A5520" s="2">
        <v>5519</v>
      </c>
      <c r="B5520" s="3" t="s">
        <v>29</v>
      </c>
      <c r="C5520" s="4" t="str">
        <f t="shared" si="440"/>
        <v>Nghệ An</v>
      </c>
      <c r="D5520" s="3" t="s">
        <v>371</v>
      </c>
      <c r="E5520" s="4" t="str">
        <f t="shared" si="439"/>
        <v>Huyện Diễn Châu</v>
      </c>
      <c r="F5520" s="3" t="s">
        <v>6283</v>
      </c>
      <c r="G5520" s="4" t="str">
        <f>HYPERLINK("https://diaocthongthai.com/xa-dien-thanh-dien-chau/","Xã Diễn Thành")</f>
        <v>Xã Diễn Thành</v>
      </c>
    </row>
    <row r="5521" spans="1:7" x14ac:dyDescent="0.25">
      <c r="A5521" s="2">
        <v>5520</v>
      </c>
      <c r="B5521" s="3" t="s">
        <v>29</v>
      </c>
      <c r="C5521" s="4" t="str">
        <f t="shared" si="440"/>
        <v>Nghệ An</v>
      </c>
      <c r="D5521" s="3" t="s">
        <v>371</v>
      </c>
      <c r="E5521" s="4" t="str">
        <f t="shared" si="439"/>
        <v>Huyện Diễn Châu</v>
      </c>
      <c r="F5521" s="3" t="s">
        <v>6284</v>
      </c>
      <c r="G5521" s="4" t="str">
        <f>HYPERLINK("https://diaocthongthai.com/xa-dien-phuc-dien-chau/","Xã Diễn Phúc")</f>
        <v>Xã Diễn Phúc</v>
      </c>
    </row>
    <row r="5522" spans="1:7" x14ac:dyDescent="0.25">
      <c r="A5522" s="2">
        <v>5521</v>
      </c>
      <c r="B5522" s="3" t="s">
        <v>29</v>
      </c>
      <c r="C5522" s="4" t="str">
        <f t="shared" si="440"/>
        <v>Nghệ An</v>
      </c>
      <c r="D5522" s="3" t="s">
        <v>371</v>
      </c>
      <c r="E5522" s="4" t="str">
        <f t="shared" si="439"/>
        <v>Huyện Diễn Châu</v>
      </c>
      <c r="F5522" s="3" t="s">
        <v>6285</v>
      </c>
      <c r="G5522" s="4" t="str">
        <f>HYPERLINK("https://diaocthongthai.com/xa-dien-cat-dien-chau/","Xã Diễn Cát")</f>
        <v>Xã Diễn Cát</v>
      </c>
    </row>
    <row r="5523" spans="1:7" x14ac:dyDescent="0.25">
      <c r="A5523" s="2">
        <v>5522</v>
      </c>
      <c r="B5523" s="3" t="s">
        <v>29</v>
      </c>
      <c r="C5523" s="4" t="str">
        <f t="shared" si="440"/>
        <v>Nghệ An</v>
      </c>
      <c r="D5523" s="3" t="s">
        <v>371</v>
      </c>
      <c r="E5523" s="4" t="str">
        <f t="shared" si="439"/>
        <v>Huyện Diễn Châu</v>
      </c>
      <c r="F5523" s="3" t="s">
        <v>6286</v>
      </c>
      <c r="G5523" s="4" t="str">
        <f>HYPERLINK("https://diaocthongthai.com/xa-dien-thinh-dien-chau/","Xã Diễn Thịnh")</f>
        <v>Xã Diễn Thịnh</v>
      </c>
    </row>
    <row r="5524" spans="1:7" x14ac:dyDescent="0.25">
      <c r="A5524" s="2">
        <v>5523</v>
      </c>
      <c r="B5524" s="3" t="s">
        <v>29</v>
      </c>
      <c r="C5524" s="4" t="str">
        <f t="shared" si="440"/>
        <v>Nghệ An</v>
      </c>
      <c r="D5524" s="3" t="s">
        <v>371</v>
      </c>
      <c r="E5524" s="4" t="str">
        <f t="shared" si="439"/>
        <v>Huyện Diễn Châu</v>
      </c>
      <c r="F5524" s="3" t="s">
        <v>6287</v>
      </c>
      <c r="G5524" s="4" t="str">
        <f>HYPERLINK("https://diaocthongthai.com/xa-dien-tan-dien-chau/","Xã Diễn Tân")</f>
        <v>Xã Diễn Tân</v>
      </c>
    </row>
    <row r="5525" spans="1:7" x14ac:dyDescent="0.25">
      <c r="A5525" s="2">
        <v>5524</v>
      </c>
      <c r="B5525" s="3" t="s">
        <v>29</v>
      </c>
      <c r="C5525" s="4" t="str">
        <f t="shared" si="440"/>
        <v>Nghệ An</v>
      </c>
      <c r="D5525" s="3" t="s">
        <v>371</v>
      </c>
      <c r="E5525" s="4" t="str">
        <f t="shared" si="439"/>
        <v>Huyện Diễn Châu</v>
      </c>
      <c r="F5525" s="3" t="s">
        <v>6288</v>
      </c>
      <c r="G5525" s="4" t="str">
        <f>HYPERLINK("https://diaocthongthai.com/xa-minh-chau-dien-chau/","Xã Minh Châu")</f>
        <v>Xã Minh Châu</v>
      </c>
    </row>
    <row r="5526" spans="1:7" x14ac:dyDescent="0.25">
      <c r="A5526" s="2">
        <v>5525</v>
      </c>
      <c r="B5526" s="3" t="s">
        <v>29</v>
      </c>
      <c r="C5526" s="4" t="str">
        <f t="shared" si="440"/>
        <v>Nghệ An</v>
      </c>
      <c r="D5526" s="3" t="s">
        <v>371</v>
      </c>
      <c r="E5526" s="4" t="str">
        <f t="shared" si="439"/>
        <v>Huyện Diễn Châu</v>
      </c>
      <c r="F5526" s="3" t="s">
        <v>6289</v>
      </c>
      <c r="G5526" s="4" t="str">
        <f>HYPERLINK("https://diaocthongthai.com/xa-dien-tho-dien-chau/","Xã Diễn Thọ")</f>
        <v>Xã Diễn Thọ</v>
      </c>
    </row>
    <row r="5527" spans="1:7" x14ac:dyDescent="0.25">
      <c r="A5527" s="2">
        <v>5526</v>
      </c>
      <c r="B5527" s="3" t="s">
        <v>29</v>
      </c>
      <c r="C5527" s="4" t="str">
        <f t="shared" si="440"/>
        <v>Nghệ An</v>
      </c>
      <c r="D5527" s="3" t="s">
        <v>371</v>
      </c>
      <c r="E5527" s="4" t="str">
        <f t="shared" si="439"/>
        <v>Huyện Diễn Châu</v>
      </c>
      <c r="F5527" s="3" t="s">
        <v>6290</v>
      </c>
      <c r="G5527" s="4" t="str">
        <f>HYPERLINK("https://diaocthongthai.com/xa-dien-loi-dien-chau/","Xã Diễn Lợi")</f>
        <v>Xã Diễn Lợi</v>
      </c>
    </row>
    <row r="5528" spans="1:7" x14ac:dyDescent="0.25">
      <c r="A5528" s="2">
        <v>5527</v>
      </c>
      <c r="B5528" s="3" t="s">
        <v>29</v>
      </c>
      <c r="C5528" s="4" t="str">
        <f t="shared" si="440"/>
        <v>Nghệ An</v>
      </c>
      <c r="D5528" s="3" t="s">
        <v>371</v>
      </c>
      <c r="E5528" s="4" t="str">
        <f t="shared" si="439"/>
        <v>Huyện Diễn Châu</v>
      </c>
      <c r="F5528" s="3" t="s">
        <v>6291</v>
      </c>
      <c r="G5528" s="4" t="str">
        <f>HYPERLINK("https://diaocthongthai.com/xa-dien-loc-dien-chau/","Xã Diễn Lộc")</f>
        <v>Xã Diễn Lộc</v>
      </c>
    </row>
    <row r="5529" spans="1:7" x14ac:dyDescent="0.25">
      <c r="A5529" s="2">
        <v>5528</v>
      </c>
      <c r="B5529" s="3" t="s">
        <v>29</v>
      </c>
      <c r="C5529" s="4" t="str">
        <f t="shared" si="440"/>
        <v>Nghệ An</v>
      </c>
      <c r="D5529" s="3" t="s">
        <v>371</v>
      </c>
      <c r="E5529" s="4" t="str">
        <f t="shared" si="439"/>
        <v>Huyện Diễn Châu</v>
      </c>
      <c r="F5529" s="3" t="s">
        <v>6292</v>
      </c>
      <c r="G5529" s="4" t="str">
        <f>HYPERLINK("https://diaocthongthai.com/xa-dien-trung-dien-chau/","Xã Diễn Trung")</f>
        <v>Xã Diễn Trung</v>
      </c>
    </row>
    <row r="5530" spans="1:7" x14ac:dyDescent="0.25">
      <c r="A5530" s="2">
        <v>5529</v>
      </c>
      <c r="B5530" s="3" t="s">
        <v>29</v>
      </c>
      <c r="C5530" s="4" t="str">
        <f t="shared" si="440"/>
        <v>Nghệ An</v>
      </c>
      <c r="D5530" s="3" t="s">
        <v>371</v>
      </c>
      <c r="E5530" s="4" t="str">
        <f t="shared" si="439"/>
        <v>Huyện Diễn Châu</v>
      </c>
      <c r="F5530" s="3" t="s">
        <v>6293</v>
      </c>
      <c r="G5530" s="4" t="str">
        <f>HYPERLINK("https://diaocthongthai.com/xa-dien-an-dien-chau/","Xã Diễn An")</f>
        <v>Xã Diễn An</v>
      </c>
    </row>
    <row r="5531" spans="1:7" x14ac:dyDescent="0.25">
      <c r="A5531" s="2">
        <v>5530</v>
      </c>
      <c r="B5531" s="3" t="s">
        <v>29</v>
      </c>
      <c r="C5531" s="4" t="str">
        <f t="shared" si="440"/>
        <v>Nghệ An</v>
      </c>
      <c r="D5531" s="3" t="s">
        <v>371</v>
      </c>
      <c r="E5531" s="4" t="str">
        <f t="shared" si="439"/>
        <v>Huyện Diễn Châu</v>
      </c>
      <c r="F5531" s="3" t="s">
        <v>6294</v>
      </c>
      <c r="G5531" s="4" t="str">
        <f>HYPERLINK("https://diaocthongthai.com/xa-dien-phu-dien-chau/","Xã Diễn Phú")</f>
        <v>Xã Diễn Phú</v>
      </c>
    </row>
    <row r="5532" spans="1:7" x14ac:dyDescent="0.25">
      <c r="A5532" s="2">
        <v>5531</v>
      </c>
      <c r="B5532" s="3" t="s">
        <v>29</v>
      </c>
      <c r="C5532" s="4" t="str">
        <f t="shared" si="440"/>
        <v>Nghệ An</v>
      </c>
      <c r="D5532" s="3" t="s">
        <v>372</v>
      </c>
      <c r="E5532" s="4" t="str">
        <f t="shared" ref="E5532:E5570" si="441">HYPERLINK("https://diaocthongthai.com/ban-do-huyen-yen-thanh-nghe-an/","Huyện Yên Thành")</f>
        <v>Huyện Yên Thành</v>
      </c>
      <c r="F5532" s="3" t="s">
        <v>6295</v>
      </c>
      <c r="G5532" s="4" t="str">
        <f>HYPERLINK("https://diaocthongthai.com/thi-tran-yen-thanh-yen-thanh/","Thị trấn Yên Thành")</f>
        <v>Thị trấn Yên Thành</v>
      </c>
    </row>
    <row r="5533" spans="1:7" x14ac:dyDescent="0.25">
      <c r="A5533" s="2">
        <v>5532</v>
      </c>
      <c r="B5533" s="3" t="s">
        <v>29</v>
      </c>
      <c r="C5533" s="4" t="str">
        <f t="shared" si="440"/>
        <v>Nghệ An</v>
      </c>
      <c r="D5533" s="3" t="s">
        <v>372</v>
      </c>
      <c r="E5533" s="4" t="str">
        <f t="shared" si="441"/>
        <v>Huyện Yên Thành</v>
      </c>
      <c r="F5533" s="3" t="s">
        <v>6296</v>
      </c>
      <c r="G5533" s="4" t="str">
        <f>HYPERLINK("https://diaocthongthai.com/xa-ma-thanh-yen-thanh/","Xã Mã Thành")</f>
        <v>Xã Mã Thành</v>
      </c>
    </row>
    <row r="5534" spans="1:7" x14ac:dyDescent="0.25">
      <c r="A5534" s="2">
        <v>5533</v>
      </c>
      <c r="B5534" s="3" t="s">
        <v>29</v>
      </c>
      <c r="C5534" s="4" t="str">
        <f t="shared" si="440"/>
        <v>Nghệ An</v>
      </c>
      <c r="D5534" s="3" t="s">
        <v>372</v>
      </c>
      <c r="E5534" s="4" t="str">
        <f t="shared" si="441"/>
        <v>Huyện Yên Thành</v>
      </c>
      <c r="F5534" s="3" t="s">
        <v>6297</v>
      </c>
      <c r="G5534" s="4" t="str">
        <f>HYPERLINK("https://diaocthongthai.com/xa-tien-thanh-yen-thanh/","Xã Tiến Thành")</f>
        <v>Xã Tiến Thành</v>
      </c>
    </row>
    <row r="5535" spans="1:7" x14ac:dyDescent="0.25">
      <c r="A5535" s="2">
        <v>5534</v>
      </c>
      <c r="B5535" s="3" t="s">
        <v>29</v>
      </c>
      <c r="C5535" s="4" t="str">
        <f t="shared" si="440"/>
        <v>Nghệ An</v>
      </c>
      <c r="D5535" s="3" t="s">
        <v>372</v>
      </c>
      <c r="E5535" s="4" t="str">
        <f t="shared" si="441"/>
        <v>Huyện Yên Thành</v>
      </c>
      <c r="F5535" s="3" t="s">
        <v>6298</v>
      </c>
      <c r="G5535" s="4" t="str">
        <f>HYPERLINK("https://diaocthongthai.com/xa-lang-thanh-yen-thanh/","Xã Lăng Thành")</f>
        <v>Xã Lăng Thành</v>
      </c>
    </row>
    <row r="5536" spans="1:7" x14ac:dyDescent="0.25">
      <c r="A5536" s="2">
        <v>5535</v>
      </c>
      <c r="B5536" s="3" t="s">
        <v>29</v>
      </c>
      <c r="C5536" s="4" t="str">
        <f t="shared" si="440"/>
        <v>Nghệ An</v>
      </c>
      <c r="D5536" s="3" t="s">
        <v>372</v>
      </c>
      <c r="E5536" s="4" t="str">
        <f t="shared" si="441"/>
        <v>Huyện Yên Thành</v>
      </c>
      <c r="F5536" s="3" t="s">
        <v>6299</v>
      </c>
      <c r="G5536" s="4" t="str">
        <f>HYPERLINK("https://diaocthongthai.com/xa-tan-thanh-yen-thanh/","Xã Tân Thành")</f>
        <v>Xã Tân Thành</v>
      </c>
    </row>
    <row r="5537" spans="1:7" x14ac:dyDescent="0.25">
      <c r="A5537" s="2">
        <v>5536</v>
      </c>
      <c r="B5537" s="3" t="s">
        <v>29</v>
      </c>
      <c r="C5537" s="4" t="str">
        <f t="shared" si="440"/>
        <v>Nghệ An</v>
      </c>
      <c r="D5537" s="3" t="s">
        <v>372</v>
      </c>
      <c r="E5537" s="4" t="str">
        <f t="shared" si="441"/>
        <v>Huyện Yên Thành</v>
      </c>
      <c r="F5537" s="3" t="s">
        <v>6300</v>
      </c>
      <c r="G5537" s="4" t="str">
        <f>HYPERLINK("https://diaocthongthai.com/xa-duc-thanh-yen-thanh/","Xã Đức Thành")</f>
        <v>Xã Đức Thành</v>
      </c>
    </row>
    <row r="5538" spans="1:7" x14ac:dyDescent="0.25">
      <c r="A5538" s="2">
        <v>5537</v>
      </c>
      <c r="B5538" s="3" t="s">
        <v>29</v>
      </c>
      <c r="C5538" s="4" t="str">
        <f t="shared" si="440"/>
        <v>Nghệ An</v>
      </c>
      <c r="D5538" s="3" t="s">
        <v>372</v>
      </c>
      <c r="E5538" s="4" t="str">
        <f t="shared" si="441"/>
        <v>Huyện Yên Thành</v>
      </c>
      <c r="F5538" s="3" t="s">
        <v>6301</v>
      </c>
      <c r="G5538" s="4" t="str">
        <f>HYPERLINK("https://diaocthongthai.com/xa-kim-thanh-yen-thanh/","Xã Kim Thành")</f>
        <v>Xã Kim Thành</v>
      </c>
    </row>
    <row r="5539" spans="1:7" x14ac:dyDescent="0.25">
      <c r="A5539" s="2">
        <v>5538</v>
      </c>
      <c r="B5539" s="3" t="s">
        <v>29</v>
      </c>
      <c r="C5539" s="4" t="str">
        <f t="shared" si="440"/>
        <v>Nghệ An</v>
      </c>
      <c r="D5539" s="3" t="s">
        <v>372</v>
      </c>
      <c r="E5539" s="4" t="str">
        <f t="shared" si="441"/>
        <v>Huyện Yên Thành</v>
      </c>
      <c r="F5539" s="3" t="s">
        <v>6302</v>
      </c>
      <c r="G5539" s="4" t="str">
        <f>HYPERLINK("https://diaocthongthai.com/xa-hau-thanh-yen-thanh/","Xã Hậu Thành")</f>
        <v>Xã Hậu Thành</v>
      </c>
    </row>
    <row r="5540" spans="1:7" x14ac:dyDescent="0.25">
      <c r="A5540" s="2">
        <v>5539</v>
      </c>
      <c r="B5540" s="3" t="s">
        <v>29</v>
      </c>
      <c r="C5540" s="4" t="str">
        <f t="shared" si="440"/>
        <v>Nghệ An</v>
      </c>
      <c r="D5540" s="3" t="s">
        <v>372</v>
      </c>
      <c r="E5540" s="4" t="str">
        <f t="shared" si="441"/>
        <v>Huyện Yên Thành</v>
      </c>
      <c r="F5540" s="3" t="s">
        <v>6303</v>
      </c>
      <c r="G5540" s="4" t="str">
        <f>HYPERLINK("https://diaocthongthai.com/xa-hung-thanh-yen-thanh/","Xã Hùng Thành")</f>
        <v>Xã Hùng Thành</v>
      </c>
    </row>
    <row r="5541" spans="1:7" x14ac:dyDescent="0.25">
      <c r="A5541" s="2">
        <v>5540</v>
      </c>
      <c r="B5541" s="3" t="s">
        <v>29</v>
      </c>
      <c r="C5541" s="4" t="str">
        <f t="shared" si="440"/>
        <v>Nghệ An</v>
      </c>
      <c r="D5541" s="3" t="s">
        <v>372</v>
      </c>
      <c r="E5541" s="4" t="str">
        <f t="shared" si="441"/>
        <v>Huyện Yên Thành</v>
      </c>
      <c r="F5541" s="3" t="s">
        <v>6304</v>
      </c>
      <c r="G5541" s="4" t="str">
        <f>HYPERLINK("https://diaocthongthai.com/xa-do-thanh-yen-thanh/","Xã Đô Thành")</f>
        <v>Xã Đô Thành</v>
      </c>
    </row>
    <row r="5542" spans="1:7" x14ac:dyDescent="0.25">
      <c r="A5542" s="2">
        <v>5541</v>
      </c>
      <c r="B5542" s="3" t="s">
        <v>29</v>
      </c>
      <c r="C5542" s="4" t="str">
        <f t="shared" si="440"/>
        <v>Nghệ An</v>
      </c>
      <c r="D5542" s="3" t="s">
        <v>372</v>
      </c>
      <c r="E5542" s="4" t="str">
        <f t="shared" si="441"/>
        <v>Huyện Yên Thành</v>
      </c>
      <c r="F5542" s="3" t="s">
        <v>6305</v>
      </c>
      <c r="G5542" s="4" t="str">
        <f>HYPERLINK("https://diaocthongthai.com/xa-tho-thanh-yen-thanh/","Xã Thọ Thành")</f>
        <v>Xã Thọ Thành</v>
      </c>
    </row>
    <row r="5543" spans="1:7" x14ac:dyDescent="0.25">
      <c r="A5543" s="2">
        <v>5542</v>
      </c>
      <c r="B5543" s="3" t="s">
        <v>29</v>
      </c>
      <c r="C5543" s="4" t="str">
        <f t="shared" si="440"/>
        <v>Nghệ An</v>
      </c>
      <c r="D5543" s="3" t="s">
        <v>372</v>
      </c>
      <c r="E5543" s="4" t="str">
        <f t="shared" si="441"/>
        <v>Huyện Yên Thành</v>
      </c>
      <c r="F5543" s="3" t="s">
        <v>6306</v>
      </c>
      <c r="G5543" s="4" t="str">
        <f>HYPERLINK("https://diaocthongthai.com/xa-quang-thanh-yen-thanh/","Xã Quang Thành")</f>
        <v>Xã Quang Thành</v>
      </c>
    </row>
    <row r="5544" spans="1:7" x14ac:dyDescent="0.25">
      <c r="A5544" s="2">
        <v>5543</v>
      </c>
      <c r="B5544" s="3" t="s">
        <v>29</v>
      </c>
      <c r="C5544" s="4" t="str">
        <f t="shared" si="440"/>
        <v>Nghệ An</v>
      </c>
      <c r="D5544" s="3" t="s">
        <v>372</v>
      </c>
      <c r="E5544" s="4" t="str">
        <f t="shared" si="441"/>
        <v>Huyện Yên Thành</v>
      </c>
      <c r="F5544" s="3" t="s">
        <v>6307</v>
      </c>
      <c r="G5544" s="4" t="str">
        <f>HYPERLINK("https://diaocthongthai.com/xa-tay-thanh-yen-thanh/","Xã Tây Thành")</f>
        <v>Xã Tây Thành</v>
      </c>
    </row>
    <row r="5545" spans="1:7" x14ac:dyDescent="0.25">
      <c r="A5545" s="2">
        <v>5544</v>
      </c>
      <c r="B5545" s="3" t="s">
        <v>29</v>
      </c>
      <c r="C5545" s="4" t="str">
        <f t="shared" si="440"/>
        <v>Nghệ An</v>
      </c>
      <c r="D5545" s="3" t="s">
        <v>372</v>
      </c>
      <c r="E5545" s="4" t="str">
        <f t="shared" si="441"/>
        <v>Huyện Yên Thành</v>
      </c>
      <c r="F5545" s="3" t="s">
        <v>6308</v>
      </c>
      <c r="G5545" s="4" t="str">
        <f>HYPERLINK("https://diaocthongthai.com/xa-phuc-thanh-yen-thanh/","Xã Phúc Thành")</f>
        <v>Xã Phúc Thành</v>
      </c>
    </row>
    <row r="5546" spans="1:7" x14ac:dyDescent="0.25">
      <c r="A5546" s="2">
        <v>5545</v>
      </c>
      <c r="B5546" s="3" t="s">
        <v>29</v>
      </c>
      <c r="C5546" s="4" t="str">
        <f t="shared" si="440"/>
        <v>Nghệ An</v>
      </c>
      <c r="D5546" s="3" t="s">
        <v>372</v>
      </c>
      <c r="E5546" s="4" t="str">
        <f t="shared" si="441"/>
        <v>Huyện Yên Thành</v>
      </c>
      <c r="F5546" s="3" t="s">
        <v>6309</v>
      </c>
      <c r="G5546" s="4" t="str">
        <f>HYPERLINK("https://diaocthongthai.com/xa-hong-thanh-yen-thanh/","Xã Hồng Thành")</f>
        <v>Xã Hồng Thành</v>
      </c>
    </row>
    <row r="5547" spans="1:7" x14ac:dyDescent="0.25">
      <c r="A5547" s="2">
        <v>5546</v>
      </c>
      <c r="B5547" s="3" t="s">
        <v>29</v>
      </c>
      <c r="C5547" s="4" t="str">
        <f t="shared" si="440"/>
        <v>Nghệ An</v>
      </c>
      <c r="D5547" s="3" t="s">
        <v>372</v>
      </c>
      <c r="E5547" s="4" t="str">
        <f t="shared" si="441"/>
        <v>Huyện Yên Thành</v>
      </c>
      <c r="F5547" s="3" t="s">
        <v>6310</v>
      </c>
      <c r="G5547" s="4" t="str">
        <f>HYPERLINK("https://diaocthongthai.com/xa-dong-thanh-yen-thanh/","Xã Đồng Thành")</f>
        <v>Xã Đồng Thành</v>
      </c>
    </row>
    <row r="5548" spans="1:7" x14ac:dyDescent="0.25">
      <c r="A5548" s="2">
        <v>5547</v>
      </c>
      <c r="B5548" s="3" t="s">
        <v>29</v>
      </c>
      <c r="C5548" s="4" t="str">
        <f t="shared" si="440"/>
        <v>Nghệ An</v>
      </c>
      <c r="D5548" s="3" t="s">
        <v>372</v>
      </c>
      <c r="E5548" s="4" t="str">
        <f t="shared" si="441"/>
        <v>Huyện Yên Thành</v>
      </c>
      <c r="F5548" s="3" t="s">
        <v>6311</v>
      </c>
      <c r="G5548" s="4" t="str">
        <f>HYPERLINK("https://diaocthongthai.com/xa-phu-thanh-yen-thanh/","Xã Phú Thành")</f>
        <v>Xã Phú Thành</v>
      </c>
    </row>
    <row r="5549" spans="1:7" x14ac:dyDescent="0.25">
      <c r="A5549" s="2">
        <v>5548</v>
      </c>
      <c r="B5549" s="3" t="s">
        <v>29</v>
      </c>
      <c r="C5549" s="4" t="str">
        <f t="shared" si="440"/>
        <v>Nghệ An</v>
      </c>
      <c r="D5549" s="3" t="s">
        <v>372</v>
      </c>
      <c r="E5549" s="4" t="str">
        <f t="shared" si="441"/>
        <v>Huyện Yên Thành</v>
      </c>
      <c r="F5549" s="3" t="s">
        <v>6312</v>
      </c>
      <c r="G5549" s="4" t="str">
        <f>HYPERLINK("https://diaocthongthai.com/xa-hoa-thanh-yen-thanh/","Xã Hoa Thành")</f>
        <v>Xã Hoa Thành</v>
      </c>
    </row>
    <row r="5550" spans="1:7" x14ac:dyDescent="0.25">
      <c r="A5550" s="2">
        <v>5549</v>
      </c>
      <c r="B5550" s="3" t="s">
        <v>29</v>
      </c>
      <c r="C5550" s="4" t="str">
        <f t="shared" si="440"/>
        <v>Nghệ An</v>
      </c>
      <c r="D5550" s="3" t="s">
        <v>372</v>
      </c>
      <c r="E5550" s="4" t="str">
        <f t="shared" si="441"/>
        <v>Huyện Yên Thành</v>
      </c>
      <c r="F5550" s="3" t="s">
        <v>6313</v>
      </c>
      <c r="G5550" s="4" t="str">
        <f>HYPERLINK("https://diaocthongthai.com/xa-tang-thanh-yen-thanh/","Xã Tăng Thành")</f>
        <v>Xã Tăng Thành</v>
      </c>
    </row>
    <row r="5551" spans="1:7" x14ac:dyDescent="0.25">
      <c r="A5551" s="2">
        <v>5550</v>
      </c>
      <c r="B5551" s="3" t="s">
        <v>29</v>
      </c>
      <c r="C5551" s="4" t="str">
        <f t="shared" si="440"/>
        <v>Nghệ An</v>
      </c>
      <c r="D5551" s="3" t="s">
        <v>372</v>
      </c>
      <c r="E5551" s="4" t="str">
        <f t="shared" si="441"/>
        <v>Huyện Yên Thành</v>
      </c>
      <c r="F5551" s="3" t="s">
        <v>6314</v>
      </c>
      <c r="G5551" s="4" t="str">
        <f>HYPERLINK("https://diaocthongthai.com/xa-van-thanh-yen-thanh/","Xã Văn Thành")</f>
        <v>Xã Văn Thành</v>
      </c>
    </row>
    <row r="5552" spans="1:7" x14ac:dyDescent="0.25">
      <c r="A5552" s="2">
        <v>5551</v>
      </c>
      <c r="B5552" s="3" t="s">
        <v>29</v>
      </c>
      <c r="C5552" s="4" t="str">
        <f t="shared" si="440"/>
        <v>Nghệ An</v>
      </c>
      <c r="D5552" s="3" t="s">
        <v>372</v>
      </c>
      <c r="E5552" s="4" t="str">
        <f t="shared" si="441"/>
        <v>Huyện Yên Thành</v>
      </c>
      <c r="F5552" s="3" t="s">
        <v>6315</v>
      </c>
      <c r="G5552" s="4" t="str">
        <f>HYPERLINK("https://diaocthongthai.com/xa-thinh-thanh-yen-thanh/","Xã Thịnh Thành")</f>
        <v>Xã Thịnh Thành</v>
      </c>
    </row>
    <row r="5553" spans="1:7" x14ac:dyDescent="0.25">
      <c r="A5553" s="2">
        <v>5552</v>
      </c>
      <c r="B5553" s="3" t="s">
        <v>29</v>
      </c>
      <c r="C5553" s="4" t="str">
        <f t="shared" si="440"/>
        <v>Nghệ An</v>
      </c>
      <c r="D5553" s="3" t="s">
        <v>372</v>
      </c>
      <c r="E5553" s="4" t="str">
        <f t="shared" si="441"/>
        <v>Huyện Yên Thành</v>
      </c>
      <c r="F5553" s="3" t="s">
        <v>6316</v>
      </c>
      <c r="G5553" s="4" t="str">
        <f>HYPERLINK("https://diaocthongthai.com/xa-hop-thanh-yen-thanh/","Xã Hợp Thành")</f>
        <v>Xã Hợp Thành</v>
      </c>
    </row>
    <row r="5554" spans="1:7" x14ac:dyDescent="0.25">
      <c r="A5554" s="2">
        <v>5553</v>
      </c>
      <c r="B5554" s="3" t="s">
        <v>29</v>
      </c>
      <c r="C5554" s="4" t="str">
        <f t="shared" si="440"/>
        <v>Nghệ An</v>
      </c>
      <c r="D5554" s="3" t="s">
        <v>372</v>
      </c>
      <c r="E5554" s="4" t="str">
        <f t="shared" si="441"/>
        <v>Huyện Yên Thành</v>
      </c>
      <c r="F5554" s="3" t="s">
        <v>6317</v>
      </c>
      <c r="G5554" s="4" t="str">
        <f>HYPERLINK("https://diaocthongthai.com/xa-xuan-thanh-yen-thanh/","Xã Xuân Thành")</f>
        <v>Xã Xuân Thành</v>
      </c>
    </row>
    <row r="5555" spans="1:7" x14ac:dyDescent="0.25">
      <c r="A5555" s="2">
        <v>5554</v>
      </c>
      <c r="B5555" s="3" t="s">
        <v>29</v>
      </c>
      <c r="C5555" s="4" t="str">
        <f t="shared" si="440"/>
        <v>Nghệ An</v>
      </c>
      <c r="D5555" s="3" t="s">
        <v>372</v>
      </c>
      <c r="E5555" s="4" t="str">
        <f t="shared" si="441"/>
        <v>Huyện Yên Thành</v>
      </c>
      <c r="F5555" s="3" t="s">
        <v>6318</v>
      </c>
      <c r="G5555" s="4" t="str">
        <f>HYPERLINK("https://diaocthongthai.com/xa-bac-thanh-yen-thanh/","Xã Bắc Thành")</f>
        <v>Xã Bắc Thành</v>
      </c>
    </row>
    <row r="5556" spans="1:7" x14ac:dyDescent="0.25">
      <c r="A5556" s="2">
        <v>5555</v>
      </c>
      <c r="B5556" s="3" t="s">
        <v>29</v>
      </c>
      <c r="C5556" s="4" t="str">
        <f t="shared" si="440"/>
        <v>Nghệ An</v>
      </c>
      <c r="D5556" s="3" t="s">
        <v>372</v>
      </c>
      <c r="E5556" s="4" t="str">
        <f t="shared" si="441"/>
        <v>Huyện Yên Thành</v>
      </c>
      <c r="F5556" s="3" t="s">
        <v>6319</v>
      </c>
      <c r="G5556" s="4" t="str">
        <f>HYPERLINK("https://diaocthongthai.com/xa-nhan-thanh-yen-thanh/","Xã Nhân Thành")</f>
        <v>Xã Nhân Thành</v>
      </c>
    </row>
    <row r="5557" spans="1:7" x14ac:dyDescent="0.25">
      <c r="A5557" s="2">
        <v>5556</v>
      </c>
      <c r="B5557" s="3" t="s">
        <v>29</v>
      </c>
      <c r="C5557" s="4" t="str">
        <f t="shared" si="440"/>
        <v>Nghệ An</v>
      </c>
      <c r="D5557" s="3" t="s">
        <v>372</v>
      </c>
      <c r="E5557" s="4" t="str">
        <f t="shared" si="441"/>
        <v>Huyện Yên Thành</v>
      </c>
      <c r="F5557" s="3" t="s">
        <v>6320</v>
      </c>
      <c r="G5557" s="4" t="str">
        <f>HYPERLINK("https://diaocthongthai.com/xa-trung-thanh-yen-thanh/","Xã Trung Thành")</f>
        <v>Xã Trung Thành</v>
      </c>
    </row>
    <row r="5558" spans="1:7" x14ac:dyDescent="0.25">
      <c r="A5558" s="2">
        <v>5557</v>
      </c>
      <c r="B5558" s="3" t="s">
        <v>29</v>
      </c>
      <c r="C5558" s="4" t="str">
        <f t="shared" si="440"/>
        <v>Nghệ An</v>
      </c>
      <c r="D5558" s="3" t="s">
        <v>372</v>
      </c>
      <c r="E5558" s="4" t="str">
        <f t="shared" si="441"/>
        <v>Huyện Yên Thành</v>
      </c>
      <c r="F5558" s="3" t="s">
        <v>6321</v>
      </c>
      <c r="G5558" s="4" t="str">
        <f>HYPERLINK("https://diaocthongthai.com/xa-long-thanh-yen-thanh/","Xã Long Thành")</f>
        <v>Xã Long Thành</v>
      </c>
    </row>
    <row r="5559" spans="1:7" x14ac:dyDescent="0.25">
      <c r="A5559" s="2">
        <v>5558</v>
      </c>
      <c r="B5559" s="3" t="s">
        <v>29</v>
      </c>
      <c r="C5559" s="4" t="str">
        <f t="shared" si="440"/>
        <v>Nghệ An</v>
      </c>
      <c r="D5559" s="3" t="s">
        <v>372</v>
      </c>
      <c r="E5559" s="4" t="str">
        <f t="shared" si="441"/>
        <v>Huyện Yên Thành</v>
      </c>
      <c r="F5559" s="3" t="s">
        <v>6322</v>
      </c>
      <c r="G5559" s="4" t="str">
        <f>HYPERLINK("https://diaocthongthai.com/xa-minh-thanh-yen-thanh/","Xã Minh Thành")</f>
        <v>Xã Minh Thành</v>
      </c>
    </row>
    <row r="5560" spans="1:7" x14ac:dyDescent="0.25">
      <c r="A5560" s="2">
        <v>5559</v>
      </c>
      <c r="B5560" s="3" t="s">
        <v>29</v>
      </c>
      <c r="C5560" s="4" t="str">
        <f t="shared" si="440"/>
        <v>Nghệ An</v>
      </c>
      <c r="D5560" s="3" t="s">
        <v>372</v>
      </c>
      <c r="E5560" s="4" t="str">
        <f t="shared" si="441"/>
        <v>Huyện Yên Thành</v>
      </c>
      <c r="F5560" s="3" t="s">
        <v>6323</v>
      </c>
      <c r="G5560" s="4" t="str">
        <f>HYPERLINK("https://diaocthongthai.com/xa-nam-thanh-yen-thanh/","Xã Nam Thành")</f>
        <v>Xã Nam Thành</v>
      </c>
    </row>
    <row r="5561" spans="1:7" x14ac:dyDescent="0.25">
      <c r="A5561" s="2">
        <v>5560</v>
      </c>
      <c r="B5561" s="3" t="s">
        <v>29</v>
      </c>
      <c r="C5561" s="4" t="str">
        <f t="shared" si="440"/>
        <v>Nghệ An</v>
      </c>
      <c r="D5561" s="3" t="s">
        <v>372</v>
      </c>
      <c r="E5561" s="4" t="str">
        <f t="shared" si="441"/>
        <v>Huyện Yên Thành</v>
      </c>
      <c r="F5561" s="3" t="s">
        <v>6324</v>
      </c>
      <c r="G5561" s="4" t="str">
        <f>HYPERLINK("https://diaocthongthai.com/xa-vinh-thanh-yen-thanh/","Xã Vĩnh Thành")</f>
        <v>Xã Vĩnh Thành</v>
      </c>
    </row>
    <row r="5562" spans="1:7" x14ac:dyDescent="0.25">
      <c r="A5562" s="2">
        <v>5561</v>
      </c>
      <c r="B5562" s="3" t="s">
        <v>29</v>
      </c>
      <c r="C5562" s="4" t="str">
        <f t="shared" si="440"/>
        <v>Nghệ An</v>
      </c>
      <c r="D5562" s="3" t="s">
        <v>372</v>
      </c>
      <c r="E5562" s="4" t="str">
        <f t="shared" si="441"/>
        <v>Huyện Yên Thành</v>
      </c>
      <c r="F5562" s="3" t="s">
        <v>6325</v>
      </c>
      <c r="G5562" s="4" t="str">
        <f>HYPERLINK("https://diaocthongthai.com/xa-ly-thanh-yen-thanh/","Xã Lý Thành")</f>
        <v>Xã Lý Thành</v>
      </c>
    </row>
    <row r="5563" spans="1:7" x14ac:dyDescent="0.25">
      <c r="A5563" s="2">
        <v>5562</v>
      </c>
      <c r="B5563" s="3" t="s">
        <v>29</v>
      </c>
      <c r="C5563" s="4" t="str">
        <f t="shared" si="440"/>
        <v>Nghệ An</v>
      </c>
      <c r="D5563" s="3" t="s">
        <v>372</v>
      </c>
      <c r="E5563" s="4" t="str">
        <f t="shared" si="441"/>
        <v>Huyện Yên Thành</v>
      </c>
      <c r="F5563" s="3" t="s">
        <v>6326</v>
      </c>
      <c r="G5563" s="4" t="str">
        <f>HYPERLINK("https://diaocthongthai.com/xa-khanh-thanh-yen-thanh/","Xã Khánh Thành")</f>
        <v>Xã Khánh Thành</v>
      </c>
    </row>
    <row r="5564" spans="1:7" x14ac:dyDescent="0.25">
      <c r="A5564" s="2">
        <v>5563</v>
      </c>
      <c r="B5564" s="3" t="s">
        <v>29</v>
      </c>
      <c r="C5564" s="4" t="str">
        <f t="shared" si="440"/>
        <v>Nghệ An</v>
      </c>
      <c r="D5564" s="3" t="s">
        <v>372</v>
      </c>
      <c r="E5564" s="4" t="str">
        <f t="shared" si="441"/>
        <v>Huyện Yên Thành</v>
      </c>
      <c r="F5564" s="3" t="s">
        <v>6327</v>
      </c>
      <c r="G5564" s="4" t="str">
        <f>HYPERLINK("https://diaocthongthai.com/xa-vien-thanh-yen-thanh/","Xã Viên Thành")</f>
        <v>Xã Viên Thành</v>
      </c>
    </row>
    <row r="5565" spans="1:7" x14ac:dyDescent="0.25">
      <c r="A5565" s="2">
        <v>5564</v>
      </c>
      <c r="B5565" s="3" t="s">
        <v>29</v>
      </c>
      <c r="C5565" s="4" t="str">
        <f t="shared" si="440"/>
        <v>Nghệ An</v>
      </c>
      <c r="D5565" s="3" t="s">
        <v>372</v>
      </c>
      <c r="E5565" s="4" t="str">
        <f t="shared" si="441"/>
        <v>Huyện Yên Thành</v>
      </c>
      <c r="F5565" s="3" t="s">
        <v>6328</v>
      </c>
      <c r="G5565" s="4" t="str">
        <f>HYPERLINK("https://diaocthongthai.com/xa-dai-thanh-yen-thanh/","Xã Đại Thành")</f>
        <v>Xã Đại Thành</v>
      </c>
    </row>
    <row r="5566" spans="1:7" x14ac:dyDescent="0.25">
      <c r="A5566" s="2">
        <v>5565</v>
      </c>
      <c r="B5566" s="3" t="s">
        <v>29</v>
      </c>
      <c r="C5566" s="4" t="str">
        <f t="shared" si="440"/>
        <v>Nghệ An</v>
      </c>
      <c r="D5566" s="3" t="s">
        <v>372</v>
      </c>
      <c r="E5566" s="4" t="str">
        <f t="shared" si="441"/>
        <v>Huyện Yên Thành</v>
      </c>
      <c r="F5566" s="3" t="s">
        <v>6329</v>
      </c>
      <c r="G5566" s="4" t="str">
        <f>HYPERLINK("https://diaocthongthai.com/xa-lien-thanh-yen-thanh/","Xã Liên Thành")</f>
        <v>Xã Liên Thành</v>
      </c>
    </row>
    <row r="5567" spans="1:7" x14ac:dyDescent="0.25">
      <c r="A5567" s="2">
        <v>5566</v>
      </c>
      <c r="B5567" s="3" t="s">
        <v>29</v>
      </c>
      <c r="C5567" s="4" t="str">
        <f t="shared" si="440"/>
        <v>Nghệ An</v>
      </c>
      <c r="D5567" s="3" t="s">
        <v>372</v>
      </c>
      <c r="E5567" s="4" t="str">
        <f t="shared" si="441"/>
        <v>Huyện Yên Thành</v>
      </c>
      <c r="F5567" s="3" t="s">
        <v>6330</v>
      </c>
      <c r="G5567" s="4" t="str">
        <f>HYPERLINK("https://diaocthongthai.com/xa-bao-thanh-yen-thanh/","Xã Bảo Thành")</f>
        <v>Xã Bảo Thành</v>
      </c>
    </row>
    <row r="5568" spans="1:7" x14ac:dyDescent="0.25">
      <c r="A5568" s="2">
        <v>5567</v>
      </c>
      <c r="B5568" s="3" t="s">
        <v>29</v>
      </c>
      <c r="C5568" s="4" t="str">
        <f t="shared" si="440"/>
        <v>Nghệ An</v>
      </c>
      <c r="D5568" s="3" t="s">
        <v>372</v>
      </c>
      <c r="E5568" s="4" t="str">
        <f t="shared" si="441"/>
        <v>Huyện Yên Thành</v>
      </c>
      <c r="F5568" s="3" t="s">
        <v>6331</v>
      </c>
      <c r="G5568" s="4" t="str">
        <f>HYPERLINK("https://diaocthongthai.com/xa-my-thanh-yen-thanh/","Xã Mỹ Thành")</f>
        <v>Xã Mỹ Thành</v>
      </c>
    </row>
    <row r="5569" spans="1:7" x14ac:dyDescent="0.25">
      <c r="A5569" s="2">
        <v>5568</v>
      </c>
      <c r="B5569" s="3" t="s">
        <v>29</v>
      </c>
      <c r="C5569" s="4" t="str">
        <f t="shared" si="440"/>
        <v>Nghệ An</v>
      </c>
      <c r="D5569" s="3" t="s">
        <v>372</v>
      </c>
      <c r="E5569" s="4" t="str">
        <f t="shared" si="441"/>
        <v>Huyện Yên Thành</v>
      </c>
      <c r="F5569" s="3" t="s">
        <v>6332</v>
      </c>
      <c r="G5569" s="4" t="str">
        <f>HYPERLINK("https://diaocthongthai.com/xa-cong-thanh-yen-thanh/","Xã Công Thành")</f>
        <v>Xã Công Thành</v>
      </c>
    </row>
    <row r="5570" spans="1:7" x14ac:dyDescent="0.25">
      <c r="A5570" s="2">
        <v>5569</v>
      </c>
      <c r="B5570" s="3" t="s">
        <v>29</v>
      </c>
      <c r="C5570" s="4" t="str">
        <f t="shared" si="440"/>
        <v>Nghệ An</v>
      </c>
      <c r="D5570" s="3" t="s">
        <v>372</v>
      </c>
      <c r="E5570" s="4" t="str">
        <f t="shared" si="441"/>
        <v>Huyện Yên Thành</v>
      </c>
      <c r="F5570" s="3" t="s">
        <v>6333</v>
      </c>
      <c r="G5570" s="4" t="str">
        <f>HYPERLINK("https://diaocthongthai.com/xa-son-thanh-yen-thanh/","Xã Sơn Thành")</f>
        <v>Xã Sơn Thành</v>
      </c>
    </row>
    <row r="5571" spans="1:7" x14ac:dyDescent="0.25">
      <c r="A5571" s="2">
        <v>5570</v>
      </c>
      <c r="B5571" s="3" t="s">
        <v>29</v>
      </c>
      <c r="C5571" s="4" t="str">
        <f t="shared" si="440"/>
        <v>Nghệ An</v>
      </c>
      <c r="D5571" s="3" t="s">
        <v>373</v>
      </c>
      <c r="E5571" s="4" t="str">
        <f t="shared" ref="E5571:E5603" si="442">HYPERLINK("https://diaocthongthai.com/ban-do-huyen-do-luong-nghe-an/","Huyện Đô Lương")</f>
        <v>Huyện Đô Lương</v>
      </c>
      <c r="F5571" s="3" t="s">
        <v>6334</v>
      </c>
      <c r="G5571" s="4" t="str">
        <f>HYPERLINK("https://diaocthongthai.com/thi-tran-do-luong-do-luong/","Thị trấn Đô Lương")</f>
        <v>Thị trấn Đô Lương</v>
      </c>
    </row>
    <row r="5572" spans="1:7" x14ac:dyDescent="0.25">
      <c r="A5572" s="2">
        <v>5571</v>
      </c>
      <c r="B5572" s="3" t="s">
        <v>29</v>
      </c>
      <c r="C5572" s="4" t="str">
        <f t="shared" si="440"/>
        <v>Nghệ An</v>
      </c>
      <c r="D5572" s="3" t="s">
        <v>373</v>
      </c>
      <c r="E5572" s="4" t="str">
        <f t="shared" si="442"/>
        <v>Huyện Đô Lương</v>
      </c>
      <c r="F5572" s="3" t="s">
        <v>6335</v>
      </c>
      <c r="G5572" s="4" t="str">
        <f>HYPERLINK("https://diaocthongthai.com/xa-giang-son-dong-do-luong/","Xã Giang Sơn Đông")</f>
        <v>Xã Giang Sơn Đông</v>
      </c>
    </row>
    <row r="5573" spans="1:7" x14ac:dyDescent="0.25">
      <c r="A5573" s="2">
        <v>5572</v>
      </c>
      <c r="B5573" s="3" t="s">
        <v>29</v>
      </c>
      <c r="C5573" s="4" t="str">
        <f t="shared" si="440"/>
        <v>Nghệ An</v>
      </c>
      <c r="D5573" s="3" t="s">
        <v>373</v>
      </c>
      <c r="E5573" s="4" t="str">
        <f t="shared" si="442"/>
        <v>Huyện Đô Lương</v>
      </c>
      <c r="F5573" s="3" t="s">
        <v>6336</v>
      </c>
      <c r="G5573" s="4" t="str">
        <f>HYPERLINK("https://diaocthongthai.com/xa-giang-son-tay-do-luong/","Xã Giang Sơn Tây")</f>
        <v>Xã Giang Sơn Tây</v>
      </c>
    </row>
    <row r="5574" spans="1:7" x14ac:dyDescent="0.25">
      <c r="A5574" s="2">
        <v>5573</v>
      </c>
      <c r="B5574" s="3" t="s">
        <v>29</v>
      </c>
      <c r="C5574" s="4" t="str">
        <f t="shared" si="440"/>
        <v>Nghệ An</v>
      </c>
      <c r="D5574" s="3" t="s">
        <v>373</v>
      </c>
      <c r="E5574" s="4" t="str">
        <f t="shared" si="442"/>
        <v>Huyện Đô Lương</v>
      </c>
      <c r="F5574" s="3" t="s">
        <v>6337</v>
      </c>
      <c r="G5574" s="4" t="str">
        <f>HYPERLINK("https://diaocthongthai.com/xa-lam-son-do-luong/","Xã Lam Sơn")</f>
        <v>Xã Lam Sơn</v>
      </c>
    </row>
    <row r="5575" spans="1:7" x14ac:dyDescent="0.25">
      <c r="A5575" s="2">
        <v>5574</v>
      </c>
      <c r="B5575" s="3" t="s">
        <v>29</v>
      </c>
      <c r="C5575" s="4" t="str">
        <f t="shared" si="440"/>
        <v>Nghệ An</v>
      </c>
      <c r="D5575" s="3" t="s">
        <v>373</v>
      </c>
      <c r="E5575" s="4" t="str">
        <f t="shared" si="442"/>
        <v>Huyện Đô Lương</v>
      </c>
      <c r="F5575" s="3" t="s">
        <v>6338</v>
      </c>
      <c r="G5575" s="4" t="str">
        <f>HYPERLINK("https://diaocthongthai.com/xa-boi-son-do-luong/","Xã Bồi Sơn")</f>
        <v>Xã Bồi Sơn</v>
      </c>
    </row>
    <row r="5576" spans="1:7" x14ac:dyDescent="0.25">
      <c r="A5576" s="2">
        <v>5575</v>
      </c>
      <c r="B5576" s="3" t="s">
        <v>29</v>
      </c>
      <c r="C5576" s="4" t="str">
        <f t="shared" si="440"/>
        <v>Nghệ An</v>
      </c>
      <c r="D5576" s="3" t="s">
        <v>373</v>
      </c>
      <c r="E5576" s="4" t="str">
        <f t="shared" si="442"/>
        <v>Huyện Đô Lương</v>
      </c>
      <c r="F5576" s="3" t="s">
        <v>6339</v>
      </c>
      <c r="G5576" s="4" t="str">
        <f>HYPERLINK("https://diaocthongthai.com/xa-hong-son-do-luong/","Xã Hồng Sơn")</f>
        <v>Xã Hồng Sơn</v>
      </c>
    </row>
    <row r="5577" spans="1:7" x14ac:dyDescent="0.25">
      <c r="A5577" s="2">
        <v>5576</v>
      </c>
      <c r="B5577" s="3" t="s">
        <v>29</v>
      </c>
      <c r="C5577" s="4" t="str">
        <f t="shared" si="440"/>
        <v>Nghệ An</v>
      </c>
      <c r="D5577" s="3" t="s">
        <v>373</v>
      </c>
      <c r="E5577" s="4" t="str">
        <f t="shared" si="442"/>
        <v>Huyện Đô Lương</v>
      </c>
      <c r="F5577" s="3" t="s">
        <v>6340</v>
      </c>
      <c r="G5577" s="4" t="str">
        <f>HYPERLINK("https://diaocthongthai.com/xa-bai-son-do-luong/","Xã Bài Sơn")</f>
        <v>Xã Bài Sơn</v>
      </c>
    </row>
    <row r="5578" spans="1:7" x14ac:dyDescent="0.25">
      <c r="A5578" s="2">
        <v>5577</v>
      </c>
      <c r="B5578" s="3" t="s">
        <v>29</v>
      </c>
      <c r="C5578" s="4" t="str">
        <f t="shared" ref="C5578:C5641" si="443">HYPERLINK("https://diaocthongthai.com/ban-do-nghe-an/","Nghệ An")</f>
        <v>Nghệ An</v>
      </c>
      <c r="D5578" s="3" t="s">
        <v>373</v>
      </c>
      <c r="E5578" s="4" t="str">
        <f t="shared" si="442"/>
        <v>Huyện Đô Lương</v>
      </c>
      <c r="F5578" s="3" t="s">
        <v>6341</v>
      </c>
      <c r="G5578" s="4" t="str">
        <f>HYPERLINK("https://diaocthongthai.com/xa-ngoc-son-do-luong/","Xã Ngọc Sơn")</f>
        <v>Xã Ngọc Sơn</v>
      </c>
    </row>
    <row r="5579" spans="1:7" x14ac:dyDescent="0.25">
      <c r="A5579" s="2">
        <v>5578</v>
      </c>
      <c r="B5579" s="3" t="s">
        <v>29</v>
      </c>
      <c r="C5579" s="4" t="str">
        <f t="shared" si="443"/>
        <v>Nghệ An</v>
      </c>
      <c r="D5579" s="3" t="s">
        <v>373</v>
      </c>
      <c r="E5579" s="4" t="str">
        <f t="shared" si="442"/>
        <v>Huyện Đô Lương</v>
      </c>
      <c r="F5579" s="3" t="s">
        <v>6342</v>
      </c>
      <c r="G5579" s="4" t="str">
        <f>HYPERLINK("https://diaocthongthai.com/xa-bac-son-do-luong/","Xã Bắc Sơn")</f>
        <v>Xã Bắc Sơn</v>
      </c>
    </row>
    <row r="5580" spans="1:7" x14ac:dyDescent="0.25">
      <c r="A5580" s="2">
        <v>5579</v>
      </c>
      <c r="B5580" s="3" t="s">
        <v>29</v>
      </c>
      <c r="C5580" s="4" t="str">
        <f t="shared" si="443"/>
        <v>Nghệ An</v>
      </c>
      <c r="D5580" s="3" t="s">
        <v>373</v>
      </c>
      <c r="E5580" s="4" t="str">
        <f t="shared" si="442"/>
        <v>Huyện Đô Lương</v>
      </c>
      <c r="F5580" s="3" t="s">
        <v>6343</v>
      </c>
      <c r="G5580" s="4" t="str">
        <f>HYPERLINK("https://diaocthongthai.com/xa-trang-son-do-luong/","Xã Tràng Sơn")</f>
        <v>Xã Tràng Sơn</v>
      </c>
    </row>
    <row r="5581" spans="1:7" x14ac:dyDescent="0.25">
      <c r="A5581" s="2">
        <v>5580</v>
      </c>
      <c r="B5581" s="3" t="s">
        <v>29</v>
      </c>
      <c r="C5581" s="4" t="str">
        <f t="shared" si="443"/>
        <v>Nghệ An</v>
      </c>
      <c r="D5581" s="3" t="s">
        <v>373</v>
      </c>
      <c r="E5581" s="4" t="str">
        <f t="shared" si="442"/>
        <v>Huyện Đô Lương</v>
      </c>
      <c r="F5581" s="3" t="s">
        <v>6344</v>
      </c>
      <c r="G5581" s="4" t="str">
        <f>HYPERLINK("https://diaocthongthai.com/xa-thuong-son-do-luong/","Xã Thượng Sơn")</f>
        <v>Xã Thượng Sơn</v>
      </c>
    </row>
    <row r="5582" spans="1:7" x14ac:dyDescent="0.25">
      <c r="A5582" s="2">
        <v>5581</v>
      </c>
      <c r="B5582" s="3" t="s">
        <v>29</v>
      </c>
      <c r="C5582" s="4" t="str">
        <f t="shared" si="443"/>
        <v>Nghệ An</v>
      </c>
      <c r="D5582" s="3" t="s">
        <v>373</v>
      </c>
      <c r="E5582" s="4" t="str">
        <f t="shared" si="442"/>
        <v>Huyện Đô Lương</v>
      </c>
      <c r="F5582" s="3" t="s">
        <v>6345</v>
      </c>
      <c r="G5582" s="4" t="str">
        <f>HYPERLINK("https://diaocthongthai.com/xa-hoa-son-do-luong/","Xã Hòa Sơn")</f>
        <v>Xã Hòa Sơn</v>
      </c>
    </row>
    <row r="5583" spans="1:7" x14ac:dyDescent="0.25">
      <c r="A5583" s="2">
        <v>5582</v>
      </c>
      <c r="B5583" s="3" t="s">
        <v>29</v>
      </c>
      <c r="C5583" s="4" t="str">
        <f t="shared" si="443"/>
        <v>Nghệ An</v>
      </c>
      <c r="D5583" s="3" t="s">
        <v>373</v>
      </c>
      <c r="E5583" s="4" t="str">
        <f t="shared" si="442"/>
        <v>Huyện Đô Lương</v>
      </c>
      <c r="F5583" s="3" t="s">
        <v>6346</v>
      </c>
      <c r="G5583" s="4" t="str">
        <f>HYPERLINK("https://diaocthongthai.com/xa-dang-son-do-luong/","Xã Đặng Sơn")</f>
        <v>Xã Đặng Sơn</v>
      </c>
    </row>
    <row r="5584" spans="1:7" x14ac:dyDescent="0.25">
      <c r="A5584" s="2">
        <v>5583</v>
      </c>
      <c r="B5584" s="3" t="s">
        <v>29</v>
      </c>
      <c r="C5584" s="4" t="str">
        <f t="shared" si="443"/>
        <v>Nghệ An</v>
      </c>
      <c r="D5584" s="3" t="s">
        <v>373</v>
      </c>
      <c r="E5584" s="4" t="str">
        <f t="shared" si="442"/>
        <v>Huyện Đô Lương</v>
      </c>
      <c r="F5584" s="3" t="s">
        <v>6347</v>
      </c>
      <c r="G5584" s="4" t="str">
        <f>HYPERLINK("https://diaocthongthai.com/xa-dong-son-do-luong/","Xã Đông Sơn")</f>
        <v>Xã Đông Sơn</v>
      </c>
    </row>
    <row r="5585" spans="1:7" x14ac:dyDescent="0.25">
      <c r="A5585" s="2">
        <v>5584</v>
      </c>
      <c r="B5585" s="3" t="s">
        <v>29</v>
      </c>
      <c r="C5585" s="4" t="str">
        <f t="shared" si="443"/>
        <v>Nghệ An</v>
      </c>
      <c r="D5585" s="3" t="s">
        <v>373</v>
      </c>
      <c r="E5585" s="4" t="str">
        <f t="shared" si="442"/>
        <v>Huyện Đô Lương</v>
      </c>
      <c r="F5585" s="3" t="s">
        <v>6348</v>
      </c>
      <c r="G5585" s="4" t="str">
        <f>HYPERLINK("https://diaocthongthai.com/xa-nam-son-do-luong/","Xã Nam Sơn")</f>
        <v>Xã Nam Sơn</v>
      </c>
    </row>
    <row r="5586" spans="1:7" x14ac:dyDescent="0.25">
      <c r="A5586" s="2">
        <v>5585</v>
      </c>
      <c r="B5586" s="3" t="s">
        <v>29</v>
      </c>
      <c r="C5586" s="4" t="str">
        <f t="shared" si="443"/>
        <v>Nghệ An</v>
      </c>
      <c r="D5586" s="3" t="s">
        <v>373</v>
      </c>
      <c r="E5586" s="4" t="str">
        <f t="shared" si="442"/>
        <v>Huyện Đô Lương</v>
      </c>
      <c r="F5586" s="3" t="s">
        <v>6349</v>
      </c>
      <c r="G5586" s="4" t="str">
        <f>HYPERLINK("https://diaocthongthai.com/xa-luu-son-do-luong/","Xã Lưu Sơn")</f>
        <v>Xã Lưu Sơn</v>
      </c>
    </row>
    <row r="5587" spans="1:7" x14ac:dyDescent="0.25">
      <c r="A5587" s="2">
        <v>5586</v>
      </c>
      <c r="B5587" s="3" t="s">
        <v>29</v>
      </c>
      <c r="C5587" s="4" t="str">
        <f t="shared" si="443"/>
        <v>Nghệ An</v>
      </c>
      <c r="D5587" s="3" t="s">
        <v>373</v>
      </c>
      <c r="E5587" s="4" t="str">
        <f t="shared" si="442"/>
        <v>Huyện Đô Lương</v>
      </c>
      <c r="F5587" s="3" t="s">
        <v>6350</v>
      </c>
      <c r="G5587" s="4" t="str">
        <f>HYPERLINK("https://diaocthongthai.com/xa-yen-son-do-luong/","Xã Yên Sơn")</f>
        <v>Xã Yên Sơn</v>
      </c>
    </row>
    <row r="5588" spans="1:7" x14ac:dyDescent="0.25">
      <c r="A5588" s="2">
        <v>5587</v>
      </c>
      <c r="B5588" s="3" t="s">
        <v>29</v>
      </c>
      <c r="C5588" s="4" t="str">
        <f t="shared" si="443"/>
        <v>Nghệ An</v>
      </c>
      <c r="D5588" s="3" t="s">
        <v>373</v>
      </c>
      <c r="E5588" s="4" t="str">
        <f t="shared" si="442"/>
        <v>Huyện Đô Lương</v>
      </c>
      <c r="F5588" s="3" t="s">
        <v>6351</v>
      </c>
      <c r="G5588" s="4" t="str">
        <f>HYPERLINK("https://diaocthongthai.com/xa-van-son-do-luong/","Xã Văn Sơn")</f>
        <v>Xã Văn Sơn</v>
      </c>
    </row>
    <row r="5589" spans="1:7" x14ac:dyDescent="0.25">
      <c r="A5589" s="2">
        <v>5588</v>
      </c>
      <c r="B5589" s="3" t="s">
        <v>29</v>
      </c>
      <c r="C5589" s="4" t="str">
        <f t="shared" si="443"/>
        <v>Nghệ An</v>
      </c>
      <c r="D5589" s="3" t="s">
        <v>373</v>
      </c>
      <c r="E5589" s="4" t="str">
        <f t="shared" si="442"/>
        <v>Huyện Đô Lương</v>
      </c>
      <c r="F5589" s="3" t="s">
        <v>6352</v>
      </c>
      <c r="G5589" s="4" t="str">
        <f>HYPERLINK("https://diaocthongthai.com/xa-da-son-do-luong/","Xã Đà Sơn")</f>
        <v>Xã Đà Sơn</v>
      </c>
    </row>
    <row r="5590" spans="1:7" x14ac:dyDescent="0.25">
      <c r="A5590" s="2">
        <v>5589</v>
      </c>
      <c r="B5590" s="3" t="s">
        <v>29</v>
      </c>
      <c r="C5590" s="4" t="str">
        <f t="shared" si="443"/>
        <v>Nghệ An</v>
      </c>
      <c r="D5590" s="3" t="s">
        <v>373</v>
      </c>
      <c r="E5590" s="4" t="str">
        <f t="shared" si="442"/>
        <v>Huyện Đô Lương</v>
      </c>
      <c r="F5590" s="3" t="s">
        <v>6353</v>
      </c>
      <c r="G5590" s="4" t="str">
        <f>HYPERLINK("https://diaocthongthai.com/xa-lac-son-do-luong/","Xã Lạc Sơn")</f>
        <v>Xã Lạc Sơn</v>
      </c>
    </row>
    <row r="5591" spans="1:7" x14ac:dyDescent="0.25">
      <c r="A5591" s="2">
        <v>5590</v>
      </c>
      <c r="B5591" s="3" t="s">
        <v>29</v>
      </c>
      <c r="C5591" s="4" t="str">
        <f t="shared" si="443"/>
        <v>Nghệ An</v>
      </c>
      <c r="D5591" s="3" t="s">
        <v>373</v>
      </c>
      <c r="E5591" s="4" t="str">
        <f t="shared" si="442"/>
        <v>Huyện Đô Lương</v>
      </c>
      <c r="F5591" s="3" t="s">
        <v>6354</v>
      </c>
      <c r="G5591" s="4" t="str">
        <f>HYPERLINK("https://diaocthongthai.com/xa-tan-son-do-luong/","Xã Tân Sơn")</f>
        <v>Xã Tân Sơn</v>
      </c>
    </row>
    <row r="5592" spans="1:7" x14ac:dyDescent="0.25">
      <c r="A5592" s="2">
        <v>5591</v>
      </c>
      <c r="B5592" s="3" t="s">
        <v>29</v>
      </c>
      <c r="C5592" s="4" t="str">
        <f t="shared" si="443"/>
        <v>Nghệ An</v>
      </c>
      <c r="D5592" s="3" t="s">
        <v>373</v>
      </c>
      <c r="E5592" s="4" t="str">
        <f t="shared" si="442"/>
        <v>Huyện Đô Lương</v>
      </c>
      <c r="F5592" s="3" t="s">
        <v>6355</v>
      </c>
      <c r="G5592" s="4" t="str">
        <f>HYPERLINK("https://diaocthongthai.com/xa-thai-son-do-luong/","Xã Thái Sơn")</f>
        <v>Xã Thái Sơn</v>
      </c>
    </row>
    <row r="5593" spans="1:7" x14ac:dyDescent="0.25">
      <c r="A5593" s="2">
        <v>5592</v>
      </c>
      <c r="B5593" s="3" t="s">
        <v>29</v>
      </c>
      <c r="C5593" s="4" t="str">
        <f t="shared" si="443"/>
        <v>Nghệ An</v>
      </c>
      <c r="D5593" s="3" t="s">
        <v>373</v>
      </c>
      <c r="E5593" s="4" t="str">
        <f t="shared" si="442"/>
        <v>Huyện Đô Lương</v>
      </c>
      <c r="F5593" s="3" t="s">
        <v>6356</v>
      </c>
      <c r="G5593" s="4" t="str">
        <f>HYPERLINK("https://diaocthongthai.com/xa-quang-son-do-luong/","Xã Quang Sơn")</f>
        <v>Xã Quang Sơn</v>
      </c>
    </row>
    <row r="5594" spans="1:7" x14ac:dyDescent="0.25">
      <c r="A5594" s="2">
        <v>5593</v>
      </c>
      <c r="B5594" s="3" t="s">
        <v>29</v>
      </c>
      <c r="C5594" s="4" t="str">
        <f t="shared" si="443"/>
        <v>Nghệ An</v>
      </c>
      <c r="D5594" s="3" t="s">
        <v>373</v>
      </c>
      <c r="E5594" s="4" t="str">
        <f t="shared" si="442"/>
        <v>Huyện Đô Lương</v>
      </c>
      <c r="F5594" s="3" t="s">
        <v>6357</v>
      </c>
      <c r="G5594" s="4" t="str">
        <f>HYPERLINK("https://diaocthongthai.com/xa-thinh-son-do-luong/","Xã Thịnh Sơn")</f>
        <v>Xã Thịnh Sơn</v>
      </c>
    </row>
    <row r="5595" spans="1:7" x14ac:dyDescent="0.25">
      <c r="A5595" s="2">
        <v>5594</v>
      </c>
      <c r="B5595" s="3" t="s">
        <v>29</v>
      </c>
      <c r="C5595" s="4" t="str">
        <f t="shared" si="443"/>
        <v>Nghệ An</v>
      </c>
      <c r="D5595" s="3" t="s">
        <v>373</v>
      </c>
      <c r="E5595" s="4" t="str">
        <f t="shared" si="442"/>
        <v>Huyện Đô Lương</v>
      </c>
      <c r="F5595" s="3" t="s">
        <v>6358</v>
      </c>
      <c r="G5595" s="4" t="str">
        <f>HYPERLINK("https://diaocthongthai.com/xa-trung-son-do-luong/","Xã Trung Sơn")</f>
        <v>Xã Trung Sơn</v>
      </c>
    </row>
    <row r="5596" spans="1:7" x14ac:dyDescent="0.25">
      <c r="A5596" s="2">
        <v>5595</v>
      </c>
      <c r="B5596" s="3" t="s">
        <v>29</v>
      </c>
      <c r="C5596" s="4" t="str">
        <f t="shared" si="443"/>
        <v>Nghệ An</v>
      </c>
      <c r="D5596" s="3" t="s">
        <v>373</v>
      </c>
      <c r="E5596" s="4" t="str">
        <f t="shared" si="442"/>
        <v>Huyện Đô Lương</v>
      </c>
      <c r="F5596" s="3" t="s">
        <v>6359</v>
      </c>
      <c r="G5596" s="4" t="str">
        <f>HYPERLINK("https://diaocthongthai.com/xa-xuan-son-do-luong/","Xã Xuân Sơn")</f>
        <v>Xã Xuân Sơn</v>
      </c>
    </row>
    <row r="5597" spans="1:7" x14ac:dyDescent="0.25">
      <c r="A5597" s="2">
        <v>5596</v>
      </c>
      <c r="B5597" s="3" t="s">
        <v>29</v>
      </c>
      <c r="C5597" s="4" t="str">
        <f t="shared" si="443"/>
        <v>Nghệ An</v>
      </c>
      <c r="D5597" s="3" t="s">
        <v>373</v>
      </c>
      <c r="E5597" s="4" t="str">
        <f t="shared" si="442"/>
        <v>Huyện Đô Lương</v>
      </c>
      <c r="F5597" s="3" t="s">
        <v>6360</v>
      </c>
      <c r="G5597" s="4" t="str">
        <f>HYPERLINK("https://diaocthongthai.com/xa-minh-son-do-luong/","Xã Minh Sơn")</f>
        <v>Xã Minh Sơn</v>
      </c>
    </row>
    <row r="5598" spans="1:7" x14ac:dyDescent="0.25">
      <c r="A5598" s="2">
        <v>5597</v>
      </c>
      <c r="B5598" s="3" t="s">
        <v>29</v>
      </c>
      <c r="C5598" s="4" t="str">
        <f t="shared" si="443"/>
        <v>Nghệ An</v>
      </c>
      <c r="D5598" s="3" t="s">
        <v>373</v>
      </c>
      <c r="E5598" s="4" t="str">
        <f t="shared" si="442"/>
        <v>Huyện Đô Lương</v>
      </c>
      <c r="F5598" s="3" t="s">
        <v>6361</v>
      </c>
      <c r="G5598" s="4" t="str">
        <f>HYPERLINK("https://diaocthongthai.com/xa-thuan-son-do-luong/","Xã Thuận Sơn")</f>
        <v>Xã Thuận Sơn</v>
      </c>
    </row>
    <row r="5599" spans="1:7" x14ac:dyDescent="0.25">
      <c r="A5599" s="2">
        <v>5598</v>
      </c>
      <c r="B5599" s="3" t="s">
        <v>29</v>
      </c>
      <c r="C5599" s="4" t="str">
        <f t="shared" si="443"/>
        <v>Nghệ An</v>
      </c>
      <c r="D5599" s="3" t="s">
        <v>373</v>
      </c>
      <c r="E5599" s="4" t="str">
        <f t="shared" si="442"/>
        <v>Huyện Đô Lương</v>
      </c>
      <c r="F5599" s="3" t="s">
        <v>6362</v>
      </c>
      <c r="G5599" s="4" t="str">
        <f>HYPERLINK("https://diaocthongthai.com/xa-nhan-son-do-luong/","Xã Nhân Sơn")</f>
        <v>Xã Nhân Sơn</v>
      </c>
    </row>
    <row r="5600" spans="1:7" x14ac:dyDescent="0.25">
      <c r="A5600" s="2">
        <v>5599</v>
      </c>
      <c r="B5600" s="3" t="s">
        <v>29</v>
      </c>
      <c r="C5600" s="4" t="str">
        <f t="shared" si="443"/>
        <v>Nghệ An</v>
      </c>
      <c r="D5600" s="3" t="s">
        <v>373</v>
      </c>
      <c r="E5600" s="4" t="str">
        <f t="shared" si="442"/>
        <v>Huyện Đô Lương</v>
      </c>
      <c r="F5600" s="3" t="s">
        <v>6363</v>
      </c>
      <c r="G5600" s="4" t="str">
        <f>HYPERLINK("https://diaocthongthai.com/xa-hien-son-do-luong/","Xã Hiến Sơn")</f>
        <v>Xã Hiến Sơn</v>
      </c>
    </row>
    <row r="5601" spans="1:7" x14ac:dyDescent="0.25">
      <c r="A5601" s="2">
        <v>5600</v>
      </c>
      <c r="B5601" s="3" t="s">
        <v>29</v>
      </c>
      <c r="C5601" s="4" t="str">
        <f t="shared" si="443"/>
        <v>Nghệ An</v>
      </c>
      <c r="D5601" s="3" t="s">
        <v>373</v>
      </c>
      <c r="E5601" s="4" t="str">
        <f t="shared" si="442"/>
        <v>Huyện Đô Lương</v>
      </c>
      <c r="F5601" s="3" t="s">
        <v>6364</v>
      </c>
      <c r="G5601" s="4" t="str">
        <f>HYPERLINK("https://diaocthongthai.com/xa-my-son-do-luong/","Xã Mỹ Sơn")</f>
        <v>Xã Mỹ Sơn</v>
      </c>
    </row>
    <row r="5602" spans="1:7" x14ac:dyDescent="0.25">
      <c r="A5602" s="2">
        <v>5601</v>
      </c>
      <c r="B5602" s="3" t="s">
        <v>29</v>
      </c>
      <c r="C5602" s="4" t="str">
        <f t="shared" si="443"/>
        <v>Nghệ An</v>
      </c>
      <c r="D5602" s="3" t="s">
        <v>373</v>
      </c>
      <c r="E5602" s="4" t="str">
        <f t="shared" si="442"/>
        <v>Huyện Đô Lương</v>
      </c>
      <c r="F5602" s="3" t="s">
        <v>6365</v>
      </c>
      <c r="G5602" s="4" t="str">
        <f>HYPERLINK("https://diaocthongthai.com/xa-tru-son-do-luong/","Xã Trù Sơn")</f>
        <v>Xã Trù Sơn</v>
      </c>
    </row>
    <row r="5603" spans="1:7" x14ac:dyDescent="0.25">
      <c r="A5603" s="2">
        <v>5602</v>
      </c>
      <c r="B5603" s="3" t="s">
        <v>29</v>
      </c>
      <c r="C5603" s="4" t="str">
        <f t="shared" si="443"/>
        <v>Nghệ An</v>
      </c>
      <c r="D5603" s="3" t="s">
        <v>373</v>
      </c>
      <c r="E5603" s="4" t="str">
        <f t="shared" si="442"/>
        <v>Huyện Đô Lương</v>
      </c>
      <c r="F5603" s="3" t="s">
        <v>6366</v>
      </c>
      <c r="G5603" s="4" t="str">
        <f>HYPERLINK("https://diaocthongthai.com/xa-dai-son-do-luong/","Xã Đại Sơn")</f>
        <v>Xã Đại Sơn</v>
      </c>
    </row>
    <row r="5604" spans="1:7" x14ac:dyDescent="0.25">
      <c r="A5604" s="2">
        <v>5603</v>
      </c>
      <c r="B5604" s="3" t="s">
        <v>29</v>
      </c>
      <c r="C5604" s="4" t="str">
        <f t="shared" si="443"/>
        <v>Nghệ An</v>
      </c>
      <c r="D5604" s="3" t="s">
        <v>374</v>
      </c>
      <c r="E5604" s="4" t="str">
        <f t="shared" ref="E5604:E5641" si="444">HYPERLINK("https://diaocthongthai.com/ban-do-huyen-thanh-chuong-nghe-an/","Huyện Thanh Chương")</f>
        <v>Huyện Thanh Chương</v>
      </c>
      <c r="F5604" s="3" t="s">
        <v>6367</v>
      </c>
      <c r="G5604" s="4" t="str">
        <f>HYPERLINK("https://diaocthongthai.com/thi-tran-thanh-chuong-thanh-chuong/","Thị trấn Thanh Chương")</f>
        <v>Thị trấn Thanh Chương</v>
      </c>
    </row>
    <row r="5605" spans="1:7" x14ac:dyDescent="0.25">
      <c r="A5605" s="2">
        <v>5604</v>
      </c>
      <c r="B5605" s="3" t="s">
        <v>29</v>
      </c>
      <c r="C5605" s="4" t="str">
        <f t="shared" si="443"/>
        <v>Nghệ An</v>
      </c>
      <c r="D5605" s="3" t="s">
        <v>374</v>
      </c>
      <c r="E5605" s="4" t="str">
        <f t="shared" si="444"/>
        <v>Huyện Thanh Chương</v>
      </c>
      <c r="F5605" s="3" t="s">
        <v>6368</v>
      </c>
      <c r="G5605" s="4" t="str">
        <f>HYPERLINK("https://diaocthongthai.com/xa-cat-van-thanh-chuong/","Xã Cát Văn")</f>
        <v>Xã Cát Văn</v>
      </c>
    </row>
    <row r="5606" spans="1:7" x14ac:dyDescent="0.25">
      <c r="A5606" s="2">
        <v>5605</v>
      </c>
      <c r="B5606" s="3" t="s">
        <v>29</v>
      </c>
      <c r="C5606" s="4" t="str">
        <f t="shared" si="443"/>
        <v>Nghệ An</v>
      </c>
      <c r="D5606" s="3" t="s">
        <v>374</v>
      </c>
      <c r="E5606" s="4" t="str">
        <f t="shared" si="444"/>
        <v>Huyện Thanh Chương</v>
      </c>
      <c r="F5606" s="3" t="s">
        <v>6369</v>
      </c>
      <c r="G5606" s="4" t="str">
        <f>HYPERLINK("https://diaocthongthai.com/xa-thanh-nho-thanh-chuong/","Xã Thanh Nho")</f>
        <v>Xã Thanh Nho</v>
      </c>
    </row>
    <row r="5607" spans="1:7" x14ac:dyDescent="0.25">
      <c r="A5607" s="2">
        <v>5606</v>
      </c>
      <c r="B5607" s="3" t="s">
        <v>29</v>
      </c>
      <c r="C5607" s="4" t="str">
        <f t="shared" si="443"/>
        <v>Nghệ An</v>
      </c>
      <c r="D5607" s="3" t="s">
        <v>374</v>
      </c>
      <c r="E5607" s="4" t="str">
        <f t="shared" si="444"/>
        <v>Huyện Thanh Chương</v>
      </c>
      <c r="F5607" s="3" t="s">
        <v>6370</v>
      </c>
      <c r="G5607" s="4" t="str">
        <f>HYPERLINK("https://diaocthongthai.com/xa-hanh-lam-thanh-chuong/","Xã Hạnh Lâm")</f>
        <v>Xã Hạnh Lâm</v>
      </c>
    </row>
    <row r="5608" spans="1:7" x14ac:dyDescent="0.25">
      <c r="A5608" s="2">
        <v>5607</v>
      </c>
      <c r="B5608" s="3" t="s">
        <v>29</v>
      </c>
      <c r="C5608" s="4" t="str">
        <f t="shared" si="443"/>
        <v>Nghệ An</v>
      </c>
      <c r="D5608" s="3" t="s">
        <v>374</v>
      </c>
      <c r="E5608" s="4" t="str">
        <f t="shared" si="444"/>
        <v>Huyện Thanh Chương</v>
      </c>
      <c r="F5608" s="3" t="s">
        <v>6371</v>
      </c>
      <c r="G5608" s="4" t="str">
        <f>HYPERLINK("https://diaocthongthai.com/xa-thanh-son-thanh-chuong/","Xã Thanh Sơn")</f>
        <v>Xã Thanh Sơn</v>
      </c>
    </row>
    <row r="5609" spans="1:7" x14ac:dyDescent="0.25">
      <c r="A5609" s="2">
        <v>5608</v>
      </c>
      <c r="B5609" s="3" t="s">
        <v>29</v>
      </c>
      <c r="C5609" s="4" t="str">
        <f t="shared" si="443"/>
        <v>Nghệ An</v>
      </c>
      <c r="D5609" s="3" t="s">
        <v>374</v>
      </c>
      <c r="E5609" s="4" t="str">
        <f t="shared" si="444"/>
        <v>Huyện Thanh Chương</v>
      </c>
      <c r="F5609" s="3" t="s">
        <v>6372</v>
      </c>
      <c r="G5609" s="4" t="str">
        <f>HYPERLINK("https://diaocthongthai.com/xa-thanh-hoa-thanh-chuong/","Xã Thanh Hòa")</f>
        <v>Xã Thanh Hòa</v>
      </c>
    </row>
    <row r="5610" spans="1:7" x14ac:dyDescent="0.25">
      <c r="A5610" s="2">
        <v>5609</v>
      </c>
      <c r="B5610" s="3" t="s">
        <v>29</v>
      </c>
      <c r="C5610" s="4" t="str">
        <f t="shared" si="443"/>
        <v>Nghệ An</v>
      </c>
      <c r="D5610" s="3" t="s">
        <v>374</v>
      </c>
      <c r="E5610" s="4" t="str">
        <f t="shared" si="444"/>
        <v>Huyện Thanh Chương</v>
      </c>
      <c r="F5610" s="3" t="s">
        <v>6373</v>
      </c>
      <c r="G5610" s="4" t="str">
        <f>HYPERLINK("https://diaocthongthai.com/xa-phong-thinh-thanh-chuong/","Xã Phong Thịnh")</f>
        <v>Xã Phong Thịnh</v>
      </c>
    </row>
    <row r="5611" spans="1:7" x14ac:dyDescent="0.25">
      <c r="A5611" s="2">
        <v>5610</v>
      </c>
      <c r="B5611" s="3" t="s">
        <v>29</v>
      </c>
      <c r="C5611" s="4" t="str">
        <f t="shared" si="443"/>
        <v>Nghệ An</v>
      </c>
      <c r="D5611" s="3" t="s">
        <v>374</v>
      </c>
      <c r="E5611" s="4" t="str">
        <f t="shared" si="444"/>
        <v>Huyện Thanh Chương</v>
      </c>
      <c r="F5611" s="3" t="s">
        <v>6374</v>
      </c>
      <c r="G5611" s="4" t="str">
        <f>HYPERLINK("https://diaocthongthai.com/xa-thanh-phong-thanh-chuong/","Xã Thanh Phong")</f>
        <v>Xã Thanh Phong</v>
      </c>
    </row>
    <row r="5612" spans="1:7" x14ac:dyDescent="0.25">
      <c r="A5612" s="2">
        <v>5611</v>
      </c>
      <c r="B5612" s="3" t="s">
        <v>29</v>
      </c>
      <c r="C5612" s="4" t="str">
        <f t="shared" si="443"/>
        <v>Nghệ An</v>
      </c>
      <c r="D5612" s="3" t="s">
        <v>374</v>
      </c>
      <c r="E5612" s="4" t="str">
        <f t="shared" si="444"/>
        <v>Huyện Thanh Chương</v>
      </c>
      <c r="F5612" s="3" t="s">
        <v>6375</v>
      </c>
      <c r="G5612" s="4" t="str">
        <f>HYPERLINK("https://diaocthongthai.com/xa-thanh-my-thanh-chuong/","Xã Thanh Mỹ")</f>
        <v>Xã Thanh Mỹ</v>
      </c>
    </row>
    <row r="5613" spans="1:7" x14ac:dyDescent="0.25">
      <c r="A5613" s="2">
        <v>5612</v>
      </c>
      <c r="B5613" s="3" t="s">
        <v>29</v>
      </c>
      <c r="C5613" s="4" t="str">
        <f t="shared" si="443"/>
        <v>Nghệ An</v>
      </c>
      <c r="D5613" s="3" t="s">
        <v>374</v>
      </c>
      <c r="E5613" s="4" t="str">
        <f t="shared" si="444"/>
        <v>Huyện Thanh Chương</v>
      </c>
      <c r="F5613" s="3" t="s">
        <v>6376</v>
      </c>
      <c r="G5613" s="4" t="str">
        <f>HYPERLINK("https://diaocthongthai.com/xa-thanh-tien-thanh-chuong/","Xã Thanh Tiên")</f>
        <v>Xã Thanh Tiên</v>
      </c>
    </row>
    <row r="5614" spans="1:7" x14ac:dyDescent="0.25">
      <c r="A5614" s="2">
        <v>5613</v>
      </c>
      <c r="B5614" s="3" t="s">
        <v>29</v>
      </c>
      <c r="C5614" s="4" t="str">
        <f t="shared" si="443"/>
        <v>Nghệ An</v>
      </c>
      <c r="D5614" s="3" t="s">
        <v>374</v>
      </c>
      <c r="E5614" s="4" t="str">
        <f t="shared" si="444"/>
        <v>Huyện Thanh Chương</v>
      </c>
      <c r="F5614" s="3" t="s">
        <v>6377</v>
      </c>
      <c r="G5614" s="4" t="str">
        <f>HYPERLINK("https://diaocthongthai.com/xa-thanh-lien-thanh-chuong/","Xã Thanh Liên")</f>
        <v>Xã Thanh Liên</v>
      </c>
    </row>
    <row r="5615" spans="1:7" x14ac:dyDescent="0.25">
      <c r="A5615" s="2">
        <v>5614</v>
      </c>
      <c r="B5615" s="3" t="s">
        <v>29</v>
      </c>
      <c r="C5615" s="4" t="str">
        <f t="shared" si="443"/>
        <v>Nghệ An</v>
      </c>
      <c r="D5615" s="3" t="s">
        <v>374</v>
      </c>
      <c r="E5615" s="4" t="str">
        <f t="shared" si="444"/>
        <v>Huyện Thanh Chương</v>
      </c>
      <c r="F5615" s="3" t="s">
        <v>6378</v>
      </c>
      <c r="G5615" s="4" t="str">
        <f>HYPERLINK("https://diaocthongthai.com/xa-dai-dong-thanh-chuong/","Xã Đại Đồng")</f>
        <v>Xã Đại Đồng</v>
      </c>
    </row>
    <row r="5616" spans="1:7" x14ac:dyDescent="0.25">
      <c r="A5616" s="2">
        <v>5615</v>
      </c>
      <c r="B5616" s="3" t="s">
        <v>29</v>
      </c>
      <c r="C5616" s="4" t="str">
        <f t="shared" si="443"/>
        <v>Nghệ An</v>
      </c>
      <c r="D5616" s="3" t="s">
        <v>374</v>
      </c>
      <c r="E5616" s="4" t="str">
        <f t="shared" si="444"/>
        <v>Huyện Thanh Chương</v>
      </c>
      <c r="F5616" s="3" t="s">
        <v>6379</v>
      </c>
      <c r="G5616" s="4" t="str">
        <f>HYPERLINK("https://diaocthongthai.com/xa-thanh-dong-thanh-chuong/","Xã Thanh Đồng")</f>
        <v>Xã Thanh Đồng</v>
      </c>
    </row>
    <row r="5617" spans="1:7" x14ac:dyDescent="0.25">
      <c r="A5617" s="2">
        <v>5616</v>
      </c>
      <c r="B5617" s="3" t="s">
        <v>29</v>
      </c>
      <c r="C5617" s="4" t="str">
        <f t="shared" si="443"/>
        <v>Nghệ An</v>
      </c>
      <c r="D5617" s="3" t="s">
        <v>374</v>
      </c>
      <c r="E5617" s="4" t="str">
        <f t="shared" si="444"/>
        <v>Huyện Thanh Chương</v>
      </c>
      <c r="F5617" s="3" t="s">
        <v>6380</v>
      </c>
      <c r="G5617" s="4" t="str">
        <f>HYPERLINK("https://diaocthongthai.com/xa-thanh-ngoc-thanh-chuong/","Xã Thanh Ngọc")</f>
        <v>Xã Thanh Ngọc</v>
      </c>
    </row>
    <row r="5618" spans="1:7" x14ac:dyDescent="0.25">
      <c r="A5618" s="2">
        <v>5617</v>
      </c>
      <c r="B5618" s="3" t="s">
        <v>29</v>
      </c>
      <c r="C5618" s="4" t="str">
        <f t="shared" si="443"/>
        <v>Nghệ An</v>
      </c>
      <c r="D5618" s="3" t="s">
        <v>374</v>
      </c>
      <c r="E5618" s="4" t="str">
        <f t="shared" si="444"/>
        <v>Huyện Thanh Chương</v>
      </c>
      <c r="F5618" s="3" t="s">
        <v>6381</v>
      </c>
      <c r="G5618" s="4" t="str">
        <f>HYPERLINK("https://diaocthongthai.com/xa-thanh-huong-thanh-chuong/","Xã Thanh Hương")</f>
        <v>Xã Thanh Hương</v>
      </c>
    </row>
    <row r="5619" spans="1:7" x14ac:dyDescent="0.25">
      <c r="A5619" s="2">
        <v>5618</v>
      </c>
      <c r="B5619" s="3" t="s">
        <v>29</v>
      </c>
      <c r="C5619" s="4" t="str">
        <f t="shared" si="443"/>
        <v>Nghệ An</v>
      </c>
      <c r="D5619" s="3" t="s">
        <v>374</v>
      </c>
      <c r="E5619" s="4" t="str">
        <f t="shared" si="444"/>
        <v>Huyện Thanh Chương</v>
      </c>
      <c r="F5619" s="3" t="s">
        <v>6382</v>
      </c>
      <c r="G5619" s="4" t="str">
        <f>HYPERLINK("https://diaocthongthai.com/xa-ngoc-lam-thanh-chuong/","Xã Ngọc Lâm")</f>
        <v>Xã Ngọc Lâm</v>
      </c>
    </row>
    <row r="5620" spans="1:7" x14ac:dyDescent="0.25">
      <c r="A5620" s="2">
        <v>5619</v>
      </c>
      <c r="B5620" s="3" t="s">
        <v>29</v>
      </c>
      <c r="C5620" s="4" t="str">
        <f t="shared" si="443"/>
        <v>Nghệ An</v>
      </c>
      <c r="D5620" s="3" t="s">
        <v>374</v>
      </c>
      <c r="E5620" s="4" t="str">
        <f t="shared" si="444"/>
        <v>Huyện Thanh Chương</v>
      </c>
      <c r="F5620" s="3" t="s">
        <v>6383</v>
      </c>
      <c r="G5620" s="4" t="str">
        <f>HYPERLINK("https://diaocthongthai.com/xa-thanh-linh-thanh-chuong/","Xã Thanh Lĩnh")</f>
        <v>Xã Thanh Lĩnh</v>
      </c>
    </row>
    <row r="5621" spans="1:7" x14ac:dyDescent="0.25">
      <c r="A5621" s="2">
        <v>5620</v>
      </c>
      <c r="B5621" s="3" t="s">
        <v>29</v>
      </c>
      <c r="C5621" s="4" t="str">
        <f t="shared" si="443"/>
        <v>Nghệ An</v>
      </c>
      <c r="D5621" s="3" t="s">
        <v>374</v>
      </c>
      <c r="E5621" s="4" t="str">
        <f t="shared" si="444"/>
        <v>Huyện Thanh Chương</v>
      </c>
      <c r="F5621" s="3" t="s">
        <v>6384</v>
      </c>
      <c r="G5621" s="4" t="str">
        <f>HYPERLINK("https://diaocthongthai.com/xa-dong-van-thanh-chuong/","Xã Đồng Văn")</f>
        <v>Xã Đồng Văn</v>
      </c>
    </row>
    <row r="5622" spans="1:7" x14ac:dyDescent="0.25">
      <c r="A5622" s="2">
        <v>5621</v>
      </c>
      <c r="B5622" s="3" t="s">
        <v>29</v>
      </c>
      <c r="C5622" s="4" t="str">
        <f t="shared" si="443"/>
        <v>Nghệ An</v>
      </c>
      <c r="D5622" s="3" t="s">
        <v>374</v>
      </c>
      <c r="E5622" s="4" t="str">
        <f t="shared" si="444"/>
        <v>Huyện Thanh Chương</v>
      </c>
      <c r="F5622" s="3" t="s">
        <v>6385</v>
      </c>
      <c r="G5622" s="4" t="str">
        <f>HYPERLINK("https://diaocthongthai.com/xa-ngoc-son-thanh-chuong/","Xã Ngọc Sơn")</f>
        <v>Xã Ngọc Sơn</v>
      </c>
    </row>
    <row r="5623" spans="1:7" x14ac:dyDescent="0.25">
      <c r="A5623" s="2">
        <v>5622</v>
      </c>
      <c r="B5623" s="3" t="s">
        <v>29</v>
      </c>
      <c r="C5623" s="4" t="str">
        <f t="shared" si="443"/>
        <v>Nghệ An</v>
      </c>
      <c r="D5623" s="3" t="s">
        <v>374</v>
      </c>
      <c r="E5623" s="4" t="str">
        <f t="shared" si="444"/>
        <v>Huyện Thanh Chương</v>
      </c>
      <c r="F5623" s="3" t="s">
        <v>6386</v>
      </c>
      <c r="G5623" s="4" t="str">
        <f>HYPERLINK("https://diaocthongthai.com/xa-thanh-thinh-thanh-chuong/","Xã Thanh Thịnh")</f>
        <v>Xã Thanh Thịnh</v>
      </c>
    </row>
    <row r="5624" spans="1:7" x14ac:dyDescent="0.25">
      <c r="A5624" s="2">
        <v>5623</v>
      </c>
      <c r="B5624" s="3" t="s">
        <v>29</v>
      </c>
      <c r="C5624" s="4" t="str">
        <f t="shared" si="443"/>
        <v>Nghệ An</v>
      </c>
      <c r="D5624" s="3" t="s">
        <v>374</v>
      </c>
      <c r="E5624" s="4" t="str">
        <f t="shared" si="444"/>
        <v>Huyện Thanh Chương</v>
      </c>
      <c r="F5624" s="3" t="s">
        <v>6387</v>
      </c>
      <c r="G5624" s="4" t="str">
        <f>HYPERLINK("https://diaocthongthai.com/xa-thanh-an-thanh-chuong/","Xã Thanh An")</f>
        <v>Xã Thanh An</v>
      </c>
    </row>
    <row r="5625" spans="1:7" x14ac:dyDescent="0.25">
      <c r="A5625" s="2">
        <v>5624</v>
      </c>
      <c r="B5625" s="3" t="s">
        <v>29</v>
      </c>
      <c r="C5625" s="4" t="str">
        <f t="shared" si="443"/>
        <v>Nghệ An</v>
      </c>
      <c r="D5625" s="3" t="s">
        <v>374</v>
      </c>
      <c r="E5625" s="4" t="str">
        <f t="shared" si="444"/>
        <v>Huyện Thanh Chương</v>
      </c>
      <c r="F5625" s="3" t="s">
        <v>6388</v>
      </c>
      <c r="G5625" s="4" t="str">
        <f>HYPERLINK("https://diaocthongthai.com/xa-thanh-chi-thanh-chuong/","Xã Thanh Chi")</f>
        <v>Xã Thanh Chi</v>
      </c>
    </row>
    <row r="5626" spans="1:7" x14ac:dyDescent="0.25">
      <c r="A5626" s="2">
        <v>5625</v>
      </c>
      <c r="B5626" s="3" t="s">
        <v>29</v>
      </c>
      <c r="C5626" s="4" t="str">
        <f t="shared" si="443"/>
        <v>Nghệ An</v>
      </c>
      <c r="D5626" s="3" t="s">
        <v>374</v>
      </c>
      <c r="E5626" s="4" t="str">
        <f t="shared" si="444"/>
        <v>Huyện Thanh Chương</v>
      </c>
      <c r="F5626" s="3" t="s">
        <v>6389</v>
      </c>
      <c r="G5626" s="4" t="str">
        <f>HYPERLINK("https://diaocthongthai.com/xa-xuan-tuong-thanh-chuong/","Xã Xuân Tường")</f>
        <v>Xã Xuân Tường</v>
      </c>
    </row>
    <row r="5627" spans="1:7" x14ac:dyDescent="0.25">
      <c r="A5627" s="2">
        <v>5626</v>
      </c>
      <c r="B5627" s="3" t="s">
        <v>29</v>
      </c>
      <c r="C5627" s="4" t="str">
        <f t="shared" si="443"/>
        <v>Nghệ An</v>
      </c>
      <c r="D5627" s="3" t="s">
        <v>374</v>
      </c>
      <c r="E5627" s="4" t="str">
        <f t="shared" si="444"/>
        <v>Huyện Thanh Chương</v>
      </c>
      <c r="F5627" s="3" t="s">
        <v>6390</v>
      </c>
      <c r="G5627" s="4" t="str">
        <f>HYPERLINK("https://diaocthongthai.com/xa-thanh-duong-thanh-chuong/","Xã Thanh Dương")</f>
        <v>Xã Thanh Dương</v>
      </c>
    </row>
    <row r="5628" spans="1:7" x14ac:dyDescent="0.25">
      <c r="A5628" s="2">
        <v>5627</v>
      </c>
      <c r="B5628" s="3" t="s">
        <v>29</v>
      </c>
      <c r="C5628" s="4" t="str">
        <f t="shared" si="443"/>
        <v>Nghệ An</v>
      </c>
      <c r="D5628" s="3" t="s">
        <v>374</v>
      </c>
      <c r="E5628" s="4" t="str">
        <f t="shared" si="444"/>
        <v>Huyện Thanh Chương</v>
      </c>
      <c r="F5628" s="3" t="s">
        <v>6391</v>
      </c>
      <c r="G5628" s="4" t="str">
        <f>HYPERLINK("https://diaocthongthai.com/xa-thanh-luong-thanh-chuong/","Xã Thanh Lương")</f>
        <v>Xã Thanh Lương</v>
      </c>
    </row>
    <row r="5629" spans="1:7" x14ac:dyDescent="0.25">
      <c r="A5629" s="2">
        <v>5628</v>
      </c>
      <c r="B5629" s="3" t="s">
        <v>29</v>
      </c>
      <c r="C5629" s="4" t="str">
        <f t="shared" si="443"/>
        <v>Nghệ An</v>
      </c>
      <c r="D5629" s="3" t="s">
        <v>374</v>
      </c>
      <c r="E5629" s="4" t="str">
        <f t="shared" si="444"/>
        <v>Huyện Thanh Chương</v>
      </c>
      <c r="F5629" s="3" t="s">
        <v>6392</v>
      </c>
      <c r="G5629" s="4" t="str">
        <f>HYPERLINK("https://diaocthongthai.com/xa-thanh-khe-thanh-chuong/","Xã Thanh Khê")</f>
        <v>Xã Thanh Khê</v>
      </c>
    </row>
    <row r="5630" spans="1:7" x14ac:dyDescent="0.25">
      <c r="A5630" s="2">
        <v>5629</v>
      </c>
      <c r="B5630" s="3" t="s">
        <v>29</v>
      </c>
      <c r="C5630" s="4" t="str">
        <f t="shared" si="443"/>
        <v>Nghệ An</v>
      </c>
      <c r="D5630" s="3" t="s">
        <v>374</v>
      </c>
      <c r="E5630" s="4" t="str">
        <f t="shared" si="444"/>
        <v>Huyện Thanh Chương</v>
      </c>
      <c r="F5630" s="3" t="s">
        <v>6393</v>
      </c>
      <c r="G5630" s="4" t="str">
        <f>HYPERLINK("https://diaocthongthai.com/xa-vo-liet-thanh-chuong/","Xã Võ Liệt")</f>
        <v>Xã Võ Liệt</v>
      </c>
    </row>
    <row r="5631" spans="1:7" x14ac:dyDescent="0.25">
      <c r="A5631" s="2">
        <v>5630</v>
      </c>
      <c r="B5631" s="3" t="s">
        <v>29</v>
      </c>
      <c r="C5631" s="4" t="str">
        <f t="shared" si="443"/>
        <v>Nghệ An</v>
      </c>
      <c r="D5631" s="3" t="s">
        <v>374</v>
      </c>
      <c r="E5631" s="4" t="str">
        <f t="shared" si="444"/>
        <v>Huyện Thanh Chương</v>
      </c>
      <c r="F5631" s="3" t="s">
        <v>6394</v>
      </c>
      <c r="G5631" s="4" t="str">
        <f>HYPERLINK("https://diaocthongthai.com/xa-thanh-long-thanh-chuong/","Xã Thanh Long")</f>
        <v>Xã Thanh Long</v>
      </c>
    </row>
    <row r="5632" spans="1:7" x14ac:dyDescent="0.25">
      <c r="A5632" s="2">
        <v>5631</v>
      </c>
      <c r="B5632" s="3" t="s">
        <v>29</v>
      </c>
      <c r="C5632" s="4" t="str">
        <f t="shared" si="443"/>
        <v>Nghệ An</v>
      </c>
      <c r="D5632" s="3" t="s">
        <v>374</v>
      </c>
      <c r="E5632" s="4" t="str">
        <f t="shared" si="444"/>
        <v>Huyện Thanh Chương</v>
      </c>
      <c r="F5632" s="3" t="s">
        <v>6395</v>
      </c>
      <c r="G5632" s="4" t="str">
        <f>HYPERLINK("https://diaocthongthai.com/xa-thanh-thuy-thanh-chuong/","Xã Thanh Thủy")</f>
        <v>Xã Thanh Thủy</v>
      </c>
    </row>
    <row r="5633" spans="1:7" x14ac:dyDescent="0.25">
      <c r="A5633" s="2">
        <v>5632</v>
      </c>
      <c r="B5633" s="3" t="s">
        <v>29</v>
      </c>
      <c r="C5633" s="4" t="str">
        <f t="shared" si="443"/>
        <v>Nghệ An</v>
      </c>
      <c r="D5633" s="3" t="s">
        <v>374</v>
      </c>
      <c r="E5633" s="4" t="str">
        <f t="shared" si="444"/>
        <v>Huyện Thanh Chương</v>
      </c>
      <c r="F5633" s="3" t="s">
        <v>6396</v>
      </c>
      <c r="G5633" s="4" t="str">
        <f>HYPERLINK("https://diaocthongthai.com/xa-thanh-khai-thanh-chuong/","Xã Thanh Khai")</f>
        <v>Xã Thanh Khai</v>
      </c>
    </row>
    <row r="5634" spans="1:7" x14ac:dyDescent="0.25">
      <c r="A5634" s="2">
        <v>5633</v>
      </c>
      <c r="B5634" s="3" t="s">
        <v>29</v>
      </c>
      <c r="C5634" s="4" t="str">
        <f t="shared" si="443"/>
        <v>Nghệ An</v>
      </c>
      <c r="D5634" s="3" t="s">
        <v>374</v>
      </c>
      <c r="E5634" s="4" t="str">
        <f t="shared" si="444"/>
        <v>Huyện Thanh Chương</v>
      </c>
      <c r="F5634" s="3" t="s">
        <v>6397</v>
      </c>
      <c r="G5634" s="4" t="str">
        <f>HYPERLINK("https://diaocthongthai.com/xa-thanh-yen-thanh-chuong/","Xã Thanh Yên")</f>
        <v>Xã Thanh Yên</v>
      </c>
    </row>
    <row r="5635" spans="1:7" x14ac:dyDescent="0.25">
      <c r="A5635" s="2">
        <v>5634</v>
      </c>
      <c r="B5635" s="3" t="s">
        <v>29</v>
      </c>
      <c r="C5635" s="4" t="str">
        <f t="shared" si="443"/>
        <v>Nghệ An</v>
      </c>
      <c r="D5635" s="3" t="s">
        <v>374</v>
      </c>
      <c r="E5635" s="4" t="str">
        <f t="shared" si="444"/>
        <v>Huyện Thanh Chương</v>
      </c>
      <c r="F5635" s="3" t="s">
        <v>6398</v>
      </c>
      <c r="G5635" s="4" t="str">
        <f>HYPERLINK("https://diaocthongthai.com/xa-thanh-ha-thanh-chuong/","Xã Thanh Hà")</f>
        <v>Xã Thanh Hà</v>
      </c>
    </row>
    <row r="5636" spans="1:7" x14ac:dyDescent="0.25">
      <c r="A5636" s="2">
        <v>5635</v>
      </c>
      <c r="B5636" s="3" t="s">
        <v>29</v>
      </c>
      <c r="C5636" s="4" t="str">
        <f t="shared" si="443"/>
        <v>Nghệ An</v>
      </c>
      <c r="D5636" s="3" t="s">
        <v>374</v>
      </c>
      <c r="E5636" s="4" t="str">
        <f t="shared" si="444"/>
        <v>Huyện Thanh Chương</v>
      </c>
      <c r="F5636" s="3" t="s">
        <v>6399</v>
      </c>
      <c r="G5636" s="4" t="str">
        <f>HYPERLINK("https://diaocthongthai.com/xa-thanh-giang-thanh-chuong/","Xã Thanh Giang")</f>
        <v>Xã Thanh Giang</v>
      </c>
    </row>
    <row r="5637" spans="1:7" x14ac:dyDescent="0.25">
      <c r="A5637" s="2">
        <v>5636</v>
      </c>
      <c r="B5637" s="3" t="s">
        <v>29</v>
      </c>
      <c r="C5637" s="4" t="str">
        <f t="shared" si="443"/>
        <v>Nghệ An</v>
      </c>
      <c r="D5637" s="3" t="s">
        <v>374</v>
      </c>
      <c r="E5637" s="4" t="str">
        <f t="shared" si="444"/>
        <v>Huyện Thanh Chương</v>
      </c>
      <c r="F5637" s="3" t="s">
        <v>6400</v>
      </c>
      <c r="G5637" s="4" t="str">
        <f>HYPERLINK("https://diaocthongthai.com/xa-thanh-tung-thanh-chuong/","Xã Thanh Tùng")</f>
        <v>Xã Thanh Tùng</v>
      </c>
    </row>
    <row r="5638" spans="1:7" x14ac:dyDescent="0.25">
      <c r="A5638" s="2">
        <v>5637</v>
      </c>
      <c r="B5638" s="3" t="s">
        <v>29</v>
      </c>
      <c r="C5638" s="4" t="str">
        <f t="shared" si="443"/>
        <v>Nghệ An</v>
      </c>
      <c r="D5638" s="3" t="s">
        <v>374</v>
      </c>
      <c r="E5638" s="4" t="str">
        <f t="shared" si="444"/>
        <v>Huyện Thanh Chương</v>
      </c>
      <c r="F5638" s="3" t="s">
        <v>6401</v>
      </c>
      <c r="G5638" s="4" t="str">
        <f>HYPERLINK("https://diaocthongthai.com/xa-thanh-lam-thanh-chuong/","Xã Thanh Lâm")</f>
        <v>Xã Thanh Lâm</v>
      </c>
    </row>
    <row r="5639" spans="1:7" x14ac:dyDescent="0.25">
      <c r="A5639" s="2">
        <v>5638</v>
      </c>
      <c r="B5639" s="3" t="s">
        <v>29</v>
      </c>
      <c r="C5639" s="4" t="str">
        <f t="shared" si="443"/>
        <v>Nghệ An</v>
      </c>
      <c r="D5639" s="3" t="s">
        <v>374</v>
      </c>
      <c r="E5639" s="4" t="str">
        <f t="shared" si="444"/>
        <v>Huyện Thanh Chương</v>
      </c>
      <c r="F5639" s="3" t="s">
        <v>6402</v>
      </c>
      <c r="G5639" s="4" t="str">
        <f>HYPERLINK("https://diaocthongthai.com/xa-thanh-mai-thanh-chuong/","Xã Thanh Mai")</f>
        <v>Xã Thanh Mai</v>
      </c>
    </row>
    <row r="5640" spans="1:7" x14ac:dyDescent="0.25">
      <c r="A5640" s="2">
        <v>5639</v>
      </c>
      <c r="B5640" s="3" t="s">
        <v>29</v>
      </c>
      <c r="C5640" s="4" t="str">
        <f t="shared" si="443"/>
        <v>Nghệ An</v>
      </c>
      <c r="D5640" s="3" t="s">
        <v>374</v>
      </c>
      <c r="E5640" s="4" t="str">
        <f t="shared" si="444"/>
        <v>Huyện Thanh Chương</v>
      </c>
      <c r="F5640" s="3" t="s">
        <v>6403</v>
      </c>
      <c r="G5640" s="4" t="str">
        <f>HYPERLINK("https://diaocthongthai.com/xa-thanh-xuan-thanh-chuong/","Xã Thanh Xuân")</f>
        <v>Xã Thanh Xuân</v>
      </c>
    </row>
    <row r="5641" spans="1:7" x14ac:dyDescent="0.25">
      <c r="A5641" s="2">
        <v>5640</v>
      </c>
      <c r="B5641" s="3" t="s">
        <v>29</v>
      </c>
      <c r="C5641" s="4" t="str">
        <f t="shared" si="443"/>
        <v>Nghệ An</v>
      </c>
      <c r="D5641" s="3" t="s">
        <v>374</v>
      </c>
      <c r="E5641" s="4" t="str">
        <f t="shared" si="444"/>
        <v>Huyện Thanh Chương</v>
      </c>
      <c r="F5641" s="3" t="s">
        <v>6404</v>
      </c>
      <c r="G5641" s="4" t="str">
        <f>HYPERLINK("https://diaocthongthai.com/xa-thanh-duc-thanh-chuong/","Xã Thanh Đức")</f>
        <v>Xã Thanh Đức</v>
      </c>
    </row>
    <row r="5642" spans="1:7" x14ac:dyDescent="0.25">
      <c r="A5642" s="2">
        <v>5641</v>
      </c>
      <c r="B5642" s="3" t="s">
        <v>29</v>
      </c>
      <c r="C5642" s="4" t="str">
        <f t="shared" ref="C5642:C5705" si="445">HYPERLINK("https://diaocthongthai.com/ban-do-nghe-an/","Nghệ An")</f>
        <v>Nghệ An</v>
      </c>
      <c r="D5642" s="3" t="s">
        <v>375</v>
      </c>
      <c r="E5642" s="4" t="str">
        <f t="shared" ref="E5642:E5670" si="446">HYPERLINK("https://diaocthongthai.com/ban-do-huyen-nghi-loc-nghe-an/","Huyện Nghi Lộc")</f>
        <v>Huyện Nghi Lộc</v>
      </c>
      <c r="F5642" s="3" t="s">
        <v>6405</v>
      </c>
      <c r="G5642" s="4" t="str">
        <f>HYPERLINK("https://diaocthongthai.com/thi-tran-quan-hanh-nghi-loc/","Thị trấn Quán Hành")</f>
        <v>Thị trấn Quán Hành</v>
      </c>
    </row>
    <row r="5643" spans="1:7" x14ac:dyDescent="0.25">
      <c r="A5643" s="2">
        <v>5642</v>
      </c>
      <c r="B5643" s="3" t="s">
        <v>29</v>
      </c>
      <c r="C5643" s="4" t="str">
        <f t="shared" si="445"/>
        <v>Nghệ An</v>
      </c>
      <c r="D5643" s="3" t="s">
        <v>375</v>
      </c>
      <c r="E5643" s="4" t="str">
        <f t="shared" si="446"/>
        <v>Huyện Nghi Lộc</v>
      </c>
      <c r="F5643" s="3" t="s">
        <v>6406</v>
      </c>
      <c r="G5643" s="4" t="str">
        <f>HYPERLINK("https://diaocthongthai.com/xa-nghi-van-2-nghi-loc/","Xã Nghi Văn")</f>
        <v>Xã Nghi Văn</v>
      </c>
    </row>
    <row r="5644" spans="1:7" x14ac:dyDescent="0.25">
      <c r="A5644" s="2">
        <v>5643</v>
      </c>
      <c r="B5644" s="3" t="s">
        <v>29</v>
      </c>
      <c r="C5644" s="4" t="str">
        <f t="shared" si="445"/>
        <v>Nghệ An</v>
      </c>
      <c r="D5644" s="3" t="s">
        <v>375</v>
      </c>
      <c r="E5644" s="4" t="str">
        <f t="shared" si="446"/>
        <v>Huyện Nghi Lộc</v>
      </c>
      <c r="F5644" s="3" t="s">
        <v>6407</v>
      </c>
      <c r="G5644" s="4" t="str">
        <f>HYPERLINK("https://diaocthongthai.com/xa-nghi-yen-nghi-loc/","Xã Nghi Yên")</f>
        <v>Xã Nghi Yên</v>
      </c>
    </row>
    <row r="5645" spans="1:7" x14ac:dyDescent="0.25">
      <c r="A5645" s="2">
        <v>5644</v>
      </c>
      <c r="B5645" s="3" t="s">
        <v>29</v>
      </c>
      <c r="C5645" s="4" t="str">
        <f t="shared" si="445"/>
        <v>Nghệ An</v>
      </c>
      <c r="D5645" s="3" t="s">
        <v>375</v>
      </c>
      <c r="E5645" s="4" t="str">
        <f t="shared" si="446"/>
        <v>Huyện Nghi Lộc</v>
      </c>
      <c r="F5645" s="3" t="s">
        <v>6408</v>
      </c>
      <c r="G5645" s="4" t="str">
        <f>HYPERLINK("https://diaocthongthai.com/xa-nghi-tien-nghi-loc/","Xã Nghi Tiến")</f>
        <v>Xã Nghi Tiến</v>
      </c>
    </row>
    <row r="5646" spans="1:7" x14ac:dyDescent="0.25">
      <c r="A5646" s="2">
        <v>5645</v>
      </c>
      <c r="B5646" s="3" t="s">
        <v>29</v>
      </c>
      <c r="C5646" s="4" t="str">
        <f t="shared" si="445"/>
        <v>Nghệ An</v>
      </c>
      <c r="D5646" s="3" t="s">
        <v>375</v>
      </c>
      <c r="E5646" s="4" t="str">
        <f t="shared" si="446"/>
        <v>Huyện Nghi Lộc</v>
      </c>
      <c r="F5646" s="3" t="s">
        <v>6409</v>
      </c>
      <c r="G5646" s="4" t="str">
        <f>HYPERLINK("https://diaocthongthai.com/xa-nghi-hung-nghi-loc/","Xã Nghi Hưng")</f>
        <v>Xã Nghi Hưng</v>
      </c>
    </row>
    <row r="5647" spans="1:7" x14ac:dyDescent="0.25">
      <c r="A5647" s="2">
        <v>5646</v>
      </c>
      <c r="B5647" s="3" t="s">
        <v>29</v>
      </c>
      <c r="C5647" s="4" t="str">
        <f t="shared" si="445"/>
        <v>Nghệ An</v>
      </c>
      <c r="D5647" s="3" t="s">
        <v>375</v>
      </c>
      <c r="E5647" s="4" t="str">
        <f t="shared" si="446"/>
        <v>Huyện Nghi Lộc</v>
      </c>
      <c r="F5647" s="3" t="s">
        <v>6410</v>
      </c>
      <c r="G5647" s="4" t="str">
        <f>HYPERLINK("https://diaocthongthai.com/xa-nghi-dong-nghi-loc/","Xã Nghi Đồng")</f>
        <v>Xã Nghi Đồng</v>
      </c>
    </row>
    <row r="5648" spans="1:7" x14ac:dyDescent="0.25">
      <c r="A5648" s="2">
        <v>5647</v>
      </c>
      <c r="B5648" s="3" t="s">
        <v>29</v>
      </c>
      <c r="C5648" s="4" t="str">
        <f t="shared" si="445"/>
        <v>Nghệ An</v>
      </c>
      <c r="D5648" s="3" t="s">
        <v>375</v>
      </c>
      <c r="E5648" s="4" t="str">
        <f t="shared" si="446"/>
        <v>Huyện Nghi Lộc</v>
      </c>
      <c r="F5648" s="3" t="s">
        <v>6411</v>
      </c>
      <c r="G5648" s="4" t="str">
        <f>HYPERLINK("https://diaocthongthai.com/xa-nghi-thiet-nghi-loc/","Xã Nghi Thiết")</f>
        <v>Xã Nghi Thiết</v>
      </c>
    </row>
    <row r="5649" spans="1:7" x14ac:dyDescent="0.25">
      <c r="A5649" s="2">
        <v>5648</v>
      </c>
      <c r="B5649" s="3" t="s">
        <v>29</v>
      </c>
      <c r="C5649" s="4" t="str">
        <f t="shared" si="445"/>
        <v>Nghệ An</v>
      </c>
      <c r="D5649" s="3" t="s">
        <v>375</v>
      </c>
      <c r="E5649" s="4" t="str">
        <f t="shared" si="446"/>
        <v>Huyện Nghi Lộc</v>
      </c>
      <c r="F5649" s="3" t="s">
        <v>6412</v>
      </c>
      <c r="G5649" s="4" t="str">
        <f>HYPERLINK("https://diaocthongthai.com/xa-nghi-lam-nghi-loc/","Xã Nghi Lâm")</f>
        <v>Xã Nghi Lâm</v>
      </c>
    </row>
    <row r="5650" spans="1:7" x14ac:dyDescent="0.25">
      <c r="A5650" s="2">
        <v>5649</v>
      </c>
      <c r="B5650" s="3" t="s">
        <v>29</v>
      </c>
      <c r="C5650" s="4" t="str">
        <f t="shared" si="445"/>
        <v>Nghệ An</v>
      </c>
      <c r="D5650" s="3" t="s">
        <v>375</v>
      </c>
      <c r="E5650" s="4" t="str">
        <f t="shared" si="446"/>
        <v>Huyện Nghi Lộc</v>
      </c>
      <c r="F5650" s="3" t="s">
        <v>6413</v>
      </c>
      <c r="G5650" s="4" t="str">
        <f>HYPERLINK("https://diaocthongthai.com/xa-nghi-quang-nghi-loc/","Xã Nghi Quang")</f>
        <v>Xã Nghi Quang</v>
      </c>
    </row>
    <row r="5651" spans="1:7" x14ac:dyDescent="0.25">
      <c r="A5651" s="2">
        <v>5650</v>
      </c>
      <c r="B5651" s="3" t="s">
        <v>29</v>
      </c>
      <c r="C5651" s="4" t="str">
        <f t="shared" si="445"/>
        <v>Nghệ An</v>
      </c>
      <c r="D5651" s="3" t="s">
        <v>375</v>
      </c>
      <c r="E5651" s="4" t="str">
        <f t="shared" si="446"/>
        <v>Huyện Nghi Lộc</v>
      </c>
      <c r="F5651" s="3" t="s">
        <v>6414</v>
      </c>
      <c r="G5651" s="4" t="str">
        <f>HYPERLINK("https://diaocthongthai.com/xa-nghi-kieu-nghi-loc/","Xã Nghi Kiều")</f>
        <v>Xã Nghi Kiều</v>
      </c>
    </row>
    <row r="5652" spans="1:7" x14ac:dyDescent="0.25">
      <c r="A5652" s="2">
        <v>5651</v>
      </c>
      <c r="B5652" s="3" t="s">
        <v>29</v>
      </c>
      <c r="C5652" s="4" t="str">
        <f t="shared" si="445"/>
        <v>Nghệ An</v>
      </c>
      <c r="D5652" s="3" t="s">
        <v>375</v>
      </c>
      <c r="E5652" s="4" t="str">
        <f t="shared" si="446"/>
        <v>Huyện Nghi Lộc</v>
      </c>
      <c r="F5652" s="3" t="s">
        <v>6415</v>
      </c>
      <c r="G5652" s="4" t="str">
        <f>HYPERLINK("https://diaocthongthai.com/xa-nghi-my-nghi-loc/","Xã Nghi Mỹ")</f>
        <v>Xã Nghi Mỹ</v>
      </c>
    </row>
    <row r="5653" spans="1:7" x14ac:dyDescent="0.25">
      <c r="A5653" s="2">
        <v>5652</v>
      </c>
      <c r="B5653" s="3" t="s">
        <v>29</v>
      </c>
      <c r="C5653" s="4" t="str">
        <f t="shared" si="445"/>
        <v>Nghệ An</v>
      </c>
      <c r="D5653" s="3" t="s">
        <v>375</v>
      </c>
      <c r="E5653" s="4" t="str">
        <f t="shared" si="446"/>
        <v>Huyện Nghi Lộc</v>
      </c>
      <c r="F5653" s="3" t="s">
        <v>6416</v>
      </c>
      <c r="G5653" s="4" t="str">
        <f>HYPERLINK("https://diaocthongthai.com/xa-nghi-phuong-nghi-loc/","Xã Nghi Phương")</f>
        <v>Xã Nghi Phương</v>
      </c>
    </row>
    <row r="5654" spans="1:7" x14ac:dyDescent="0.25">
      <c r="A5654" s="2">
        <v>5653</v>
      </c>
      <c r="B5654" s="3" t="s">
        <v>29</v>
      </c>
      <c r="C5654" s="4" t="str">
        <f t="shared" si="445"/>
        <v>Nghệ An</v>
      </c>
      <c r="D5654" s="3" t="s">
        <v>375</v>
      </c>
      <c r="E5654" s="4" t="str">
        <f t="shared" si="446"/>
        <v>Huyện Nghi Lộc</v>
      </c>
      <c r="F5654" s="3" t="s">
        <v>6417</v>
      </c>
      <c r="G5654" s="4" t="str">
        <f>HYPERLINK("https://diaocthongthai.com/xa-nghi-thuan-nghi-loc/","Xã Nghi Thuận")</f>
        <v>Xã Nghi Thuận</v>
      </c>
    </row>
    <row r="5655" spans="1:7" x14ac:dyDescent="0.25">
      <c r="A5655" s="2">
        <v>5654</v>
      </c>
      <c r="B5655" s="3" t="s">
        <v>29</v>
      </c>
      <c r="C5655" s="4" t="str">
        <f t="shared" si="445"/>
        <v>Nghệ An</v>
      </c>
      <c r="D5655" s="3" t="s">
        <v>375</v>
      </c>
      <c r="E5655" s="4" t="str">
        <f t="shared" si="446"/>
        <v>Huyện Nghi Lộc</v>
      </c>
      <c r="F5655" s="3" t="s">
        <v>6418</v>
      </c>
      <c r="G5655" s="4" t="str">
        <f>HYPERLINK("https://diaocthongthai.com/xa-nghi-long-nghi-loc/","Xã Nghi Long")</f>
        <v>Xã Nghi Long</v>
      </c>
    </row>
    <row r="5656" spans="1:7" x14ac:dyDescent="0.25">
      <c r="A5656" s="2">
        <v>5655</v>
      </c>
      <c r="B5656" s="3" t="s">
        <v>29</v>
      </c>
      <c r="C5656" s="4" t="str">
        <f t="shared" si="445"/>
        <v>Nghệ An</v>
      </c>
      <c r="D5656" s="3" t="s">
        <v>375</v>
      </c>
      <c r="E5656" s="4" t="str">
        <f t="shared" si="446"/>
        <v>Huyện Nghi Lộc</v>
      </c>
      <c r="F5656" s="3" t="s">
        <v>6419</v>
      </c>
      <c r="G5656" s="4" t="str">
        <f>HYPERLINK("https://diaocthongthai.com/xa-nghi-xa-nghi-loc/","Xã Nghi Xá")</f>
        <v>Xã Nghi Xá</v>
      </c>
    </row>
    <row r="5657" spans="1:7" x14ac:dyDescent="0.25">
      <c r="A5657" s="2">
        <v>5656</v>
      </c>
      <c r="B5657" s="3" t="s">
        <v>29</v>
      </c>
      <c r="C5657" s="4" t="str">
        <f t="shared" si="445"/>
        <v>Nghệ An</v>
      </c>
      <c r="D5657" s="3" t="s">
        <v>375</v>
      </c>
      <c r="E5657" s="4" t="str">
        <f t="shared" si="446"/>
        <v>Huyện Nghi Lộc</v>
      </c>
      <c r="F5657" s="3" t="s">
        <v>6420</v>
      </c>
      <c r="G5657" s="4" t="str">
        <f>HYPERLINK("https://diaocthongthai.com/xa-nghi-hoa-nghi-loc/","Xã Nghi Hoa")</f>
        <v>Xã Nghi Hoa</v>
      </c>
    </row>
    <row r="5658" spans="1:7" x14ac:dyDescent="0.25">
      <c r="A5658" s="2">
        <v>5657</v>
      </c>
      <c r="B5658" s="3" t="s">
        <v>29</v>
      </c>
      <c r="C5658" s="4" t="str">
        <f t="shared" si="445"/>
        <v>Nghệ An</v>
      </c>
      <c r="D5658" s="3" t="s">
        <v>375</v>
      </c>
      <c r="E5658" s="4" t="str">
        <f t="shared" si="446"/>
        <v>Huyện Nghi Lộc</v>
      </c>
      <c r="F5658" s="3" t="s">
        <v>6421</v>
      </c>
      <c r="G5658" s="4" t="str">
        <f>HYPERLINK("https://diaocthongthai.com/xa-khanh-hop-nghi-loc/","Xã Khánh Hợp")</f>
        <v>Xã Khánh Hợp</v>
      </c>
    </row>
    <row r="5659" spans="1:7" x14ac:dyDescent="0.25">
      <c r="A5659" s="2">
        <v>5658</v>
      </c>
      <c r="B5659" s="3" t="s">
        <v>29</v>
      </c>
      <c r="C5659" s="4" t="str">
        <f t="shared" si="445"/>
        <v>Nghệ An</v>
      </c>
      <c r="D5659" s="3" t="s">
        <v>375</v>
      </c>
      <c r="E5659" s="4" t="str">
        <f t="shared" si="446"/>
        <v>Huyện Nghi Lộc</v>
      </c>
      <c r="F5659" s="3" t="s">
        <v>6422</v>
      </c>
      <c r="G5659" s="4" t="str">
        <f>HYPERLINK("https://diaocthongthai.com/xa-nghi-thinh-nghi-loc/","Xã Nghi Thịnh")</f>
        <v>Xã Nghi Thịnh</v>
      </c>
    </row>
    <row r="5660" spans="1:7" x14ac:dyDescent="0.25">
      <c r="A5660" s="2">
        <v>5659</v>
      </c>
      <c r="B5660" s="3" t="s">
        <v>29</v>
      </c>
      <c r="C5660" s="4" t="str">
        <f t="shared" si="445"/>
        <v>Nghệ An</v>
      </c>
      <c r="D5660" s="3" t="s">
        <v>375</v>
      </c>
      <c r="E5660" s="4" t="str">
        <f t="shared" si="446"/>
        <v>Huyện Nghi Lộc</v>
      </c>
      <c r="F5660" s="3" t="s">
        <v>6423</v>
      </c>
      <c r="G5660" s="4" t="str">
        <f>HYPERLINK("https://diaocthongthai.com/xa-nghi-cong-bac-nghi-loc/","Xã Nghi Công Bắc")</f>
        <v>Xã Nghi Công Bắc</v>
      </c>
    </row>
    <row r="5661" spans="1:7" x14ac:dyDescent="0.25">
      <c r="A5661" s="2">
        <v>5660</v>
      </c>
      <c r="B5661" s="3" t="s">
        <v>29</v>
      </c>
      <c r="C5661" s="4" t="str">
        <f t="shared" si="445"/>
        <v>Nghệ An</v>
      </c>
      <c r="D5661" s="3" t="s">
        <v>375</v>
      </c>
      <c r="E5661" s="4" t="str">
        <f t="shared" si="446"/>
        <v>Huyện Nghi Lộc</v>
      </c>
      <c r="F5661" s="3" t="s">
        <v>6424</v>
      </c>
      <c r="G5661" s="4" t="str">
        <f>HYPERLINK("https://diaocthongthai.com/xa-nghi-cong-nam-nghi-loc/","Xã Nghi Công Nam")</f>
        <v>Xã Nghi Công Nam</v>
      </c>
    </row>
    <row r="5662" spans="1:7" x14ac:dyDescent="0.25">
      <c r="A5662" s="2">
        <v>5661</v>
      </c>
      <c r="B5662" s="3" t="s">
        <v>29</v>
      </c>
      <c r="C5662" s="4" t="str">
        <f t="shared" si="445"/>
        <v>Nghệ An</v>
      </c>
      <c r="D5662" s="3" t="s">
        <v>375</v>
      </c>
      <c r="E5662" s="4" t="str">
        <f t="shared" si="446"/>
        <v>Huyện Nghi Lộc</v>
      </c>
      <c r="F5662" s="3" t="s">
        <v>6425</v>
      </c>
      <c r="G5662" s="4" t="str">
        <f>HYPERLINK("https://diaocthongthai.com/xa-nghi-thach-nghi-loc/","Xã Nghi Thạch")</f>
        <v>Xã Nghi Thạch</v>
      </c>
    </row>
    <row r="5663" spans="1:7" x14ac:dyDescent="0.25">
      <c r="A5663" s="2">
        <v>5662</v>
      </c>
      <c r="B5663" s="3" t="s">
        <v>29</v>
      </c>
      <c r="C5663" s="4" t="str">
        <f t="shared" si="445"/>
        <v>Nghệ An</v>
      </c>
      <c r="D5663" s="3" t="s">
        <v>375</v>
      </c>
      <c r="E5663" s="4" t="str">
        <f t="shared" si="446"/>
        <v>Huyện Nghi Lộc</v>
      </c>
      <c r="F5663" s="3" t="s">
        <v>6426</v>
      </c>
      <c r="G5663" s="4" t="str">
        <f>HYPERLINK("https://diaocthongthai.com/xa-nghi-trung-nghi-loc/","Xã Nghi Trung")</f>
        <v>Xã Nghi Trung</v>
      </c>
    </row>
    <row r="5664" spans="1:7" x14ac:dyDescent="0.25">
      <c r="A5664" s="2">
        <v>5663</v>
      </c>
      <c r="B5664" s="3" t="s">
        <v>29</v>
      </c>
      <c r="C5664" s="4" t="str">
        <f t="shared" si="445"/>
        <v>Nghệ An</v>
      </c>
      <c r="D5664" s="3" t="s">
        <v>375</v>
      </c>
      <c r="E5664" s="4" t="str">
        <f t="shared" si="446"/>
        <v>Huyện Nghi Lộc</v>
      </c>
      <c r="F5664" s="3" t="s">
        <v>6427</v>
      </c>
      <c r="G5664" s="4" t="str">
        <f>HYPERLINK("https://diaocthongthai.com/xa-nghi-truong-nghi-loc/","Xã Nghi Trường")</f>
        <v>Xã Nghi Trường</v>
      </c>
    </row>
    <row r="5665" spans="1:7" x14ac:dyDescent="0.25">
      <c r="A5665" s="2">
        <v>5664</v>
      </c>
      <c r="B5665" s="3" t="s">
        <v>29</v>
      </c>
      <c r="C5665" s="4" t="str">
        <f t="shared" si="445"/>
        <v>Nghệ An</v>
      </c>
      <c r="D5665" s="3" t="s">
        <v>375</v>
      </c>
      <c r="E5665" s="4" t="str">
        <f t="shared" si="446"/>
        <v>Huyện Nghi Lộc</v>
      </c>
      <c r="F5665" s="3" t="s">
        <v>6428</v>
      </c>
      <c r="G5665" s="4" t="str">
        <f>HYPERLINK("https://diaocthongthai.com/xa-nghi-dien-nghi-loc/","Xã Nghi Diên")</f>
        <v>Xã Nghi Diên</v>
      </c>
    </row>
    <row r="5666" spans="1:7" x14ac:dyDescent="0.25">
      <c r="A5666" s="2">
        <v>5665</v>
      </c>
      <c r="B5666" s="3" t="s">
        <v>29</v>
      </c>
      <c r="C5666" s="4" t="str">
        <f t="shared" si="445"/>
        <v>Nghệ An</v>
      </c>
      <c r="D5666" s="3" t="s">
        <v>375</v>
      </c>
      <c r="E5666" s="4" t="str">
        <f t="shared" si="446"/>
        <v>Huyện Nghi Lộc</v>
      </c>
      <c r="F5666" s="3" t="s">
        <v>6429</v>
      </c>
      <c r="G5666" s="4" t="str">
        <f>HYPERLINK("https://diaocthongthai.com/xa-nghi-phong-nghi-loc/","Xã Nghi Phong")</f>
        <v>Xã Nghi Phong</v>
      </c>
    </row>
    <row r="5667" spans="1:7" x14ac:dyDescent="0.25">
      <c r="A5667" s="2">
        <v>5666</v>
      </c>
      <c r="B5667" s="3" t="s">
        <v>29</v>
      </c>
      <c r="C5667" s="4" t="str">
        <f t="shared" si="445"/>
        <v>Nghệ An</v>
      </c>
      <c r="D5667" s="3" t="s">
        <v>375</v>
      </c>
      <c r="E5667" s="4" t="str">
        <f t="shared" si="446"/>
        <v>Huyện Nghi Lộc</v>
      </c>
      <c r="F5667" s="3" t="s">
        <v>6430</v>
      </c>
      <c r="G5667" s="4" t="str">
        <f>HYPERLINK("https://diaocthongthai.com/xa-nghi-xuan-nghi-loc/","Xã Nghi Xuân")</f>
        <v>Xã Nghi Xuân</v>
      </c>
    </row>
    <row r="5668" spans="1:7" x14ac:dyDescent="0.25">
      <c r="A5668" s="2">
        <v>5667</v>
      </c>
      <c r="B5668" s="3" t="s">
        <v>29</v>
      </c>
      <c r="C5668" s="4" t="str">
        <f t="shared" si="445"/>
        <v>Nghệ An</v>
      </c>
      <c r="D5668" s="3" t="s">
        <v>375</v>
      </c>
      <c r="E5668" s="4" t="str">
        <f t="shared" si="446"/>
        <v>Huyện Nghi Lộc</v>
      </c>
      <c r="F5668" s="3" t="s">
        <v>6431</v>
      </c>
      <c r="G5668" s="4" t="str">
        <f>HYPERLINK("https://diaocthongthai.com/xa-nghi-van-1-nghi-loc/","Xã Nghi Vạn")</f>
        <v>Xã Nghi Vạn</v>
      </c>
    </row>
    <row r="5669" spans="1:7" x14ac:dyDescent="0.25">
      <c r="A5669" s="2">
        <v>5668</v>
      </c>
      <c r="B5669" s="3" t="s">
        <v>29</v>
      </c>
      <c r="C5669" s="4" t="str">
        <f t="shared" si="445"/>
        <v>Nghệ An</v>
      </c>
      <c r="D5669" s="3" t="s">
        <v>375</v>
      </c>
      <c r="E5669" s="4" t="str">
        <f t="shared" si="446"/>
        <v>Huyện Nghi Lộc</v>
      </c>
      <c r="F5669" s="3" t="s">
        <v>6432</v>
      </c>
      <c r="G5669" s="4" t="str">
        <f>HYPERLINK("https://diaocthongthai.com/xa-phuc-tho-nghi-loc/","Xã Phúc Thọ")</f>
        <v>Xã Phúc Thọ</v>
      </c>
    </row>
    <row r="5670" spans="1:7" x14ac:dyDescent="0.25">
      <c r="A5670" s="2">
        <v>5669</v>
      </c>
      <c r="B5670" s="3" t="s">
        <v>29</v>
      </c>
      <c r="C5670" s="4" t="str">
        <f t="shared" si="445"/>
        <v>Nghệ An</v>
      </c>
      <c r="D5670" s="3" t="s">
        <v>375</v>
      </c>
      <c r="E5670" s="4" t="str">
        <f t="shared" si="446"/>
        <v>Huyện Nghi Lộc</v>
      </c>
      <c r="F5670" s="3" t="s">
        <v>6433</v>
      </c>
      <c r="G5670" s="4" t="str">
        <f>HYPERLINK("https://diaocthongthai.com/xa-nghi-thai-nghi-loc/","Xã Nghi Thái")</f>
        <v>Xã Nghi Thái</v>
      </c>
    </row>
    <row r="5671" spans="1:7" x14ac:dyDescent="0.25">
      <c r="A5671" s="2">
        <v>5670</v>
      </c>
      <c r="B5671" s="3" t="s">
        <v>29</v>
      </c>
      <c r="C5671" s="4" t="str">
        <f t="shared" si="445"/>
        <v>Nghệ An</v>
      </c>
      <c r="D5671" s="3" t="s">
        <v>376</v>
      </c>
      <c r="E5671" s="4" t="str">
        <f t="shared" ref="E5671:E5689" si="447">HYPERLINK("https://diaocthongthai.com/ban-do-huyen-nam-dan-nghe-an/","Huyện Nam Đàn")</f>
        <v>Huyện Nam Đàn</v>
      </c>
      <c r="F5671" s="3" t="s">
        <v>6434</v>
      </c>
      <c r="G5671" s="4" t="str">
        <f>HYPERLINK("https://diaocthongthai.com/xa-nam-hung-nam-dan/","Xã Nam Hưng")</f>
        <v>Xã Nam Hưng</v>
      </c>
    </row>
    <row r="5672" spans="1:7" x14ac:dyDescent="0.25">
      <c r="A5672" s="2">
        <v>5671</v>
      </c>
      <c r="B5672" s="3" t="s">
        <v>29</v>
      </c>
      <c r="C5672" s="4" t="str">
        <f t="shared" si="445"/>
        <v>Nghệ An</v>
      </c>
      <c r="D5672" s="3" t="s">
        <v>376</v>
      </c>
      <c r="E5672" s="4" t="str">
        <f t="shared" si="447"/>
        <v>Huyện Nam Đàn</v>
      </c>
      <c r="F5672" s="3" t="s">
        <v>6435</v>
      </c>
      <c r="G5672" s="4" t="str">
        <f>HYPERLINK("https://diaocthongthai.com/xa-nam-nghia-nam-dan/","Xã Nam Nghĩa")</f>
        <v>Xã Nam Nghĩa</v>
      </c>
    </row>
    <row r="5673" spans="1:7" x14ac:dyDescent="0.25">
      <c r="A5673" s="2">
        <v>5672</v>
      </c>
      <c r="B5673" s="3" t="s">
        <v>29</v>
      </c>
      <c r="C5673" s="4" t="str">
        <f t="shared" si="445"/>
        <v>Nghệ An</v>
      </c>
      <c r="D5673" s="3" t="s">
        <v>376</v>
      </c>
      <c r="E5673" s="4" t="str">
        <f t="shared" si="447"/>
        <v>Huyện Nam Đàn</v>
      </c>
      <c r="F5673" s="3" t="s">
        <v>6436</v>
      </c>
      <c r="G5673" s="4" t="str">
        <f>HYPERLINK("https://diaocthongthai.com/xa-nam-thanh-nam-dan/","Xã Nam Thanh")</f>
        <v>Xã Nam Thanh</v>
      </c>
    </row>
    <row r="5674" spans="1:7" x14ac:dyDescent="0.25">
      <c r="A5674" s="2">
        <v>5673</v>
      </c>
      <c r="B5674" s="3" t="s">
        <v>29</v>
      </c>
      <c r="C5674" s="4" t="str">
        <f t="shared" si="445"/>
        <v>Nghệ An</v>
      </c>
      <c r="D5674" s="3" t="s">
        <v>376</v>
      </c>
      <c r="E5674" s="4" t="str">
        <f t="shared" si="447"/>
        <v>Huyện Nam Đàn</v>
      </c>
      <c r="F5674" s="3" t="s">
        <v>6437</v>
      </c>
      <c r="G5674" s="4" t="str">
        <f>HYPERLINK("https://diaocthongthai.com/xa-nam-anh-nam-dan/","Xã Nam Anh")</f>
        <v>Xã Nam Anh</v>
      </c>
    </row>
    <row r="5675" spans="1:7" x14ac:dyDescent="0.25">
      <c r="A5675" s="2">
        <v>5674</v>
      </c>
      <c r="B5675" s="3" t="s">
        <v>29</v>
      </c>
      <c r="C5675" s="4" t="str">
        <f t="shared" si="445"/>
        <v>Nghệ An</v>
      </c>
      <c r="D5675" s="3" t="s">
        <v>376</v>
      </c>
      <c r="E5675" s="4" t="str">
        <f t="shared" si="447"/>
        <v>Huyện Nam Đàn</v>
      </c>
      <c r="F5675" s="3" t="s">
        <v>6438</v>
      </c>
      <c r="G5675" s="4" t="str">
        <f>HYPERLINK("https://diaocthongthai.com/xa-nam-xuan-nam-dan/","Xã Nam Xuân")</f>
        <v>Xã Nam Xuân</v>
      </c>
    </row>
    <row r="5676" spans="1:7" x14ac:dyDescent="0.25">
      <c r="A5676" s="2">
        <v>5675</v>
      </c>
      <c r="B5676" s="3" t="s">
        <v>29</v>
      </c>
      <c r="C5676" s="4" t="str">
        <f t="shared" si="445"/>
        <v>Nghệ An</v>
      </c>
      <c r="D5676" s="3" t="s">
        <v>376</v>
      </c>
      <c r="E5676" s="4" t="str">
        <f t="shared" si="447"/>
        <v>Huyện Nam Đàn</v>
      </c>
      <c r="F5676" s="3" t="s">
        <v>6439</v>
      </c>
      <c r="G5676" s="4" t="str">
        <f>HYPERLINK("https://diaocthongthai.com/xa-nam-thai-nam-dan/","Xã Nam Thái")</f>
        <v>Xã Nam Thái</v>
      </c>
    </row>
    <row r="5677" spans="1:7" x14ac:dyDescent="0.25">
      <c r="A5677" s="2">
        <v>5676</v>
      </c>
      <c r="B5677" s="3" t="s">
        <v>29</v>
      </c>
      <c r="C5677" s="4" t="str">
        <f t="shared" si="445"/>
        <v>Nghệ An</v>
      </c>
      <c r="D5677" s="3" t="s">
        <v>376</v>
      </c>
      <c r="E5677" s="4" t="str">
        <f t="shared" si="447"/>
        <v>Huyện Nam Đàn</v>
      </c>
      <c r="F5677" s="3" t="s">
        <v>6440</v>
      </c>
      <c r="G5677" s="4" t="str">
        <f>HYPERLINK("https://diaocthongthai.com/thi-tran-nam-dan-nam-dan/","Thị trấn Nam Đàn")</f>
        <v>Thị trấn Nam Đàn</v>
      </c>
    </row>
    <row r="5678" spans="1:7" x14ac:dyDescent="0.25">
      <c r="A5678" s="2">
        <v>5677</v>
      </c>
      <c r="B5678" s="3" t="s">
        <v>29</v>
      </c>
      <c r="C5678" s="4" t="str">
        <f t="shared" si="445"/>
        <v>Nghệ An</v>
      </c>
      <c r="D5678" s="3" t="s">
        <v>376</v>
      </c>
      <c r="E5678" s="4" t="str">
        <f t="shared" si="447"/>
        <v>Huyện Nam Đàn</v>
      </c>
      <c r="F5678" s="3" t="s">
        <v>6441</v>
      </c>
      <c r="G5678" s="4" t="str">
        <f>HYPERLINK("https://diaocthongthai.com/xa-nam-linh-nam-dan/","Xã Nam Lĩnh")</f>
        <v>Xã Nam Lĩnh</v>
      </c>
    </row>
    <row r="5679" spans="1:7" x14ac:dyDescent="0.25">
      <c r="A5679" s="2">
        <v>5678</v>
      </c>
      <c r="B5679" s="3" t="s">
        <v>29</v>
      </c>
      <c r="C5679" s="4" t="str">
        <f t="shared" si="445"/>
        <v>Nghệ An</v>
      </c>
      <c r="D5679" s="3" t="s">
        <v>376</v>
      </c>
      <c r="E5679" s="4" t="str">
        <f t="shared" si="447"/>
        <v>Huyện Nam Đàn</v>
      </c>
      <c r="F5679" s="3" t="s">
        <v>6442</v>
      </c>
      <c r="G5679" s="4" t="str">
        <f>HYPERLINK("https://diaocthongthai.com/xa-nam-giang-nam-dan/","Xã Nam Giang")</f>
        <v>Xã Nam Giang</v>
      </c>
    </row>
    <row r="5680" spans="1:7" x14ac:dyDescent="0.25">
      <c r="A5680" s="2">
        <v>5679</v>
      </c>
      <c r="B5680" s="3" t="s">
        <v>29</v>
      </c>
      <c r="C5680" s="4" t="str">
        <f t="shared" si="445"/>
        <v>Nghệ An</v>
      </c>
      <c r="D5680" s="3" t="s">
        <v>376</v>
      </c>
      <c r="E5680" s="4" t="str">
        <f t="shared" si="447"/>
        <v>Huyện Nam Đàn</v>
      </c>
      <c r="F5680" s="3" t="s">
        <v>6443</v>
      </c>
      <c r="G5680" s="4" t="str">
        <f>HYPERLINK("https://diaocthongthai.com/xa-xuan-hoa-nam-dan/","Xã Xuân Hòa")</f>
        <v>Xã Xuân Hòa</v>
      </c>
    </row>
    <row r="5681" spans="1:7" x14ac:dyDescent="0.25">
      <c r="A5681" s="2">
        <v>5680</v>
      </c>
      <c r="B5681" s="3" t="s">
        <v>29</v>
      </c>
      <c r="C5681" s="4" t="str">
        <f t="shared" si="445"/>
        <v>Nghệ An</v>
      </c>
      <c r="D5681" s="3" t="s">
        <v>376</v>
      </c>
      <c r="E5681" s="4" t="str">
        <f t="shared" si="447"/>
        <v>Huyện Nam Đàn</v>
      </c>
      <c r="F5681" s="3" t="s">
        <v>6444</v>
      </c>
      <c r="G5681" s="4" t="str">
        <f>HYPERLINK("https://diaocthongthai.com/xa-hung-tien-nam-dan/","Xã Hùng Tiến")</f>
        <v>Xã Hùng Tiến</v>
      </c>
    </row>
    <row r="5682" spans="1:7" x14ac:dyDescent="0.25">
      <c r="A5682" s="2">
        <v>5681</v>
      </c>
      <c r="B5682" s="3" t="s">
        <v>29</v>
      </c>
      <c r="C5682" s="4" t="str">
        <f t="shared" si="445"/>
        <v>Nghệ An</v>
      </c>
      <c r="D5682" s="3" t="s">
        <v>376</v>
      </c>
      <c r="E5682" s="4" t="str">
        <f t="shared" si="447"/>
        <v>Huyện Nam Đàn</v>
      </c>
      <c r="F5682" s="3" t="s">
        <v>6445</v>
      </c>
      <c r="G5682" s="4" t="str">
        <f>HYPERLINK("https://diaocthongthai.com/xa-thuong-tan-loc-nam-dan/","Xã Thượng Tân Lộc")</f>
        <v>Xã Thượng Tân Lộc</v>
      </c>
    </row>
    <row r="5683" spans="1:7" x14ac:dyDescent="0.25">
      <c r="A5683" s="2">
        <v>5682</v>
      </c>
      <c r="B5683" s="3" t="s">
        <v>29</v>
      </c>
      <c r="C5683" s="4" t="str">
        <f t="shared" si="445"/>
        <v>Nghệ An</v>
      </c>
      <c r="D5683" s="3" t="s">
        <v>376</v>
      </c>
      <c r="E5683" s="4" t="str">
        <f t="shared" si="447"/>
        <v>Huyện Nam Đàn</v>
      </c>
      <c r="F5683" s="3" t="s">
        <v>6446</v>
      </c>
      <c r="G5683" s="4" t="str">
        <f>HYPERLINK("https://diaocthongthai.com/xa-kim-lien-nam-dan/","Xã Kim Liên")</f>
        <v>Xã Kim Liên</v>
      </c>
    </row>
    <row r="5684" spans="1:7" x14ac:dyDescent="0.25">
      <c r="A5684" s="2">
        <v>5683</v>
      </c>
      <c r="B5684" s="3" t="s">
        <v>29</v>
      </c>
      <c r="C5684" s="4" t="str">
        <f t="shared" si="445"/>
        <v>Nghệ An</v>
      </c>
      <c r="D5684" s="3" t="s">
        <v>376</v>
      </c>
      <c r="E5684" s="4" t="str">
        <f t="shared" si="447"/>
        <v>Huyện Nam Đàn</v>
      </c>
      <c r="F5684" s="3" t="s">
        <v>6447</v>
      </c>
      <c r="G5684" s="4" t="str">
        <f>HYPERLINK("https://diaocthongthai.com/xa-hong-long-nam-dan/","Xã Hồng Long")</f>
        <v>Xã Hồng Long</v>
      </c>
    </row>
    <row r="5685" spans="1:7" x14ac:dyDescent="0.25">
      <c r="A5685" s="2">
        <v>5684</v>
      </c>
      <c r="B5685" s="3" t="s">
        <v>29</v>
      </c>
      <c r="C5685" s="4" t="str">
        <f t="shared" si="445"/>
        <v>Nghệ An</v>
      </c>
      <c r="D5685" s="3" t="s">
        <v>376</v>
      </c>
      <c r="E5685" s="4" t="str">
        <f t="shared" si="447"/>
        <v>Huyện Nam Đàn</v>
      </c>
      <c r="F5685" s="3" t="s">
        <v>6448</v>
      </c>
      <c r="G5685" s="4" t="str">
        <f>HYPERLINK("https://diaocthongthai.com/xa-xuan-lam-nam-dan/","Xã Xuân Lâm")</f>
        <v>Xã Xuân Lâm</v>
      </c>
    </row>
    <row r="5686" spans="1:7" x14ac:dyDescent="0.25">
      <c r="A5686" s="2">
        <v>5685</v>
      </c>
      <c r="B5686" s="3" t="s">
        <v>29</v>
      </c>
      <c r="C5686" s="4" t="str">
        <f t="shared" si="445"/>
        <v>Nghệ An</v>
      </c>
      <c r="D5686" s="3" t="s">
        <v>376</v>
      </c>
      <c r="E5686" s="4" t="str">
        <f t="shared" si="447"/>
        <v>Huyện Nam Đàn</v>
      </c>
      <c r="F5686" s="3" t="s">
        <v>6449</v>
      </c>
      <c r="G5686" s="4" t="str">
        <f>HYPERLINK("https://diaocthongthai.com/xa-nam-cat-nam-dan/","Xã Nam Cát")</f>
        <v>Xã Nam Cát</v>
      </c>
    </row>
    <row r="5687" spans="1:7" x14ac:dyDescent="0.25">
      <c r="A5687" s="2">
        <v>5686</v>
      </c>
      <c r="B5687" s="3" t="s">
        <v>29</v>
      </c>
      <c r="C5687" s="4" t="str">
        <f t="shared" si="445"/>
        <v>Nghệ An</v>
      </c>
      <c r="D5687" s="3" t="s">
        <v>376</v>
      </c>
      <c r="E5687" s="4" t="str">
        <f t="shared" si="447"/>
        <v>Huyện Nam Đàn</v>
      </c>
      <c r="F5687" s="3" t="s">
        <v>6450</v>
      </c>
      <c r="G5687" s="4" t="str">
        <f>HYPERLINK("https://diaocthongthai.com/xa-khanh-son-nam-dan/","Xã Khánh Sơn")</f>
        <v>Xã Khánh Sơn</v>
      </c>
    </row>
    <row r="5688" spans="1:7" x14ac:dyDescent="0.25">
      <c r="A5688" s="2">
        <v>5687</v>
      </c>
      <c r="B5688" s="3" t="s">
        <v>29</v>
      </c>
      <c r="C5688" s="4" t="str">
        <f t="shared" si="445"/>
        <v>Nghệ An</v>
      </c>
      <c r="D5688" s="3" t="s">
        <v>376</v>
      </c>
      <c r="E5688" s="4" t="str">
        <f t="shared" si="447"/>
        <v>Huyện Nam Đàn</v>
      </c>
      <c r="F5688" s="3" t="s">
        <v>6451</v>
      </c>
      <c r="G5688" s="4" t="str">
        <f>HYPERLINK("https://diaocthongthai.com/xa-trung-phuc-cuong-nam-dan/","Xã Trung Phúc Cường")</f>
        <v>Xã Trung Phúc Cường</v>
      </c>
    </row>
    <row r="5689" spans="1:7" x14ac:dyDescent="0.25">
      <c r="A5689" s="2">
        <v>5688</v>
      </c>
      <c r="B5689" s="3" t="s">
        <v>29</v>
      </c>
      <c r="C5689" s="4" t="str">
        <f t="shared" si="445"/>
        <v>Nghệ An</v>
      </c>
      <c r="D5689" s="3" t="s">
        <v>376</v>
      </c>
      <c r="E5689" s="4" t="str">
        <f t="shared" si="447"/>
        <v>Huyện Nam Đàn</v>
      </c>
      <c r="F5689" s="3" t="s">
        <v>6452</v>
      </c>
      <c r="G5689" s="4" t="str">
        <f>HYPERLINK("https://diaocthongthai.com/xa-nam-kim-nam-dan/","Xã Nam Kim")</f>
        <v>Xã Nam Kim</v>
      </c>
    </row>
    <row r="5690" spans="1:7" x14ac:dyDescent="0.25">
      <c r="A5690" s="2">
        <v>5689</v>
      </c>
      <c r="B5690" s="3" t="s">
        <v>29</v>
      </c>
      <c r="C5690" s="4" t="str">
        <f t="shared" si="445"/>
        <v>Nghệ An</v>
      </c>
      <c r="D5690" s="3" t="s">
        <v>377</v>
      </c>
      <c r="E5690" s="4" t="str">
        <f t="shared" ref="E5690:E5707" si="448">HYPERLINK("https://diaocthongthai.com/ban-do-huyen-hung-nguyen-nghe-an/","Huyện Hưng Nguyên")</f>
        <v>Huyện Hưng Nguyên</v>
      </c>
      <c r="F5690" s="3" t="s">
        <v>6453</v>
      </c>
      <c r="G5690" s="4" t="str">
        <f>HYPERLINK("https://diaocthongthai.com/thi-tran-hung-nguyen-hung-nguyen/","Thị trấn Hưng Nguyên")</f>
        <v>Thị trấn Hưng Nguyên</v>
      </c>
    </row>
    <row r="5691" spans="1:7" x14ac:dyDescent="0.25">
      <c r="A5691" s="2">
        <v>5690</v>
      </c>
      <c r="B5691" s="3" t="s">
        <v>29</v>
      </c>
      <c r="C5691" s="4" t="str">
        <f t="shared" si="445"/>
        <v>Nghệ An</v>
      </c>
      <c r="D5691" s="3" t="s">
        <v>377</v>
      </c>
      <c r="E5691" s="4" t="str">
        <f t="shared" si="448"/>
        <v>Huyện Hưng Nguyên</v>
      </c>
      <c r="F5691" s="3" t="s">
        <v>6454</v>
      </c>
      <c r="G5691" s="4" t="str">
        <f>HYPERLINK("https://diaocthongthai.com/xa-hung-trung-hung-nguyen/","Xã Hưng Trung")</f>
        <v>Xã Hưng Trung</v>
      </c>
    </row>
    <row r="5692" spans="1:7" x14ac:dyDescent="0.25">
      <c r="A5692" s="2">
        <v>5691</v>
      </c>
      <c r="B5692" s="3" t="s">
        <v>29</v>
      </c>
      <c r="C5692" s="4" t="str">
        <f t="shared" si="445"/>
        <v>Nghệ An</v>
      </c>
      <c r="D5692" s="3" t="s">
        <v>377</v>
      </c>
      <c r="E5692" s="4" t="str">
        <f t="shared" si="448"/>
        <v>Huyện Hưng Nguyên</v>
      </c>
      <c r="F5692" s="3" t="s">
        <v>6455</v>
      </c>
      <c r="G5692" s="4" t="str">
        <f>HYPERLINK("https://diaocthongthai.com/xa-hung-yen-nam-hung-nguyen/","Xã Hưng Yên")</f>
        <v>Xã Hưng Yên</v>
      </c>
    </row>
    <row r="5693" spans="1:7" x14ac:dyDescent="0.25">
      <c r="A5693" s="2">
        <v>5692</v>
      </c>
      <c r="B5693" s="3" t="s">
        <v>29</v>
      </c>
      <c r="C5693" s="4" t="str">
        <f t="shared" si="445"/>
        <v>Nghệ An</v>
      </c>
      <c r="D5693" s="3" t="s">
        <v>377</v>
      </c>
      <c r="E5693" s="4" t="str">
        <f t="shared" si="448"/>
        <v>Huyện Hưng Nguyên</v>
      </c>
      <c r="F5693" s="3" t="s">
        <v>6456</v>
      </c>
      <c r="G5693" s="4" t="str">
        <f>HYPERLINK("https://diaocthongthai.com/xa-hung-yen-bac-hung-nguyen/","Xã Hưng Yên Bắc")</f>
        <v>Xã Hưng Yên Bắc</v>
      </c>
    </row>
    <row r="5694" spans="1:7" x14ac:dyDescent="0.25">
      <c r="A5694" s="2">
        <v>5693</v>
      </c>
      <c r="B5694" s="3" t="s">
        <v>29</v>
      </c>
      <c r="C5694" s="4" t="str">
        <f t="shared" si="445"/>
        <v>Nghệ An</v>
      </c>
      <c r="D5694" s="3" t="s">
        <v>377</v>
      </c>
      <c r="E5694" s="4" t="str">
        <f t="shared" si="448"/>
        <v>Huyện Hưng Nguyên</v>
      </c>
      <c r="F5694" s="3" t="s">
        <v>6457</v>
      </c>
      <c r="G5694" s="4" t="str">
        <f>HYPERLINK("https://diaocthongthai.com/xa-hung-tay-hung-nguyen/","Xã Hưng Tây")</f>
        <v>Xã Hưng Tây</v>
      </c>
    </row>
    <row r="5695" spans="1:7" x14ac:dyDescent="0.25">
      <c r="A5695" s="2">
        <v>5694</v>
      </c>
      <c r="B5695" s="3" t="s">
        <v>29</v>
      </c>
      <c r="C5695" s="4" t="str">
        <f t="shared" si="445"/>
        <v>Nghệ An</v>
      </c>
      <c r="D5695" s="3" t="s">
        <v>377</v>
      </c>
      <c r="E5695" s="4" t="str">
        <f t="shared" si="448"/>
        <v>Huyện Hưng Nguyên</v>
      </c>
      <c r="F5695" s="3" t="s">
        <v>6458</v>
      </c>
      <c r="G5695" s="4" t="str">
        <f>HYPERLINK("https://diaocthongthai.com/xa-hung-dao-hung-nguyen/","Xã Hưng Đạo")</f>
        <v>Xã Hưng Đạo</v>
      </c>
    </row>
    <row r="5696" spans="1:7" x14ac:dyDescent="0.25">
      <c r="A5696" s="2">
        <v>5695</v>
      </c>
      <c r="B5696" s="3" t="s">
        <v>29</v>
      </c>
      <c r="C5696" s="4" t="str">
        <f t="shared" si="445"/>
        <v>Nghệ An</v>
      </c>
      <c r="D5696" s="3" t="s">
        <v>377</v>
      </c>
      <c r="E5696" s="4" t="str">
        <f t="shared" si="448"/>
        <v>Huyện Hưng Nguyên</v>
      </c>
      <c r="F5696" s="3" t="s">
        <v>6459</v>
      </c>
      <c r="G5696" s="4" t="str">
        <f>HYPERLINK("https://diaocthongthai.com/xa-hung-my-hung-nguyen/","Xã Hưng Mỹ")</f>
        <v>Xã Hưng Mỹ</v>
      </c>
    </row>
    <row r="5697" spans="1:7" x14ac:dyDescent="0.25">
      <c r="A5697" s="2">
        <v>5696</v>
      </c>
      <c r="B5697" s="3" t="s">
        <v>29</v>
      </c>
      <c r="C5697" s="4" t="str">
        <f t="shared" si="445"/>
        <v>Nghệ An</v>
      </c>
      <c r="D5697" s="3" t="s">
        <v>377</v>
      </c>
      <c r="E5697" s="4" t="str">
        <f t="shared" si="448"/>
        <v>Huyện Hưng Nguyên</v>
      </c>
      <c r="F5697" s="3" t="s">
        <v>6460</v>
      </c>
      <c r="G5697" s="4" t="str">
        <f>HYPERLINK("https://diaocthongthai.com/xa-hung-thinh-hung-nguyen/","Xã Hưng Thịnh")</f>
        <v>Xã Hưng Thịnh</v>
      </c>
    </row>
    <row r="5698" spans="1:7" x14ac:dyDescent="0.25">
      <c r="A5698" s="2">
        <v>5697</v>
      </c>
      <c r="B5698" s="3" t="s">
        <v>29</v>
      </c>
      <c r="C5698" s="4" t="str">
        <f t="shared" si="445"/>
        <v>Nghệ An</v>
      </c>
      <c r="D5698" s="3" t="s">
        <v>377</v>
      </c>
      <c r="E5698" s="4" t="str">
        <f t="shared" si="448"/>
        <v>Huyện Hưng Nguyên</v>
      </c>
      <c r="F5698" s="3" t="s">
        <v>6461</v>
      </c>
      <c r="G5698" s="4" t="str">
        <f>HYPERLINK("https://diaocthongthai.com/xa-hung-linh-hung-nguyen/","Xã Hưng Lĩnh")</f>
        <v>Xã Hưng Lĩnh</v>
      </c>
    </row>
    <row r="5699" spans="1:7" x14ac:dyDescent="0.25">
      <c r="A5699" s="2">
        <v>5698</v>
      </c>
      <c r="B5699" s="3" t="s">
        <v>29</v>
      </c>
      <c r="C5699" s="4" t="str">
        <f t="shared" si="445"/>
        <v>Nghệ An</v>
      </c>
      <c r="D5699" s="3" t="s">
        <v>377</v>
      </c>
      <c r="E5699" s="4" t="str">
        <f t="shared" si="448"/>
        <v>Huyện Hưng Nguyên</v>
      </c>
      <c r="F5699" s="3" t="s">
        <v>6462</v>
      </c>
      <c r="G5699" s="4" t="str">
        <f>HYPERLINK("https://diaocthongthai.com/xa-hung-thong-hung-nguyen/","Xã Hưng Thông")</f>
        <v>Xã Hưng Thông</v>
      </c>
    </row>
    <row r="5700" spans="1:7" x14ac:dyDescent="0.25">
      <c r="A5700" s="2">
        <v>5699</v>
      </c>
      <c r="B5700" s="3" t="s">
        <v>29</v>
      </c>
      <c r="C5700" s="4" t="str">
        <f t="shared" si="445"/>
        <v>Nghệ An</v>
      </c>
      <c r="D5700" s="3" t="s">
        <v>377</v>
      </c>
      <c r="E5700" s="4" t="str">
        <f t="shared" si="448"/>
        <v>Huyện Hưng Nguyên</v>
      </c>
      <c r="F5700" s="3" t="s">
        <v>6463</v>
      </c>
      <c r="G5700" s="4" t="str">
        <f>HYPERLINK("https://diaocthongthai.com/xa-hung-tan-hung-nguyen/","Xã Hưng Tân")</f>
        <v>Xã Hưng Tân</v>
      </c>
    </row>
    <row r="5701" spans="1:7" x14ac:dyDescent="0.25">
      <c r="A5701" s="2">
        <v>5700</v>
      </c>
      <c r="B5701" s="3" t="s">
        <v>29</v>
      </c>
      <c r="C5701" s="4" t="str">
        <f t="shared" si="445"/>
        <v>Nghệ An</v>
      </c>
      <c r="D5701" s="3" t="s">
        <v>377</v>
      </c>
      <c r="E5701" s="4" t="str">
        <f t="shared" si="448"/>
        <v>Huyện Hưng Nguyên</v>
      </c>
      <c r="F5701" s="3" t="s">
        <v>6464</v>
      </c>
      <c r="G5701" s="4" t="str">
        <f>HYPERLINK("https://diaocthongthai.com/xa-hung-loi-hung-nguyen/","Xã Hưng Lợi")</f>
        <v>Xã Hưng Lợi</v>
      </c>
    </row>
    <row r="5702" spans="1:7" x14ac:dyDescent="0.25">
      <c r="A5702" s="2">
        <v>5701</v>
      </c>
      <c r="B5702" s="3" t="s">
        <v>29</v>
      </c>
      <c r="C5702" s="4" t="str">
        <f t="shared" si="445"/>
        <v>Nghệ An</v>
      </c>
      <c r="D5702" s="3" t="s">
        <v>377</v>
      </c>
      <c r="E5702" s="4" t="str">
        <f t="shared" si="448"/>
        <v>Huyện Hưng Nguyên</v>
      </c>
      <c r="F5702" s="3" t="s">
        <v>6465</v>
      </c>
      <c r="G5702" s="4" t="str">
        <f>HYPERLINK("https://diaocthongthai.com/xa-hung-nghia-hung-nguyen/","Xã Hưng Nghĩa")</f>
        <v>Xã Hưng Nghĩa</v>
      </c>
    </row>
    <row r="5703" spans="1:7" x14ac:dyDescent="0.25">
      <c r="A5703" s="2">
        <v>5702</v>
      </c>
      <c r="B5703" s="3" t="s">
        <v>29</v>
      </c>
      <c r="C5703" s="4" t="str">
        <f t="shared" si="445"/>
        <v>Nghệ An</v>
      </c>
      <c r="D5703" s="3" t="s">
        <v>377</v>
      </c>
      <c r="E5703" s="4" t="str">
        <f t="shared" si="448"/>
        <v>Huyện Hưng Nguyên</v>
      </c>
      <c r="F5703" s="3" t="s">
        <v>6466</v>
      </c>
      <c r="G5703" s="4" t="str">
        <f>HYPERLINK("https://diaocthongthai.com/xa-hung-phuc-hung-nguyen/","Xã Hưng Phúc")</f>
        <v>Xã Hưng Phúc</v>
      </c>
    </row>
    <row r="5704" spans="1:7" x14ac:dyDescent="0.25">
      <c r="A5704" s="2">
        <v>5703</v>
      </c>
      <c r="B5704" s="3" t="s">
        <v>29</v>
      </c>
      <c r="C5704" s="4" t="str">
        <f t="shared" si="445"/>
        <v>Nghệ An</v>
      </c>
      <c r="D5704" s="3" t="s">
        <v>377</v>
      </c>
      <c r="E5704" s="4" t="str">
        <f t="shared" si="448"/>
        <v>Huyện Hưng Nguyên</v>
      </c>
      <c r="F5704" s="3" t="s">
        <v>6467</v>
      </c>
      <c r="G5704" s="4" t="str">
        <f>HYPERLINK("https://diaocthongthai.com/xa-long-xa-hung-nguyen/","Xã Long Xá")</f>
        <v>Xã Long Xá</v>
      </c>
    </row>
    <row r="5705" spans="1:7" x14ac:dyDescent="0.25">
      <c r="A5705" s="2">
        <v>5704</v>
      </c>
      <c r="B5705" s="3" t="s">
        <v>29</v>
      </c>
      <c r="C5705" s="4" t="str">
        <f t="shared" si="445"/>
        <v>Nghệ An</v>
      </c>
      <c r="D5705" s="3" t="s">
        <v>377</v>
      </c>
      <c r="E5705" s="4" t="str">
        <f t="shared" si="448"/>
        <v>Huyện Hưng Nguyên</v>
      </c>
      <c r="F5705" s="3" t="s">
        <v>6468</v>
      </c>
      <c r="G5705" s="4" t="str">
        <f>HYPERLINK("https://diaocthongthai.com/xa-chau-nhan-hung-nguyen/","Xã Châu Nhân")</f>
        <v>Xã Châu Nhân</v>
      </c>
    </row>
    <row r="5706" spans="1:7" x14ac:dyDescent="0.25">
      <c r="A5706" s="2">
        <v>5705</v>
      </c>
      <c r="B5706" s="3" t="s">
        <v>29</v>
      </c>
      <c r="C5706" s="4" t="str">
        <f t="shared" ref="C5706:C5717" si="449">HYPERLINK("https://diaocthongthai.com/ban-do-nghe-an/","Nghệ An")</f>
        <v>Nghệ An</v>
      </c>
      <c r="D5706" s="3" t="s">
        <v>377</v>
      </c>
      <c r="E5706" s="4" t="str">
        <f t="shared" si="448"/>
        <v>Huyện Hưng Nguyên</v>
      </c>
      <c r="F5706" s="3" t="s">
        <v>6469</v>
      </c>
      <c r="G5706" s="4" t="str">
        <f>HYPERLINK("https://diaocthongthai.com/xa-xuan-lam-hung-nguyen/","Xã Xuân Lam")</f>
        <v>Xã Xuân Lam</v>
      </c>
    </row>
    <row r="5707" spans="1:7" x14ac:dyDescent="0.25">
      <c r="A5707" s="2">
        <v>5706</v>
      </c>
      <c r="B5707" s="3" t="s">
        <v>29</v>
      </c>
      <c r="C5707" s="4" t="str">
        <f t="shared" si="449"/>
        <v>Nghệ An</v>
      </c>
      <c r="D5707" s="3" t="s">
        <v>377</v>
      </c>
      <c r="E5707" s="4" t="str">
        <f t="shared" si="448"/>
        <v>Huyện Hưng Nguyên</v>
      </c>
      <c r="F5707" s="3" t="s">
        <v>6470</v>
      </c>
      <c r="G5707" s="4" t="str">
        <f>HYPERLINK("https://diaocthongthai.com/xa-hung-thanh-hung-nguyen/","Xã Hưng Thành")</f>
        <v>Xã Hưng Thành</v>
      </c>
    </row>
    <row r="5708" spans="1:7" x14ac:dyDescent="0.25">
      <c r="A5708" s="2">
        <v>5707</v>
      </c>
      <c r="B5708" s="3" t="s">
        <v>29</v>
      </c>
      <c r="C5708" s="4" t="str">
        <f t="shared" si="449"/>
        <v>Nghệ An</v>
      </c>
      <c r="D5708" s="3" t="s">
        <v>378</v>
      </c>
      <c r="E5708" s="4" t="str">
        <f t="shared" ref="E5708:E5717" si="450">HYPERLINK("https://diaocthongthai.com/ban-do-thi-xa-hoang-mai-nghe-an/","Thị xã Hoàng Mai")</f>
        <v>Thị xã Hoàng Mai</v>
      </c>
      <c r="F5708" s="3" t="s">
        <v>6471</v>
      </c>
      <c r="G5708" s="4" t="str">
        <f>HYPERLINK("https://diaocthongthai.com/xa-quynh-vinh-hoang-mai/","Xã Quỳnh Vinh")</f>
        <v>Xã Quỳnh Vinh</v>
      </c>
    </row>
    <row r="5709" spans="1:7" x14ac:dyDescent="0.25">
      <c r="A5709" s="2">
        <v>5708</v>
      </c>
      <c r="B5709" s="3" t="s">
        <v>29</v>
      </c>
      <c r="C5709" s="4" t="str">
        <f t="shared" si="449"/>
        <v>Nghệ An</v>
      </c>
      <c r="D5709" s="3" t="s">
        <v>378</v>
      </c>
      <c r="E5709" s="4" t="str">
        <f t="shared" si="450"/>
        <v>Thị xã Hoàng Mai</v>
      </c>
      <c r="F5709" s="3" t="s">
        <v>6472</v>
      </c>
      <c r="G5709" s="4" t="str">
        <f>HYPERLINK("https://diaocthongthai.com/xa-quynh-loc-hoang-mai/","Xã Quỳnh Lộc")</f>
        <v>Xã Quỳnh Lộc</v>
      </c>
    </row>
    <row r="5710" spans="1:7" x14ac:dyDescent="0.25">
      <c r="A5710" s="2">
        <v>5709</v>
      </c>
      <c r="B5710" s="3" t="s">
        <v>29</v>
      </c>
      <c r="C5710" s="4" t="str">
        <f t="shared" si="449"/>
        <v>Nghệ An</v>
      </c>
      <c r="D5710" s="3" t="s">
        <v>378</v>
      </c>
      <c r="E5710" s="4" t="str">
        <f t="shared" si="450"/>
        <v>Thị xã Hoàng Mai</v>
      </c>
      <c r="F5710" s="3" t="s">
        <v>6473</v>
      </c>
      <c r="G5710" s="4" t="str">
        <f>HYPERLINK("https://diaocthongthai.com/phuong-quynh-thien-hoang-mai/","Phường Quỳnh Thiện")</f>
        <v>Phường Quỳnh Thiện</v>
      </c>
    </row>
    <row r="5711" spans="1:7" x14ac:dyDescent="0.25">
      <c r="A5711" s="2">
        <v>5710</v>
      </c>
      <c r="B5711" s="3" t="s">
        <v>29</v>
      </c>
      <c r="C5711" s="4" t="str">
        <f t="shared" si="449"/>
        <v>Nghệ An</v>
      </c>
      <c r="D5711" s="3" t="s">
        <v>378</v>
      </c>
      <c r="E5711" s="4" t="str">
        <f t="shared" si="450"/>
        <v>Thị xã Hoàng Mai</v>
      </c>
      <c r="F5711" s="3" t="s">
        <v>6474</v>
      </c>
      <c r="G5711" s="4" t="str">
        <f>HYPERLINK("https://diaocthongthai.com/xa-quynh-lap-hoang-mai/","Xã Quỳnh Lập")</f>
        <v>Xã Quỳnh Lập</v>
      </c>
    </row>
    <row r="5712" spans="1:7" x14ac:dyDescent="0.25">
      <c r="A5712" s="2">
        <v>5711</v>
      </c>
      <c r="B5712" s="3" t="s">
        <v>29</v>
      </c>
      <c r="C5712" s="4" t="str">
        <f t="shared" si="449"/>
        <v>Nghệ An</v>
      </c>
      <c r="D5712" s="3" t="s">
        <v>378</v>
      </c>
      <c r="E5712" s="4" t="str">
        <f t="shared" si="450"/>
        <v>Thị xã Hoàng Mai</v>
      </c>
      <c r="F5712" s="3" t="s">
        <v>6475</v>
      </c>
      <c r="G5712" s="4" t="str">
        <f>HYPERLINK("https://diaocthongthai.com/xa-quynh-trang-hoang-mai/","Xã Quỳnh Trang")</f>
        <v>Xã Quỳnh Trang</v>
      </c>
    </row>
    <row r="5713" spans="1:7" x14ac:dyDescent="0.25">
      <c r="A5713" s="2">
        <v>5712</v>
      </c>
      <c r="B5713" s="3" t="s">
        <v>29</v>
      </c>
      <c r="C5713" s="4" t="str">
        <f t="shared" si="449"/>
        <v>Nghệ An</v>
      </c>
      <c r="D5713" s="3" t="s">
        <v>378</v>
      </c>
      <c r="E5713" s="4" t="str">
        <f t="shared" si="450"/>
        <v>Thị xã Hoàng Mai</v>
      </c>
      <c r="F5713" s="3" t="s">
        <v>6476</v>
      </c>
      <c r="G5713" s="4" t="str">
        <f>HYPERLINK("https://diaocthongthai.com/phuong-mai-hung-hoang-mai/","Phường Mai Hùng")</f>
        <v>Phường Mai Hùng</v>
      </c>
    </row>
    <row r="5714" spans="1:7" x14ac:dyDescent="0.25">
      <c r="A5714" s="2">
        <v>5713</v>
      </c>
      <c r="B5714" s="3" t="s">
        <v>29</v>
      </c>
      <c r="C5714" s="4" t="str">
        <f t="shared" si="449"/>
        <v>Nghệ An</v>
      </c>
      <c r="D5714" s="3" t="s">
        <v>378</v>
      </c>
      <c r="E5714" s="4" t="str">
        <f t="shared" si="450"/>
        <v>Thị xã Hoàng Mai</v>
      </c>
      <c r="F5714" s="3" t="s">
        <v>6477</v>
      </c>
      <c r="G5714" s="4" t="str">
        <f>HYPERLINK("https://diaocthongthai.com/phuong-quynh-di-hoang-mai/","Phường Quỳnh Dị")</f>
        <v>Phường Quỳnh Dị</v>
      </c>
    </row>
    <row r="5715" spans="1:7" x14ac:dyDescent="0.25">
      <c r="A5715" s="2">
        <v>5714</v>
      </c>
      <c r="B5715" s="3" t="s">
        <v>29</v>
      </c>
      <c r="C5715" s="4" t="str">
        <f t="shared" si="449"/>
        <v>Nghệ An</v>
      </c>
      <c r="D5715" s="3" t="s">
        <v>378</v>
      </c>
      <c r="E5715" s="4" t="str">
        <f t="shared" si="450"/>
        <v>Thị xã Hoàng Mai</v>
      </c>
      <c r="F5715" s="3" t="s">
        <v>6478</v>
      </c>
      <c r="G5715" s="4" t="str">
        <f>HYPERLINK("https://diaocthongthai.com/phuong-quynh-xuan-hoang-mai/","Phường Quỳnh Xuân")</f>
        <v>Phường Quỳnh Xuân</v>
      </c>
    </row>
    <row r="5716" spans="1:7" x14ac:dyDescent="0.25">
      <c r="A5716" s="2">
        <v>5715</v>
      </c>
      <c r="B5716" s="3" t="s">
        <v>29</v>
      </c>
      <c r="C5716" s="4" t="str">
        <f t="shared" si="449"/>
        <v>Nghệ An</v>
      </c>
      <c r="D5716" s="3" t="s">
        <v>378</v>
      </c>
      <c r="E5716" s="4" t="str">
        <f t="shared" si="450"/>
        <v>Thị xã Hoàng Mai</v>
      </c>
      <c r="F5716" s="3" t="s">
        <v>6479</v>
      </c>
      <c r="G5716" s="4" t="str">
        <f>HYPERLINK("https://diaocthongthai.com/phuong-quynh-phuong-hoang-mai/","Phường Quỳnh Phương")</f>
        <v>Phường Quỳnh Phương</v>
      </c>
    </row>
    <row r="5717" spans="1:7" x14ac:dyDescent="0.25">
      <c r="A5717" s="2">
        <v>5716</v>
      </c>
      <c r="B5717" s="3" t="s">
        <v>29</v>
      </c>
      <c r="C5717" s="4" t="str">
        <f t="shared" si="449"/>
        <v>Nghệ An</v>
      </c>
      <c r="D5717" s="3" t="s">
        <v>378</v>
      </c>
      <c r="E5717" s="4" t="str">
        <f t="shared" si="450"/>
        <v>Thị xã Hoàng Mai</v>
      </c>
      <c r="F5717" s="3" t="s">
        <v>6480</v>
      </c>
      <c r="G5717" s="4" t="str">
        <f>HYPERLINK("https://diaocthongthai.com/xa-quynh-lien-hoang-mai/","Xã Quỳnh Liên")</f>
        <v>Xã Quỳnh Liên</v>
      </c>
    </row>
    <row r="5718" spans="1:7" x14ac:dyDescent="0.25">
      <c r="A5718" s="2">
        <v>5717</v>
      </c>
      <c r="B5718" s="3" t="s">
        <v>30</v>
      </c>
      <c r="C5718" s="4" t="str">
        <f t="shared" ref="C5718:C5781" si="451">HYPERLINK("https://diaocthongthai.com/ban-do-ha-tinh/","Hà Tĩnh")</f>
        <v>Hà Tĩnh</v>
      </c>
      <c r="D5718" s="3" t="s">
        <v>379</v>
      </c>
      <c r="E5718" s="4" t="str">
        <f t="shared" ref="E5718:E5732" si="452">HYPERLINK("https://diaocthongthai.com/ban-do-tp-ha-tinh-ha-tinh/","Thành phố Hà Tĩnh")</f>
        <v>Thành phố Hà Tĩnh</v>
      </c>
      <c r="F5718" s="3" t="s">
        <v>6481</v>
      </c>
      <c r="G5718" s="4" t="str">
        <f>HYPERLINK("https://diaocthongthai.com/phuong-tran-phu-tp-ha-tinh/","Phường Trần Phú")</f>
        <v>Phường Trần Phú</v>
      </c>
    </row>
    <row r="5719" spans="1:7" x14ac:dyDescent="0.25">
      <c r="A5719" s="2">
        <v>5718</v>
      </c>
      <c r="B5719" s="3" t="s">
        <v>30</v>
      </c>
      <c r="C5719" s="4" t="str">
        <f t="shared" si="451"/>
        <v>Hà Tĩnh</v>
      </c>
      <c r="D5719" s="3" t="s">
        <v>379</v>
      </c>
      <c r="E5719" s="4" t="str">
        <f t="shared" si="452"/>
        <v>Thành phố Hà Tĩnh</v>
      </c>
      <c r="F5719" s="3" t="s">
        <v>6482</v>
      </c>
      <c r="G5719" s="4" t="str">
        <f>HYPERLINK("https://diaocthongthai.com/phuong-nam-ha-tp-ha-tinh/","Phường Nam Hà")</f>
        <v>Phường Nam Hà</v>
      </c>
    </row>
    <row r="5720" spans="1:7" x14ac:dyDescent="0.25">
      <c r="A5720" s="2">
        <v>5719</v>
      </c>
      <c r="B5720" s="3" t="s">
        <v>30</v>
      </c>
      <c r="C5720" s="4" t="str">
        <f t="shared" si="451"/>
        <v>Hà Tĩnh</v>
      </c>
      <c r="D5720" s="3" t="s">
        <v>379</v>
      </c>
      <c r="E5720" s="4" t="str">
        <f t="shared" si="452"/>
        <v>Thành phố Hà Tĩnh</v>
      </c>
      <c r="F5720" s="3" t="s">
        <v>6483</v>
      </c>
      <c r="G5720" s="4" t="str">
        <f>HYPERLINK("https://diaocthongthai.com/phuong-bac-ha-tp-ha-tinh/","Phường Bắc Hà")</f>
        <v>Phường Bắc Hà</v>
      </c>
    </row>
    <row r="5721" spans="1:7" x14ac:dyDescent="0.25">
      <c r="A5721" s="2">
        <v>5720</v>
      </c>
      <c r="B5721" s="3" t="s">
        <v>30</v>
      </c>
      <c r="C5721" s="4" t="str">
        <f t="shared" si="451"/>
        <v>Hà Tĩnh</v>
      </c>
      <c r="D5721" s="3" t="s">
        <v>379</v>
      </c>
      <c r="E5721" s="4" t="str">
        <f t="shared" si="452"/>
        <v>Thành phố Hà Tĩnh</v>
      </c>
      <c r="F5721" s="3" t="s">
        <v>6484</v>
      </c>
      <c r="G5721" s="4" t="str">
        <f>HYPERLINK("https://diaocthongthai.com/phuong-nguyen-du-tp-ha-tinh/","Phường Nguyễn Du")</f>
        <v>Phường Nguyễn Du</v>
      </c>
    </row>
    <row r="5722" spans="1:7" x14ac:dyDescent="0.25">
      <c r="A5722" s="2">
        <v>5721</v>
      </c>
      <c r="B5722" s="3" t="s">
        <v>30</v>
      </c>
      <c r="C5722" s="4" t="str">
        <f t="shared" si="451"/>
        <v>Hà Tĩnh</v>
      </c>
      <c r="D5722" s="3" t="s">
        <v>379</v>
      </c>
      <c r="E5722" s="4" t="str">
        <f t="shared" si="452"/>
        <v>Thành phố Hà Tĩnh</v>
      </c>
      <c r="F5722" s="3" t="s">
        <v>6485</v>
      </c>
      <c r="G5722" s="4" t="str">
        <f>HYPERLINK("https://diaocthongthai.com/phuong-tan-giang-tp-ha-tinh/","Phường Tân Giang")</f>
        <v>Phường Tân Giang</v>
      </c>
    </row>
    <row r="5723" spans="1:7" x14ac:dyDescent="0.25">
      <c r="A5723" s="2">
        <v>5722</v>
      </c>
      <c r="B5723" s="3" t="s">
        <v>30</v>
      </c>
      <c r="C5723" s="4" t="str">
        <f t="shared" si="451"/>
        <v>Hà Tĩnh</v>
      </c>
      <c r="D5723" s="3" t="s">
        <v>379</v>
      </c>
      <c r="E5723" s="4" t="str">
        <f t="shared" si="452"/>
        <v>Thành phố Hà Tĩnh</v>
      </c>
      <c r="F5723" s="3" t="s">
        <v>6486</v>
      </c>
      <c r="G5723" s="4" t="str">
        <f>HYPERLINK("https://diaocthongthai.com/phuong-dai-nai-tp-ha-tinh/","Phường Đại Nài")</f>
        <v>Phường Đại Nài</v>
      </c>
    </row>
    <row r="5724" spans="1:7" x14ac:dyDescent="0.25">
      <c r="A5724" s="2">
        <v>5723</v>
      </c>
      <c r="B5724" s="3" t="s">
        <v>30</v>
      </c>
      <c r="C5724" s="4" t="str">
        <f t="shared" si="451"/>
        <v>Hà Tĩnh</v>
      </c>
      <c r="D5724" s="3" t="s">
        <v>379</v>
      </c>
      <c r="E5724" s="4" t="str">
        <f t="shared" si="452"/>
        <v>Thành phố Hà Tĩnh</v>
      </c>
      <c r="F5724" s="3" t="s">
        <v>6487</v>
      </c>
      <c r="G5724" s="4" t="str">
        <f>HYPERLINK("https://diaocthongthai.com/phuong-ha-huy-tap-tp-ha-tinh/","Phường Hà Huy Tập")</f>
        <v>Phường Hà Huy Tập</v>
      </c>
    </row>
    <row r="5725" spans="1:7" x14ac:dyDescent="0.25">
      <c r="A5725" s="2">
        <v>5724</v>
      </c>
      <c r="B5725" s="3" t="s">
        <v>30</v>
      </c>
      <c r="C5725" s="4" t="str">
        <f t="shared" si="451"/>
        <v>Hà Tĩnh</v>
      </c>
      <c r="D5725" s="3" t="s">
        <v>379</v>
      </c>
      <c r="E5725" s="4" t="str">
        <f t="shared" si="452"/>
        <v>Thành phố Hà Tĩnh</v>
      </c>
      <c r="F5725" s="3" t="s">
        <v>6488</v>
      </c>
      <c r="G5725" s="4" t="str">
        <f>HYPERLINK("https://diaocthongthai.com/xa-thach-trung-tp-ha-tinh/","Xã Thạch Trung")</f>
        <v>Xã Thạch Trung</v>
      </c>
    </row>
    <row r="5726" spans="1:7" x14ac:dyDescent="0.25">
      <c r="A5726" s="2">
        <v>5725</v>
      </c>
      <c r="B5726" s="3" t="s">
        <v>30</v>
      </c>
      <c r="C5726" s="4" t="str">
        <f t="shared" si="451"/>
        <v>Hà Tĩnh</v>
      </c>
      <c r="D5726" s="3" t="s">
        <v>379</v>
      </c>
      <c r="E5726" s="4" t="str">
        <f t="shared" si="452"/>
        <v>Thành phố Hà Tĩnh</v>
      </c>
      <c r="F5726" s="3" t="s">
        <v>6489</v>
      </c>
      <c r="G5726" s="4" t="str">
        <f>HYPERLINK("https://diaocthongthai.com/phuong-thach-quy-tp-ha-tinh/","Phường Thạch Quý")</f>
        <v>Phường Thạch Quý</v>
      </c>
    </row>
    <row r="5727" spans="1:7" x14ac:dyDescent="0.25">
      <c r="A5727" s="2">
        <v>5726</v>
      </c>
      <c r="B5727" s="3" t="s">
        <v>30</v>
      </c>
      <c r="C5727" s="4" t="str">
        <f t="shared" si="451"/>
        <v>Hà Tĩnh</v>
      </c>
      <c r="D5727" s="3" t="s">
        <v>379</v>
      </c>
      <c r="E5727" s="4" t="str">
        <f t="shared" si="452"/>
        <v>Thành phố Hà Tĩnh</v>
      </c>
      <c r="F5727" s="3" t="s">
        <v>6490</v>
      </c>
      <c r="G5727" s="4" t="str">
        <f>HYPERLINK("https://diaocthongthai.com/phuong-thach-linh-tp-ha-tinh/","Phường Thạch Linh")</f>
        <v>Phường Thạch Linh</v>
      </c>
    </row>
    <row r="5728" spans="1:7" x14ac:dyDescent="0.25">
      <c r="A5728" s="2">
        <v>5727</v>
      </c>
      <c r="B5728" s="3" t="s">
        <v>30</v>
      </c>
      <c r="C5728" s="4" t="str">
        <f t="shared" si="451"/>
        <v>Hà Tĩnh</v>
      </c>
      <c r="D5728" s="3" t="s">
        <v>379</v>
      </c>
      <c r="E5728" s="4" t="str">
        <f t="shared" si="452"/>
        <v>Thành phố Hà Tĩnh</v>
      </c>
      <c r="F5728" s="3" t="s">
        <v>6491</v>
      </c>
      <c r="G5728" s="4" t="str">
        <f>HYPERLINK("https://diaocthongthai.com/phuong-van-yen-tp-ha-tinh/","Phường Văn Yên")</f>
        <v>Phường Văn Yên</v>
      </c>
    </row>
    <row r="5729" spans="1:7" x14ac:dyDescent="0.25">
      <c r="A5729" s="2">
        <v>5728</v>
      </c>
      <c r="B5729" s="3" t="s">
        <v>30</v>
      </c>
      <c r="C5729" s="4" t="str">
        <f t="shared" si="451"/>
        <v>Hà Tĩnh</v>
      </c>
      <c r="D5729" s="3" t="s">
        <v>379</v>
      </c>
      <c r="E5729" s="4" t="str">
        <f t="shared" si="452"/>
        <v>Thành phố Hà Tĩnh</v>
      </c>
      <c r="F5729" s="3" t="s">
        <v>6492</v>
      </c>
      <c r="G5729" s="4" t="str">
        <f>HYPERLINK("https://diaocthongthai.com/xa-thach-ha-tp-ha-tinh/","Xã Thạch Hạ")</f>
        <v>Xã Thạch Hạ</v>
      </c>
    </row>
    <row r="5730" spans="1:7" x14ac:dyDescent="0.25">
      <c r="A5730" s="2">
        <v>5729</v>
      </c>
      <c r="B5730" s="3" t="s">
        <v>30</v>
      </c>
      <c r="C5730" s="4" t="str">
        <f t="shared" si="451"/>
        <v>Hà Tĩnh</v>
      </c>
      <c r="D5730" s="3" t="s">
        <v>379</v>
      </c>
      <c r="E5730" s="4" t="str">
        <f t="shared" si="452"/>
        <v>Thành phố Hà Tĩnh</v>
      </c>
      <c r="F5730" s="3" t="s">
        <v>6493</v>
      </c>
      <c r="G5730" s="4" t="str">
        <f>HYPERLINK("https://diaocthongthai.com/xa-dong-mon-tp-ha-tinh/","Xã Đồng Môn")</f>
        <v>Xã Đồng Môn</v>
      </c>
    </row>
    <row r="5731" spans="1:7" x14ac:dyDescent="0.25">
      <c r="A5731" s="2">
        <v>5730</v>
      </c>
      <c r="B5731" s="3" t="s">
        <v>30</v>
      </c>
      <c r="C5731" s="4" t="str">
        <f t="shared" si="451"/>
        <v>Hà Tĩnh</v>
      </c>
      <c r="D5731" s="3" t="s">
        <v>379</v>
      </c>
      <c r="E5731" s="4" t="str">
        <f t="shared" si="452"/>
        <v>Thành phố Hà Tĩnh</v>
      </c>
      <c r="F5731" s="3" t="s">
        <v>6494</v>
      </c>
      <c r="G5731" s="4" t="str">
        <f>HYPERLINK("https://diaocthongthai.com/xa-thach-hung-tp-ha-tinh/","Xã Thạch Hưng")</f>
        <v>Xã Thạch Hưng</v>
      </c>
    </row>
    <row r="5732" spans="1:7" x14ac:dyDescent="0.25">
      <c r="A5732" s="2">
        <v>5731</v>
      </c>
      <c r="B5732" s="3" t="s">
        <v>30</v>
      </c>
      <c r="C5732" s="4" t="str">
        <f t="shared" si="451"/>
        <v>Hà Tĩnh</v>
      </c>
      <c r="D5732" s="3" t="s">
        <v>379</v>
      </c>
      <c r="E5732" s="4" t="str">
        <f t="shared" si="452"/>
        <v>Thành phố Hà Tĩnh</v>
      </c>
      <c r="F5732" s="3" t="s">
        <v>6495</v>
      </c>
      <c r="G5732" s="4" t="str">
        <f>HYPERLINK("https://diaocthongthai.com/xa-thach-binh-tp-ha-tinh/","Xã Thạch Bình")</f>
        <v>Xã Thạch Bình</v>
      </c>
    </row>
    <row r="5733" spans="1:7" x14ac:dyDescent="0.25">
      <c r="A5733" s="2">
        <v>5732</v>
      </c>
      <c r="B5733" s="3" t="s">
        <v>30</v>
      </c>
      <c r="C5733" s="4" t="str">
        <f t="shared" si="451"/>
        <v>Hà Tĩnh</v>
      </c>
      <c r="D5733" s="3" t="s">
        <v>380</v>
      </c>
      <c r="E5733" s="4" t="str">
        <f t="shared" ref="E5733:E5738" si="453">HYPERLINK("https://diaocthongthai.com/ban-do-thi-xa-hong-linh-ha-tinh/","Thị xã Hồng Lĩnh")</f>
        <v>Thị xã Hồng Lĩnh</v>
      </c>
      <c r="F5733" s="3" t="s">
        <v>6496</v>
      </c>
      <c r="G5733" s="4" t="str">
        <f>HYPERLINK("https://diaocthongthai.com/phuong-bac-hong-hong-linh/","Phường Bắc Hồng")</f>
        <v>Phường Bắc Hồng</v>
      </c>
    </row>
    <row r="5734" spans="1:7" x14ac:dyDescent="0.25">
      <c r="A5734" s="2">
        <v>5733</v>
      </c>
      <c r="B5734" s="3" t="s">
        <v>30</v>
      </c>
      <c r="C5734" s="4" t="str">
        <f t="shared" si="451"/>
        <v>Hà Tĩnh</v>
      </c>
      <c r="D5734" s="3" t="s">
        <v>380</v>
      </c>
      <c r="E5734" s="4" t="str">
        <f t="shared" si="453"/>
        <v>Thị xã Hồng Lĩnh</v>
      </c>
      <c r="F5734" s="3" t="s">
        <v>6497</v>
      </c>
      <c r="G5734" s="4" t="str">
        <f>HYPERLINK("https://diaocthongthai.com/phuong-nam-hong-hong-linh/","Phường Nam Hồng")</f>
        <v>Phường Nam Hồng</v>
      </c>
    </row>
    <row r="5735" spans="1:7" x14ac:dyDescent="0.25">
      <c r="A5735" s="2">
        <v>5734</v>
      </c>
      <c r="B5735" s="3" t="s">
        <v>30</v>
      </c>
      <c r="C5735" s="4" t="str">
        <f t="shared" si="451"/>
        <v>Hà Tĩnh</v>
      </c>
      <c r="D5735" s="3" t="s">
        <v>380</v>
      </c>
      <c r="E5735" s="4" t="str">
        <f t="shared" si="453"/>
        <v>Thị xã Hồng Lĩnh</v>
      </c>
      <c r="F5735" s="3" t="s">
        <v>6498</v>
      </c>
      <c r="G5735" s="4" t="str">
        <f>HYPERLINK("https://diaocthongthai.com/phuong-trung-luong-hong-linh/","Phường Trung Lương")</f>
        <v>Phường Trung Lương</v>
      </c>
    </row>
    <row r="5736" spans="1:7" x14ac:dyDescent="0.25">
      <c r="A5736" s="2">
        <v>5735</v>
      </c>
      <c r="B5736" s="3" t="s">
        <v>30</v>
      </c>
      <c r="C5736" s="4" t="str">
        <f t="shared" si="451"/>
        <v>Hà Tĩnh</v>
      </c>
      <c r="D5736" s="3" t="s">
        <v>380</v>
      </c>
      <c r="E5736" s="4" t="str">
        <f t="shared" si="453"/>
        <v>Thị xã Hồng Lĩnh</v>
      </c>
      <c r="F5736" s="3" t="s">
        <v>6499</v>
      </c>
      <c r="G5736" s="4" t="str">
        <f>HYPERLINK("https://diaocthongthai.com/phuong-duc-thuan-hong-linh/","Phường Đức Thuận")</f>
        <v>Phường Đức Thuận</v>
      </c>
    </row>
    <row r="5737" spans="1:7" x14ac:dyDescent="0.25">
      <c r="A5737" s="2">
        <v>5736</v>
      </c>
      <c r="B5737" s="3" t="s">
        <v>30</v>
      </c>
      <c r="C5737" s="4" t="str">
        <f t="shared" si="451"/>
        <v>Hà Tĩnh</v>
      </c>
      <c r="D5737" s="3" t="s">
        <v>380</v>
      </c>
      <c r="E5737" s="4" t="str">
        <f t="shared" si="453"/>
        <v>Thị xã Hồng Lĩnh</v>
      </c>
      <c r="F5737" s="3" t="s">
        <v>6500</v>
      </c>
      <c r="G5737" s="4" t="str">
        <f>HYPERLINK("https://diaocthongthai.com/phuong-dau-lieu-hong-linh/","Phường Đậu Liêu")</f>
        <v>Phường Đậu Liêu</v>
      </c>
    </row>
    <row r="5738" spans="1:7" x14ac:dyDescent="0.25">
      <c r="A5738" s="2">
        <v>5737</v>
      </c>
      <c r="B5738" s="3" t="s">
        <v>30</v>
      </c>
      <c r="C5738" s="4" t="str">
        <f t="shared" si="451"/>
        <v>Hà Tĩnh</v>
      </c>
      <c r="D5738" s="3" t="s">
        <v>380</v>
      </c>
      <c r="E5738" s="4" t="str">
        <f t="shared" si="453"/>
        <v>Thị xã Hồng Lĩnh</v>
      </c>
      <c r="F5738" s="3" t="s">
        <v>6501</v>
      </c>
      <c r="G5738" s="4" t="str">
        <f>HYPERLINK("https://diaocthongthai.com/xa-thuan-loc-hong-linh/","Xã Thuận Lộc")</f>
        <v>Xã Thuận Lộc</v>
      </c>
    </row>
    <row r="5739" spans="1:7" x14ac:dyDescent="0.25">
      <c r="A5739" s="2">
        <v>5738</v>
      </c>
      <c r="B5739" s="3" t="s">
        <v>30</v>
      </c>
      <c r="C5739" s="4" t="str">
        <f t="shared" si="451"/>
        <v>Hà Tĩnh</v>
      </c>
      <c r="D5739" s="3" t="s">
        <v>381</v>
      </c>
      <c r="E5739" s="4" t="str">
        <f t="shared" ref="E5739:E5763" si="454">HYPERLINK("https://diaocthongthai.com/ban-do-huyen-huong-son-ha-tinh/","Huyện Hương Sơn")</f>
        <v>Huyện Hương Sơn</v>
      </c>
      <c r="F5739" s="3" t="s">
        <v>6502</v>
      </c>
      <c r="G5739" s="4" t="str">
        <f>HYPERLINK("https://diaocthongthai.com/thi-tran-pho-chau-huong-son/","Thị trấn Phố Châu")</f>
        <v>Thị trấn Phố Châu</v>
      </c>
    </row>
    <row r="5740" spans="1:7" x14ac:dyDescent="0.25">
      <c r="A5740" s="2">
        <v>5739</v>
      </c>
      <c r="B5740" s="3" t="s">
        <v>30</v>
      </c>
      <c r="C5740" s="4" t="str">
        <f t="shared" si="451"/>
        <v>Hà Tĩnh</v>
      </c>
      <c r="D5740" s="3" t="s">
        <v>381</v>
      </c>
      <c r="E5740" s="4" t="str">
        <f t="shared" si="454"/>
        <v>Huyện Hương Sơn</v>
      </c>
      <c r="F5740" s="3" t="s">
        <v>6503</v>
      </c>
      <c r="G5740" s="4" t="str">
        <f>HYPERLINK("https://diaocthongthai.com/thi-tran-tay-son-huong-son/","Thị trấn  Tây Sơn")</f>
        <v>Thị trấn  Tây Sơn</v>
      </c>
    </row>
    <row r="5741" spans="1:7" x14ac:dyDescent="0.25">
      <c r="A5741" s="2">
        <v>5740</v>
      </c>
      <c r="B5741" s="3" t="s">
        <v>30</v>
      </c>
      <c r="C5741" s="4" t="str">
        <f t="shared" si="451"/>
        <v>Hà Tĩnh</v>
      </c>
      <c r="D5741" s="3" t="s">
        <v>381</v>
      </c>
      <c r="E5741" s="4" t="str">
        <f t="shared" si="454"/>
        <v>Huyện Hương Sơn</v>
      </c>
      <c r="F5741" s="3" t="s">
        <v>6504</v>
      </c>
      <c r="G5741" s="4" t="str">
        <f>HYPERLINK("https://diaocthongthai.com/xa-son-hong-huong-son/","Xã Sơn Hồng")</f>
        <v>Xã Sơn Hồng</v>
      </c>
    </row>
    <row r="5742" spans="1:7" x14ac:dyDescent="0.25">
      <c r="A5742" s="2">
        <v>5741</v>
      </c>
      <c r="B5742" s="3" t="s">
        <v>30</v>
      </c>
      <c r="C5742" s="4" t="str">
        <f t="shared" si="451"/>
        <v>Hà Tĩnh</v>
      </c>
      <c r="D5742" s="3" t="s">
        <v>381</v>
      </c>
      <c r="E5742" s="4" t="str">
        <f t="shared" si="454"/>
        <v>Huyện Hương Sơn</v>
      </c>
      <c r="F5742" s="3" t="s">
        <v>6505</v>
      </c>
      <c r="G5742" s="4" t="str">
        <f>HYPERLINK("https://diaocthongthai.com/xa-son-tien-huong-son/","Xã Sơn Tiến")</f>
        <v>Xã Sơn Tiến</v>
      </c>
    </row>
    <row r="5743" spans="1:7" x14ac:dyDescent="0.25">
      <c r="A5743" s="2">
        <v>5742</v>
      </c>
      <c r="B5743" s="3" t="s">
        <v>30</v>
      </c>
      <c r="C5743" s="4" t="str">
        <f t="shared" si="451"/>
        <v>Hà Tĩnh</v>
      </c>
      <c r="D5743" s="3" t="s">
        <v>381</v>
      </c>
      <c r="E5743" s="4" t="str">
        <f t="shared" si="454"/>
        <v>Huyện Hương Sơn</v>
      </c>
      <c r="F5743" s="3" t="s">
        <v>6506</v>
      </c>
      <c r="G5743" s="4" t="str">
        <f>HYPERLINK("https://diaocthongthai.com/xa-son-lam-huong-son/","Xã Sơn Lâm")</f>
        <v>Xã Sơn Lâm</v>
      </c>
    </row>
    <row r="5744" spans="1:7" x14ac:dyDescent="0.25">
      <c r="A5744" s="2">
        <v>5743</v>
      </c>
      <c r="B5744" s="3" t="s">
        <v>30</v>
      </c>
      <c r="C5744" s="4" t="str">
        <f t="shared" si="451"/>
        <v>Hà Tĩnh</v>
      </c>
      <c r="D5744" s="3" t="s">
        <v>381</v>
      </c>
      <c r="E5744" s="4" t="str">
        <f t="shared" si="454"/>
        <v>Huyện Hương Sơn</v>
      </c>
      <c r="F5744" s="3" t="s">
        <v>6507</v>
      </c>
      <c r="G5744" s="4" t="str">
        <f>HYPERLINK("https://diaocthongthai.com/xa-son-le-huong-son/","Xã Sơn Lễ")</f>
        <v>Xã Sơn Lễ</v>
      </c>
    </row>
    <row r="5745" spans="1:7" x14ac:dyDescent="0.25">
      <c r="A5745" s="2">
        <v>5744</v>
      </c>
      <c r="B5745" s="3" t="s">
        <v>30</v>
      </c>
      <c r="C5745" s="4" t="str">
        <f t="shared" si="451"/>
        <v>Hà Tĩnh</v>
      </c>
      <c r="D5745" s="3" t="s">
        <v>381</v>
      </c>
      <c r="E5745" s="4" t="str">
        <f t="shared" si="454"/>
        <v>Huyện Hương Sơn</v>
      </c>
      <c r="F5745" s="3" t="s">
        <v>6508</v>
      </c>
      <c r="G5745" s="4" t="str">
        <f>HYPERLINK("https://diaocthongthai.com/xa-son-giang-huong-son/","Xã Sơn Giang")</f>
        <v>Xã Sơn Giang</v>
      </c>
    </row>
    <row r="5746" spans="1:7" x14ac:dyDescent="0.25">
      <c r="A5746" s="2">
        <v>5745</v>
      </c>
      <c r="B5746" s="3" t="s">
        <v>30</v>
      </c>
      <c r="C5746" s="4" t="str">
        <f t="shared" si="451"/>
        <v>Hà Tĩnh</v>
      </c>
      <c r="D5746" s="3" t="s">
        <v>381</v>
      </c>
      <c r="E5746" s="4" t="str">
        <f t="shared" si="454"/>
        <v>Huyện Hương Sơn</v>
      </c>
      <c r="F5746" s="3" t="s">
        <v>6509</v>
      </c>
      <c r="G5746" s="4" t="str">
        <f>HYPERLINK("https://diaocthongthai.com/xa-son-linh-huong-son/","Xã Sơn Lĩnh")</f>
        <v>Xã Sơn Lĩnh</v>
      </c>
    </row>
    <row r="5747" spans="1:7" x14ac:dyDescent="0.25">
      <c r="A5747" s="2">
        <v>5746</v>
      </c>
      <c r="B5747" s="3" t="s">
        <v>30</v>
      </c>
      <c r="C5747" s="4" t="str">
        <f t="shared" si="451"/>
        <v>Hà Tĩnh</v>
      </c>
      <c r="D5747" s="3" t="s">
        <v>381</v>
      </c>
      <c r="E5747" s="4" t="str">
        <f t="shared" si="454"/>
        <v>Huyện Hương Sơn</v>
      </c>
      <c r="F5747" s="3" t="s">
        <v>6510</v>
      </c>
      <c r="G5747" s="4" t="str">
        <f>HYPERLINK("https://diaocthongthai.com/xa-an-hoa-thinh-huong-son/","Xã An Hòa Thịnh")</f>
        <v>Xã An Hòa Thịnh</v>
      </c>
    </row>
    <row r="5748" spans="1:7" x14ac:dyDescent="0.25">
      <c r="A5748" s="2">
        <v>5747</v>
      </c>
      <c r="B5748" s="3" t="s">
        <v>30</v>
      </c>
      <c r="C5748" s="4" t="str">
        <f t="shared" si="451"/>
        <v>Hà Tĩnh</v>
      </c>
      <c r="D5748" s="3" t="s">
        <v>381</v>
      </c>
      <c r="E5748" s="4" t="str">
        <f t="shared" si="454"/>
        <v>Huyện Hương Sơn</v>
      </c>
      <c r="F5748" s="3" t="s">
        <v>6511</v>
      </c>
      <c r="G5748" s="4" t="str">
        <f>HYPERLINK("https://diaocthongthai.com/xa-son-tay-huong-son/","Xã Sơn Tây")</f>
        <v>Xã Sơn Tây</v>
      </c>
    </row>
    <row r="5749" spans="1:7" x14ac:dyDescent="0.25">
      <c r="A5749" s="2">
        <v>5748</v>
      </c>
      <c r="B5749" s="3" t="s">
        <v>30</v>
      </c>
      <c r="C5749" s="4" t="str">
        <f t="shared" si="451"/>
        <v>Hà Tĩnh</v>
      </c>
      <c r="D5749" s="3" t="s">
        <v>381</v>
      </c>
      <c r="E5749" s="4" t="str">
        <f t="shared" si="454"/>
        <v>Huyện Hương Sơn</v>
      </c>
      <c r="F5749" s="3" t="s">
        <v>6512</v>
      </c>
      <c r="G5749" s="4" t="str">
        <f>HYPERLINK("https://diaocthongthai.com/xa-son-ninh-huong-son/","Xã Sơn Ninh")</f>
        <v>Xã Sơn Ninh</v>
      </c>
    </row>
    <row r="5750" spans="1:7" x14ac:dyDescent="0.25">
      <c r="A5750" s="2">
        <v>5749</v>
      </c>
      <c r="B5750" s="3" t="s">
        <v>30</v>
      </c>
      <c r="C5750" s="4" t="str">
        <f t="shared" si="451"/>
        <v>Hà Tĩnh</v>
      </c>
      <c r="D5750" s="3" t="s">
        <v>381</v>
      </c>
      <c r="E5750" s="4" t="str">
        <f t="shared" si="454"/>
        <v>Huyện Hương Sơn</v>
      </c>
      <c r="F5750" s="3" t="s">
        <v>6513</v>
      </c>
      <c r="G5750" s="4" t="str">
        <f>HYPERLINK("https://diaocthongthai.com/xa-son-chau-huong-son/","Xã Sơn Châu")</f>
        <v>Xã Sơn Châu</v>
      </c>
    </row>
    <row r="5751" spans="1:7" x14ac:dyDescent="0.25">
      <c r="A5751" s="2">
        <v>5750</v>
      </c>
      <c r="B5751" s="3" t="s">
        <v>30</v>
      </c>
      <c r="C5751" s="4" t="str">
        <f t="shared" si="451"/>
        <v>Hà Tĩnh</v>
      </c>
      <c r="D5751" s="3" t="s">
        <v>381</v>
      </c>
      <c r="E5751" s="4" t="str">
        <f t="shared" si="454"/>
        <v>Huyện Hương Sơn</v>
      </c>
      <c r="F5751" s="3" t="s">
        <v>6514</v>
      </c>
      <c r="G5751" s="4" t="str">
        <f>HYPERLINK("https://diaocthongthai.com/xa-tan-my-ha-huong-son/","Xã Tân Mỹ Hà")</f>
        <v>Xã Tân Mỹ Hà</v>
      </c>
    </row>
    <row r="5752" spans="1:7" x14ac:dyDescent="0.25">
      <c r="A5752" s="2">
        <v>5751</v>
      </c>
      <c r="B5752" s="3" t="s">
        <v>30</v>
      </c>
      <c r="C5752" s="4" t="str">
        <f t="shared" si="451"/>
        <v>Hà Tĩnh</v>
      </c>
      <c r="D5752" s="3" t="s">
        <v>381</v>
      </c>
      <c r="E5752" s="4" t="str">
        <f t="shared" si="454"/>
        <v>Huyện Hương Sơn</v>
      </c>
      <c r="F5752" s="3" t="s">
        <v>6515</v>
      </c>
      <c r="G5752" s="4" t="str">
        <f>HYPERLINK("https://diaocthongthai.com/xa-quang-diem-huong-son/","Xã Quang Diệm")</f>
        <v>Xã Quang Diệm</v>
      </c>
    </row>
    <row r="5753" spans="1:7" x14ac:dyDescent="0.25">
      <c r="A5753" s="2">
        <v>5752</v>
      </c>
      <c r="B5753" s="3" t="s">
        <v>30</v>
      </c>
      <c r="C5753" s="4" t="str">
        <f t="shared" si="451"/>
        <v>Hà Tĩnh</v>
      </c>
      <c r="D5753" s="3" t="s">
        <v>381</v>
      </c>
      <c r="E5753" s="4" t="str">
        <f t="shared" si="454"/>
        <v>Huyện Hương Sơn</v>
      </c>
      <c r="F5753" s="3" t="s">
        <v>6516</v>
      </c>
      <c r="G5753" s="4" t="str">
        <f>HYPERLINK("https://diaocthongthai.com/xa-son-trung-huong-son/","Xã Sơn Trung")</f>
        <v>Xã Sơn Trung</v>
      </c>
    </row>
    <row r="5754" spans="1:7" x14ac:dyDescent="0.25">
      <c r="A5754" s="2">
        <v>5753</v>
      </c>
      <c r="B5754" s="3" t="s">
        <v>30</v>
      </c>
      <c r="C5754" s="4" t="str">
        <f t="shared" si="451"/>
        <v>Hà Tĩnh</v>
      </c>
      <c r="D5754" s="3" t="s">
        <v>381</v>
      </c>
      <c r="E5754" s="4" t="str">
        <f t="shared" si="454"/>
        <v>Huyện Hương Sơn</v>
      </c>
      <c r="F5754" s="3" t="s">
        <v>6517</v>
      </c>
      <c r="G5754" s="4" t="str">
        <f>HYPERLINK("https://diaocthongthai.com/xa-son-bang-huong-son/","Xã Sơn Bằng")</f>
        <v>Xã Sơn Bằng</v>
      </c>
    </row>
    <row r="5755" spans="1:7" x14ac:dyDescent="0.25">
      <c r="A5755" s="2">
        <v>5754</v>
      </c>
      <c r="B5755" s="3" t="s">
        <v>30</v>
      </c>
      <c r="C5755" s="4" t="str">
        <f t="shared" si="451"/>
        <v>Hà Tĩnh</v>
      </c>
      <c r="D5755" s="3" t="s">
        <v>381</v>
      </c>
      <c r="E5755" s="4" t="str">
        <f t="shared" si="454"/>
        <v>Huyện Hương Sơn</v>
      </c>
      <c r="F5755" s="3" t="s">
        <v>6518</v>
      </c>
      <c r="G5755" s="4" t="str">
        <f>HYPERLINK("https://diaocthongthai.com/xa-son-binh-huong-son/","Xã Sơn Bình")</f>
        <v>Xã Sơn Bình</v>
      </c>
    </row>
    <row r="5756" spans="1:7" x14ac:dyDescent="0.25">
      <c r="A5756" s="2">
        <v>5755</v>
      </c>
      <c r="B5756" s="3" t="s">
        <v>30</v>
      </c>
      <c r="C5756" s="4" t="str">
        <f t="shared" si="451"/>
        <v>Hà Tĩnh</v>
      </c>
      <c r="D5756" s="3" t="s">
        <v>381</v>
      </c>
      <c r="E5756" s="4" t="str">
        <f t="shared" si="454"/>
        <v>Huyện Hương Sơn</v>
      </c>
      <c r="F5756" s="3" t="s">
        <v>6519</v>
      </c>
      <c r="G5756" s="4" t="str">
        <f>HYPERLINK("https://diaocthongthai.com/xa-son-kim-1-huong-son/","Xã Sơn Kim 1")</f>
        <v>Xã Sơn Kim 1</v>
      </c>
    </row>
    <row r="5757" spans="1:7" x14ac:dyDescent="0.25">
      <c r="A5757" s="2">
        <v>5756</v>
      </c>
      <c r="B5757" s="3" t="s">
        <v>30</v>
      </c>
      <c r="C5757" s="4" t="str">
        <f t="shared" si="451"/>
        <v>Hà Tĩnh</v>
      </c>
      <c r="D5757" s="3" t="s">
        <v>381</v>
      </c>
      <c r="E5757" s="4" t="str">
        <f t="shared" si="454"/>
        <v>Huyện Hương Sơn</v>
      </c>
      <c r="F5757" s="3" t="s">
        <v>6520</v>
      </c>
      <c r="G5757" s="4" t="str">
        <f>HYPERLINK("https://diaocthongthai.com/xa-son-kim-2-huong-son/","Xã Sơn Kim 2")</f>
        <v>Xã Sơn Kim 2</v>
      </c>
    </row>
    <row r="5758" spans="1:7" x14ac:dyDescent="0.25">
      <c r="A5758" s="2">
        <v>5757</v>
      </c>
      <c r="B5758" s="3" t="s">
        <v>30</v>
      </c>
      <c r="C5758" s="4" t="str">
        <f t="shared" si="451"/>
        <v>Hà Tĩnh</v>
      </c>
      <c r="D5758" s="3" t="s">
        <v>381</v>
      </c>
      <c r="E5758" s="4" t="str">
        <f t="shared" si="454"/>
        <v>Huyện Hương Sơn</v>
      </c>
      <c r="F5758" s="3" t="s">
        <v>6521</v>
      </c>
      <c r="G5758" s="4" t="str">
        <f>HYPERLINK("https://diaocthongthai.com/xa-son-tra-huong-son/","Xã Sơn Trà")</f>
        <v>Xã Sơn Trà</v>
      </c>
    </row>
    <row r="5759" spans="1:7" x14ac:dyDescent="0.25">
      <c r="A5759" s="2">
        <v>5758</v>
      </c>
      <c r="B5759" s="3" t="s">
        <v>30</v>
      </c>
      <c r="C5759" s="4" t="str">
        <f t="shared" si="451"/>
        <v>Hà Tĩnh</v>
      </c>
      <c r="D5759" s="3" t="s">
        <v>381</v>
      </c>
      <c r="E5759" s="4" t="str">
        <f t="shared" si="454"/>
        <v>Huyện Hương Sơn</v>
      </c>
      <c r="F5759" s="3" t="s">
        <v>6522</v>
      </c>
      <c r="G5759" s="4" t="str">
        <f>HYPERLINK("https://diaocthongthai.com/xa-son-long-huong-son/","Xã Sơn Long")</f>
        <v>Xã Sơn Long</v>
      </c>
    </row>
    <row r="5760" spans="1:7" x14ac:dyDescent="0.25">
      <c r="A5760" s="2">
        <v>5759</v>
      </c>
      <c r="B5760" s="3" t="s">
        <v>30</v>
      </c>
      <c r="C5760" s="4" t="str">
        <f t="shared" si="451"/>
        <v>Hà Tĩnh</v>
      </c>
      <c r="D5760" s="3" t="s">
        <v>381</v>
      </c>
      <c r="E5760" s="4" t="str">
        <f t="shared" si="454"/>
        <v>Huyện Hương Sơn</v>
      </c>
      <c r="F5760" s="3" t="s">
        <v>6523</v>
      </c>
      <c r="G5760" s="4" t="str">
        <f>HYPERLINK("https://diaocthongthai.com/xa-kim-hoa-huong-son/","Xã Kim Hoa")</f>
        <v>Xã Kim Hoa</v>
      </c>
    </row>
    <row r="5761" spans="1:7" x14ac:dyDescent="0.25">
      <c r="A5761" s="2">
        <v>5760</v>
      </c>
      <c r="B5761" s="3" t="s">
        <v>30</v>
      </c>
      <c r="C5761" s="4" t="str">
        <f t="shared" si="451"/>
        <v>Hà Tĩnh</v>
      </c>
      <c r="D5761" s="3" t="s">
        <v>381</v>
      </c>
      <c r="E5761" s="4" t="str">
        <f t="shared" si="454"/>
        <v>Huyện Hương Sơn</v>
      </c>
      <c r="F5761" s="3" t="s">
        <v>6524</v>
      </c>
      <c r="G5761" s="4" t="str">
        <f>HYPERLINK("https://diaocthongthai.com/xa-son-ham-huong-son/","Xã Sơn Hàm")</f>
        <v>Xã Sơn Hàm</v>
      </c>
    </row>
    <row r="5762" spans="1:7" x14ac:dyDescent="0.25">
      <c r="A5762" s="2">
        <v>5761</v>
      </c>
      <c r="B5762" s="3" t="s">
        <v>30</v>
      </c>
      <c r="C5762" s="4" t="str">
        <f t="shared" si="451"/>
        <v>Hà Tĩnh</v>
      </c>
      <c r="D5762" s="3" t="s">
        <v>381</v>
      </c>
      <c r="E5762" s="4" t="str">
        <f t="shared" si="454"/>
        <v>Huyện Hương Sơn</v>
      </c>
      <c r="F5762" s="3" t="s">
        <v>6525</v>
      </c>
      <c r="G5762" s="4" t="str">
        <f>HYPERLINK("https://diaocthongthai.com/xa-son-phu-huong-son/","Xã Sơn Phú")</f>
        <v>Xã Sơn Phú</v>
      </c>
    </row>
    <row r="5763" spans="1:7" x14ac:dyDescent="0.25">
      <c r="A5763" s="2">
        <v>5762</v>
      </c>
      <c r="B5763" s="3" t="s">
        <v>30</v>
      </c>
      <c r="C5763" s="4" t="str">
        <f t="shared" si="451"/>
        <v>Hà Tĩnh</v>
      </c>
      <c r="D5763" s="3" t="s">
        <v>381</v>
      </c>
      <c r="E5763" s="4" t="str">
        <f t="shared" si="454"/>
        <v>Huyện Hương Sơn</v>
      </c>
      <c r="F5763" s="3" t="s">
        <v>6526</v>
      </c>
      <c r="G5763" s="4" t="str">
        <f>HYPERLINK("https://diaocthongthai.com/xa-son-truong-huong-son/","Xã Sơn Trường")</f>
        <v>Xã Sơn Trường</v>
      </c>
    </row>
    <row r="5764" spans="1:7" x14ac:dyDescent="0.25">
      <c r="A5764" s="2">
        <v>5763</v>
      </c>
      <c r="B5764" s="3" t="s">
        <v>30</v>
      </c>
      <c r="C5764" s="4" t="str">
        <f t="shared" si="451"/>
        <v>Hà Tĩnh</v>
      </c>
      <c r="D5764" s="3" t="s">
        <v>382</v>
      </c>
      <c r="E5764" s="4" t="str">
        <f t="shared" ref="E5764:E5779" si="455">HYPERLINK("https://diaocthongthai.com/ban-do-huyen-duc-tho-ha-tinh/","Huyện Đức Thọ")</f>
        <v>Huyện Đức Thọ</v>
      </c>
      <c r="F5764" s="3" t="s">
        <v>6527</v>
      </c>
      <c r="G5764" s="4" t="str">
        <f>HYPERLINK("https://diaocthongthai.com/thi-tran-duc-tho-duc-tho/","Thị trấn Đức Thọ")</f>
        <v>Thị trấn Đức Thọ</v>
      </c>
    </row>
    <row r="5765" spans="1:7" x14ac:dyDescent="0.25">
      <c r="A5765" s="2">
        <v>5764</v>
      </c>
      <c r="B5765" s="3" t="s">
        <v>30</v>
      </c>
      <c r="C5765" s="4" t="str">
        <f t="shared" si="451"/>
        <v>Hà Tĩnh</v>
      </c>
      <c r="D5765" s="3" t="s">
        <v>382</v>
      </c>
      <c r="E5765" s="4" t="str">
        <f t="shared" si="455"/>
        <v>Huyện Đức Thọ</v>
      </c>
      <c r="F5765" s="3" t="s">
        <v>6528</v>
      </c>
      <c r="G5765" s="4" t="str">
        <f>HYPERLINK("https://diaocthongthai.com/xa-quang-vinh-duc-tho/","Xã Quang Vĩnh")</f>
        <v>Xã Quang Vĩnh</v>
      </c>
    </row>
    <row r="5766" spans="1:7" x14ac:dyDescent="0.25">
      <c r="A5766" s="2">
        <v>5765</v>
      </c>
      <c r="B5766" s="3" t="s">
        <v>30</v>
      </c>
      <c r="C5766" s="4" t="str">
        <f t="shared" si="451"/>
        <v>Hà Tĩnh</v>
      </c>
      <c r="D5766" s="3" t="s">
        <v>382</v>
      </c>
      <c r="E5766" s="4" t="str">
        <f t="shared" si="455"/>
        <v>Huyện Đức Thọ</v>
      </c>
      <c r="F5766" s="3" t="s">
        <v>6529</v>
      </c>
      <c r="G5766" s="4" t="str">
        <f>HYPERLINK("https://diaocthongthai.com/xa-tung-chau-duc-tho/","Xã Tùng Châu")</f>
        <v>Xã Tùng Châu</v>
      </c>
    </row>
    <row r="5767" spans="1:7" x14ac:dyDescent="0.25">
      <c r="A5767" s="2">
        <v>5766</v>
      </c>
      <c r="B5767" s="3" t="s">
        <v>30</v>
      </c>
      <c r="C5767" s="4" t="str">
        <f t="shared" si="451"/>
        <v>Hà Tĩnh</v>
      </c>
      <c r="D5767" s="3" t="s">
        <v>382</v>
      </c>
      <c r="E5767" s="4" t="str">
        <f t="shared" si="455"/>
        <v>Huyện Đức Thọ</v>
      </c>
      <c r="F5767" s="3" t="s">
        <v>6530</v>
      </c>
      <c r="G5767" s="4" t="str">
        <f>HYPERLINK("https://diaocthongthai.com/xa-truong-son-duc-tho/","Xã Trường Sơn")</f>
        <v>Xã Trường Sơn</v>
      </c>
    </row>
    <row r="5768" spans="1:7" x14ac:dyDescent="0.25">
      <c r="A5768" s="2">
        <v>5767</v>
      </c>
      <c r="B5768" s="3" t="s">
        <v>30</v>
      </c>
      <c r="C5768" s="4" t="str">
        <f t="shared" si="451"/>
        <v>Hà Tĩnh</v>
      </c>
      <c r="D5768" s="3" t="s">
        <v>382</v>
      </c>
      <c r="E5768" s="4" t="str">
        <f t="shared" si="455"/>
        <v>Huyện Đức Thọ</v>
      </c>
      <c r="F5768" s="3" t="s">
        <v>6531</v>
      </c>
      <c r="G5768" s="4" t="str">
        <f>HYPERLINK("https://diaocthongthai.com/xa-lien-minh-duc-tho/","Xã Liên Minh")</f>
        <v>Xã Liên Minh</v>
      </c>
    </row>
    <row r="5769" spans="1:7" x14ac:dyDescent="0.25">
      <c r="A5769" s="2">
        <v>5768</v>
      </c>
      <c r="B5769" s="3" t="s">
        <v>30</v>
      </c>
      <c r="C5769" s="4" t="str">
        <f t="shared" si="451"/>
        <v>Hà Tĩnh</v>
      </c>
      <c r="D5769" s="3" t="s">
        <v>382</v>
      </c>
      <c r="E5769" s="4" t="str">
        <f t="shared" si="455"/>
        <v>Huyện Đức Thọ</v>
      </c>
      <c r="F5769" s="3" t="s">
        <v>6532</v>
      </c>
      <c r="G5769" s="4" t="str">
        <f>HYPERLINK("https://diaocthongthai.com/xa-yen-ho-duc-tho/","Xã Yên Hồ")</f>
        <v>Xã Yên Hồ</v>
      </c>
    </row>
    <row r="5770" spans="1:7" x14ac:dyDescent="0.25">
      <c r="A5770" s="2">
        <v>5769</v>
      </c>
      <c r="B5770" s="3" t="s">
        <v>30</v>
      </c>
      <c r="C5770" s="4" t="str">
        <f t="shared" si="451"/>
        <v>Hà Tĩnh</v>
      </c>
      <c r="D5770" s="3" t="s">
        <v>382</v>
      </c>
      <c r="E5770" s="4" t="str">
        <f t="shared" si="455"/>
        <v>Huyện Đức Thọ</v>
      </c>
      <c r="F5770" s="3" t="s">
        <v>6533</v>
      </c>
      <c r="G5770" s="4" t="str">
        <f>HYPERLINK("https://diaocthongthai.com/xa-tung-anh-duc-tho/","Xã Tùng Ảnh")</f>
        <v>Xã Tùng Ảnh</v>
      </c>
    </row>
    <row r="5771" spans="1:7" x14ac:dyDescent="0.25">
      <c r="A5771" s="2">
        <v>5770</v>
      </c>
      <c r="B5771" s="3" t="s">
        <v>30</v>
      </c>
      <c r="C5771" s="4" t="str">
        <f t="shared" si="451"/>
        <v>Hà Tĩnh</v>
      </c>
      <c r="D5771" s="3" t="s">
        <v>382</v>
      </c>
      <c r="E5771" s="4" t="str">
        <f t="shared" si="455"/>
        <v>Huyện Đức Thọ</v>
      </c>
      <c r="F5771" s="3" t="s">
        <v>6534</v>
      </c>
      <c r="G5771" s="4" t="str">
        <f>HYPERLINK("https://diaocthongthai.com/xa-bui-la-nhan-duc-tho/","Xã Bùi La Nhân")</f>
        <v>Xã Bùi La Nhân</v>
      </c>
    </row>
    <row r="5772" spans="1:7" x14ac:dyDescent="0.25">
      <c r="A5772" s="2">
        <v>5771</v>
      </c>
      <c r="B5772" s="3" t="s">
        <v>30</v>
      </c>
      <c r="C5772" s="4" t="str">
        <f t="shared" si="451"/>
        <v>Hà Tĩnh</v>
      </c>
      <c r="D5772" s="3" t="s">
        <v>382</v>
      </c>
      <c r="E5772" s="4" t="str">
        <f t="shared" si="455"/>
        <v>Huyện Đức Thọ</v>
      </c>
      <c r="F5772" s="3" t="s">
        <v>6535</v>
      </c>
      <c r="G5772" s="4" t="str">
        <f>HYPERLINK("https://diaocthongthai.com/xa-thanh-binh-thinh-duc-tho/","Xã Thanh Bình Thịnh")</f>
        <v>Xã Thanh Bình Thịnh</v>
      </c>
    </row>
    <row r="5773" spans="1:7" x14ac:dyDescent="0.25">
      <c r="A5773" s="2">
        <v>5772</v>
      </c>
      <c r="B5773" s="3" t="s">
        <v>30</v>
      </c>
      <c r="C5773" s="4" t="str">
        <f t="shared" si="451"/>
        <v>Hà Tĩnh</v>
      </c>
      <c r="D5773" s="3" t="s">
        <v>382</v>
      </c>
      <c r="E5773" s="4" t="str">
        <f t="shared" si="455"/>
        <v>Huyện Đức Thọ</v>
      </c>
      <c r="F5773" s="3" t="s">
        <v>6536</v>
      </c>
      <c r="G5773" s="4" t="str">
        <f>HYPERLINK("https://diaocthongthai.com/xa-lam-trung-thuy-duc-tho/","Xã Lâm Trung Thủy")</f>
        <v>Xã Lâm Trung Thủy</v>
      </c>
    </row>
    <row r="5774" spans="1:7" x14ac:dyDescent="0.25">
      <c r="A5774" s="2">
        <v>5773</v>
      </c>
      <c r="B5774" s="3" t="s">
        <v>30</v>
      </c>
      <c r="C5774" s="4" t="str">
        <f t="shared" si="451"/>
        <v>Hà Tĩnh</v>
      </c>
      <c r="D5774" s="3" t="s">
        <v>382</v>
      </c>
      <c r="E5774" s="4" t="str">
        <f t="shared" si="455"/>
        <v>Huyện Đức Thọ</v>
      </c>
      <c r="F5774" s="3" t="s">
        <v>6537</v>
      </c>
      <c r="G5774" s="4" t="str">
        <f>HYPERLINK("https://diaocthongthai.com/xa-hoa-lac-duc-tho/","Xã Hòa Lạc")</f>
        <v>Xã Hòa Lạc</v>
      </c>
    </row>
    <row r="5775" spans="1:7" x14ac:dyDescent="0.25">
      <c r="A5775" s="2">
        <v>5774</v>
      </c>
      <c r="B5775" s="3" t="s">
        <v>30</v>
      </c>
      <c r="C5775" s="4" t="str">
        <f t="shared" si="451"/>
        <v>Hà Tĩnh</v>
      </c>
      <c r="D5775" s="3" t="s">
        <v>382</v>
      </c>
      <c r="E5775" s="4" t="str">
        <f t="shared" si="455"/>
        <v>Huyện Đức Thọ</v>
      </c>
      <c r="F5775" s="3" t="s">
        <v>6538</v>
      </c>
      <c r="G5775" s="4" t="str">
        <f>HYPERLINK("https://diaocthongthai.com/xa-tan-dan-duc-tho/","Xã Tân Dân")</f>
        <v>Xã Tân Dân</v>
      </c>
    </row>
    <row r="5776" spans="1:7" x14ac:dyDescent="0.25">
      <c r="A5776" s="2">
        <v>5775</v>
      </c>
      <c r="B5776" s="3" t="s">
        <v>30</v>
      </c>
      <c r="C5776" s="4" t="str">
        <f t="shared" si="451"/>
        <v>Hà Tĩnh</v>
      </c>
      <c r="D5776" s="3" t="s">
        <v>382</v>
      </c>
      <c r="E5776" s="4" t="str">
        <f t="shared" si="455"/>
        <v>Huyện Đức Thọ</v>
      </c>
      <c r="F5776" s="3" t="s">
        <v>6539</v>
      </c>
      <c r="G5776" s="4" t="str">
        <f>HYPERLINK("https://diaocthongthai.com/xa-an-dung-duc-tho/","Xã An Dũng")</f>
        <v>Xã An Dũng</v>
      </c>
    </row>
    <row r="5777" spans="1:7" x14ac:dyDescent="0.25">
      <c r="A5777" s="2">
        <v>5776</v>
      </c>
      <c r="B5777" s="3" t="s">
        <v>30</v>
      </c>
      <c r="C5777" s="4" t="str">
        <f t="shared" si="451"/>
        <v>Hà Tĩnh</v>
      </c>
      <c r="D5777" s="3" t="s">
        <v>382</v>
      </c>
      <c r="E5777" s="4" t="str">
        <f t="shared" si="455"/>
        <v>Huyện Đức Thọ</v>
      </c>
      <c r="F5777" s="3" t="s">
        <v>6540</v>
      </c>
      <c r="G5777" s="4" t="str">
        <f>HYPERLINK("https://diaocthongthai.com/xa-duc-dong-duc-tho/","Xã Đức Đồng")</f>
        <v>Xã Đức Đồng</v>
      </c>
    </row>
    <row r="5778" spans="1:7" x14ac:dyDescent="0.25">
      <c r="A5778" s="2">
        <v>5777</v>
      </c>
      <c r="B5778" s="3" t="s">
        <v>30</v>
      </c>
      <c r="C5778" s="4" t="str">
        <f t="shared" si="451"/>
        <v>Hà Tĩnh</v>
      </c>
      <c r="D5778" s="3" t="s">
        <v>382</v>
      </c>
      <c r="E5778" s="4" t="str">
        <f t="shared" si="455"/>
        <v>Huyện Đức Thọ</v>
      </c>
      <c r="F5778" s="3" t="s">
        <v>6541</v>
      </c>
      <c r="G5778" s="4" t="str">
        <f>HYPERLINK("https://diaocthongthai.com/xa-duc-lang-duc-tho/","Xã Đức Lạng")</f>
        <v>Xã Đức Lạng</v>
      </c>
    </row>
    <row r="5779" spans="1:7" x14ac:dyDescent="0.25">
      <c r="A5779" s="2">
        <v>5778</v>
      </c>
      <c r="B5779" s="3" t="s">
        <v>30</v>
      </c>
      <c r="C5779" s="4" t="str">
        <f t="shared" si="451"/>
        <v>Hà Tĩnh</v>
      </c>
      <c r="D5779" s="3" t="s">
        <v>382</v>
      </c>
      <c r="E5779" s="4" t="str">
        <f t="shared" si="455"/>
        <v>Huyện Đức Thọ</v>
      </c>
      <c r="F5779" s="3" t="s">
        <v>6542</v>
      </c>
      <c r="G5779" s="4" t="str">
        <f>HYPERLINK("https://diaocthongthai.com/xa-tan-huong-duc-tho/","Xã Tân Hương")</f>
        <v>Xã Tân Hương</v>
      </c>
    </row>
    <row r="5780" spans="1:7" x14ac:dyDescent="0.25">
      <c r="A5780" s="2">
        <v>5779</v>
      </c>
      <c r="B5780" s="3" t="s">
        <v>30</v>
      </c>
      <c r="C5780" s="4" t="str">
        <f t="shared" si="451"/>
        <v>Hà Tĩnh</v>
      </c>
      <c r="D5780" s="3" t="s">
        <v>383</v>
      </c>
      <c r="E5780" s="4" t="str">
        <f t="shared" ref="E5780:E5789" si="456">HYPERLINK("https://diaocthongthai.com/ban-do-huyen-vu-quang-ha-tinh/","Huyện Vũ Quang")</f>
        <v>Huyện Vũ Quang</v>
      </c>
      <c r="F5780" s="3" t="s">
        <v>6543</v>
      </c>
      <c r="G5780" s="4" t="str">
        <f>HYPERLINK("https://diaocthongthai.com/thi-tran-vu-quang-vu-quang/","Thị trấn Vũ Quang")</f>
        <v>Thị trấn Vũ Quang</v>
      </c>
    </row>
    <row r="5781" spans="1:7" x14ac:dyDescent="0.25">
      <c r="A5781" s="2">
        <v>5780</v>
      </c>
      <c r="B5781" s="3" t="s">
        <v>30</v>
      </c>
      <c r="C5781" s="4" t="str">
        <f t="shared" si="451"/>
        <v>Hà Tĩnh</v>
      </c>
      <c r="D5781" s="3" t="s">
        <v>383</v>
      </c>
      <c r="E5781" s="4" t="str">
        <f t="shared" si="456"/>
        <v>Huyện Vũ Quang</v>
      </c>
      <c r="F5781" s="3" t="s">
        <v>6544</v>
      </c>
      <c r="G5781" s="4" t="str">
        <f>HYPERLINK("https://diaocthongthai.com/xa-an-phu-vu-quang/","Xã Ân Phú")</f>
        <v>Xã Ân Phú</v>
      </c>
    </row>
    <row r="5782" spans="1:7" x14ac:dyDescent="0.25">
      <c r="A5782" s="2">
        <v>5781</v>
      </c>
      <c r="B5782" s="3" t="s">
        <v>30</v>
      </c>
      <c r="C5782" s="4" t="str">
        <f t="shared" ref="C5782:C5845" si="457">HYPERLINK("https://diaocthongthai.com/ban-do-ha-tinh/","Hà Tĩnh")</f>
        <v>Hà Tĩnh</v>
      </c>
      <c r="D5782" s="3" t="s">
        <v>383</v>
      </c>
      <c r="E5782" s="4" t="str">
        <f t="shared" si="456"/>
        <v>Huyện Vũ Quang</v>
      </c>
      <c r="F5782" s="3" t="s">
        <v>6545</v>
      </c>
      <c r="G5782" s="4" t="str">
        <f>HYPERLINK("https://diaocthongthai.com/xa-duc-giang-vu-quang/","Xã Đức Giang")</f>
        <v>Xã Đức Giang</v>
      </c>
    </row>
    <row r="5783" spans="1:7" x14ac:dyDescent="0.25">
      <c r="A5783" s="2">
        <v>5782</v>
      </c>
      <c r="B5783" s="3" t="s">
        <v>30</v>
      </c>
      <c r="C5783" s="4" t="str">
        <f t="shared" si="457"/>
        <v>Hà Tĩnh</v>
      </c>
      <c r="D5783" s="3" t="s">
        <v>383</v>
      </c>
      <c r="E5783" s="4" t="str">
        <f t="shared" si="456"/>
        <v>Huyện Vũ Quang</v>
      </c>
      <c r="F5783" s="3" t="s">
        <v>6546</v>
      </c>
      <c r="G5783" s="4" t="str">
        <f>HYPERLINK("https://diaocthongthai.com/xa-duc-linh-vu-quang/","Xã Đức Lĩnh")</f>
        <v>Xã Đức Lĩnh</v>
      </c>
    </row>
    <row r="5784" spans="1:7" x14ac:dyDescent="0.25">
      <c r="A5784" s="2">
        <v>5783</v>
      </c>
      <c r="B5784" s="3" t="s">
        <v>30</v>
      </c>
      <c r="C5784" s="4" t="str">
        <f t="shared" si="457"/>
        <v>Hà Tĩnh</v>
      </c>
      <c r="D5784" s="3" t="s">
        <v>383</v>
      </c>
      <c r="E5784" s="4" t="str">
        <f t="shared" si="456"/>
        <v>Huyện Vũ Quang</v>
      </c>
      <c r="F5784" s="3" t="s">
        <v>6547</v>
      </c>
      <c r="G5784" s="4" t="str">
        <f>HYPERLINK("https://diaocthongthai.com/xa-tho-dien-vu-quang/","Xã Thọ Điền")</f>
        <v>Xã Thọ Điền</v>
      </c>
    </row>
    <row r="5785" spans="1:7" x14ac:dyDescent="0.25">
      <c r="A5785" s="2">
        <v>5784</v>
      </c>
      <c r="B5785" s="3" t="s">
        <v>30</v>
      </c>
      <c r="C5785" s="4" t="str">
        <f t="shared" si="457"/>
        <v>Hà Tĩnh</v>
      </c>
      <c r="D5785" s="3" t="s">
        <v>383</v>
      </c>
      <c r="E5785" s="4" t="str">
        <f t="shared" si="456"/>
        <v>Huyện Vũ Quang</v>
      </c>
      <c r="F5785" s="3" t="s">
        <v>6548</v>
      </c>
      <c r="G5785" s="4" t="str">
        <f>HYPERLINK("https://diaocthongthai.com/xa-duc-huong-vu-quang/","Xã Đức Hương")</f>
        <v>Xã Đức Hương</v>
      </c>
    </row>
    <row r="5786" spans="1:7" x14ac:dyDescent="0.25">
      <c r="A5786" s="2">
        <v>5785</v>
      </c>
      <c r="B5786" s="3" t="s">
        <v>30</v>
      </c>
      <c r="C5786" s="4" t="str">
        <f t="shared" si="457"/>
        <v>Hà Tĩnh</v>
      </c>
      <c r="D5786" s="3" t="s">
        <v>383</v>
      </c>
      <c r="E5786" s="4" t="str">
        <f t="shared" si="456"/>
        <v>Huyện Vũ Quang</v>
      </c>
      <c r="F5786" s="3" t="s">
        <v>6549</v>
      </c>
      <c r="G5786" s="4" t="str">
        <f>HYPERLINK("https://diaocthongthai.com/xa-duc-bong-vu-quang/","Xã Đức Bồng")</f>
        <v>Xã Đức Bồng</v>
      </c>
    </row>
    <row r="5787" spans="1:7" x14ac:dyDescent="0.25">
      <c r="A5787" s="2">
        <v>5786</v>
      </c>
      <c r="B5787" s="3" t="s">
        <v>30</v>
      </c>
      <c r="C5787" s="4" t="str">
        <f t="shared" si="457"/>
        <v>Hà Tĩnh</v>
      </c>
      <c r="D5787" s="3" t="s">
        <v>383</v>
      </c>
      <c r="E5787" s="4" t="str">
        <f t="shared" si="456"/>
        <v>Huyện Vũ Quang</v>
      </c>
      <c r="F5787" s="3" t="s">
        <v>6550</v>
      </c>
      <c r="G5787" s="4" t="str">
        <f>HYPERLINK("https://diaocthongthai.com/xa-duc-lien-vu-quang/","Xã Đức Liên")</f>
        <v>Xã Đức Liên</v>
      </c>
    </row>
    <row r="5788" spans="1:7" x14ac:dyDescent="0.25">
      <c r="A5788" s="2">
        <v>5787</v>
      </c>
      <c r="B5788" s="3" t="s">
        <v>30</v>
      </c>
      <c r="C5788" s="4" t="str">
        <f t="shared" si="457"/>
        <v>Hà Tĩnh</v>
      </c>
      <c r="D5788" s="3" t="s">
        <v>383</v>
      </c>
      <c r="E5788" s="4" t="str">
        <f t="shared" si="456"/>
        <v>Huyện Vũ Quang</v>
      </c>
      <c r="F5788" s="3" t="s">
        <v>6551</v>
      </c>
      <c r="G5788" s="4" t="str">
        <f>HYPERLINK("https://diaocthongthai.com/xa-huong-minh-vu-quang/","Xã Hương Minh")</f>
        <v>Xã Hương Minh</v>
      </c>
    </row>
    <row r="5789" spans="1:7" x14ac:dyDescent="0.25">
      <c r="A5789" s="2">
        <v>5788</v>
      </c>
      <c r="B5789" s="3" t="s">
        <v>30</v>
      </c>
      <c r="C5789" s="4" t="str">
        <f t="shared" si="457"/>
        <v>Hà Tĩnh</v>
      </c>
      <c r="D5789" s="3" t="s">
        <v>383</v>
      </c>
      <c r="E5789" s="4" t="str">
        <f t="shared" si="456"/>
        <v>Huyện Vũ Quang</v>
      </c>
      <c r="F5789" s="3" t="s">
        <v>6552</v>
      </c>
      <c r="G5789" s="4" t="str">
        <f>HYPERLINK("https://diaocthongthai.com/xa-quang-tho-vu-quang/","Xã Quang Thọ")</f>
        <v>Xã Quang Thọ</v>
      </c>
    </row>
    <row r="5790" spans="1:7" x14ac:dyDescent="0.25">
      <c r="A5790" s="2">
        <v>5789</v>
      </c>
      <c r="B5790" s="3" t="s">
        <v>30</v>
      </c>
      <c r="C5790" s="4" t="str">
        <f t="shared" si="457"/>
        <v>Hà Tĩnh</v>
      </c>
      <c r="D5790" s="3" t="s">
        <v>384</v>
      </c>
      <c r="E5790" s="4" t="str">
        <f t="shared" ref="E5790:E5806" si="458">HYPERLINK("https://diaocthongthai.com/ban-do-huyen-nghi-xuan-ha-tinh/","Huyện Nghi Xuân")</f>
        <v>Huyện Nghi Xuân</v>
      </c>
      <c r="F5790" s="3" t="s">
        <v>6553</v>
      </c>
      <c r="G5790" s="4" t="str">
        <f>HYPERLINK("https://diaocthongthai.com/thi-tran-xuan-an-nghi-xuan/","Thị trấn Xuân An")</f>
        <v>Thị trấn Xuân An</v>
      </c>
    </row>
    <row r="5791" spans="1:7" x14ac:dyDescent="0.25">
      <c r="A5791" s="2">
        <v>5790</v>
      </c>
      <c r="B5791" s="3" t="s">
        <v>30</v>
      </c>
      <c r="C5791" s="4" t="str">
        <f t="shared" si="457"/>
        <v>Hà Tĩnh</v>
      </c>
      <c r="D5791" s="3" t="s">
        <v>384</v>
      </c>
      <c r="E5791" s="4" t="str">
        <f t="shared" si="458"/>
        <v>Huyện Nghi Xuân</v>
      </c>
      <c r="F5791" s="3" t="s">
        <v>6554</v>
      </c>
      <c r="G5791" s="4" t="str">
        <f>HYPERLINK("https://diaocthongthai.com/xa-xuan-hoi-nghi-xuan/","Xã Xuân Hội")</f>
        <v>Xã Xuân Hội</v>
      </c>
    </row>
    <row r="5792" spans="1:7" x14ac:dyDescent="0.25">
      <c r="A5792" s="2">
        <v>5791</v>
      </c>
      <c r="B5792" s="3" t="s">
        <v>30</v>
      </c>
      <c r="C5792" s="4" t="str">
        <f t="shared" si="457"/>
        <v>Hà Tĩnh</v>
      </c>
      <c r="D5792" s="3" t="s">
        <v>384</v>
      </c>
      <c r="E5792" s="4" t="str">
        <f t="shared" si="458"/>
        <v>Huyện Nghi Xuân</v>
      </c>
      <c r="F5792" s="3" t="s">
        <v>6555</v>
      </c>
      <c r="G5792" s="4" t="str">
        <f>HYPERLINK("https://diaocthongthai.com/xa-dan-truong-nghi-xuan/","Xã Đan Trường")</f>
        <v>Xã Đan Trường</v>
      </c>
    </row>
    <row r="5793" spans="1:7" x14ac:dyDescent="0.25">
      <c r="A5793" s="2">
        <v>5792</v>
      </c>
      <c r="B5793" s="3" t="s">
        <v>30</v>
      </c>
      <c r="C5793" s="4" t="str">
        <f t="shared" si="457"/>
        <v>Hà Tĩnh</v>
      </c>
      <c r="D5793" s="3" t="s">
        <v>384</v>
      </c>
      <c r="E5793" s="4" t="str">
        <f t="shared" si="458"/>
        <v>Huyện Nghi Xuân</v>
      </c>
      <c r="F5793" s="3" t="s">
        <v>6556</v>
      </c>
      <c r="G5793" s="4" t="str">
        <f>HYPERLINK("https://diaocthongthai.com/xa-xuan-pho-nghi-xuan/","Xã Xuân Phổ")</f>
        <v>Xã Xuân Phổ</v>
      </c>
    </row>
    <row r="5794" spans="1:7" x14ac:dyDescent="0.25">
      <c r="A5794" s="2">
        <v>5793</v>
      </c>
      <c r="B5794" s="3" t="s">
        <v>30</v>
      </c>
      <c r="C5794" s="4" t="str">
        <f t="shared" si="457"/>
        <v>Hà Tĩnh</v>
      </c>
      <c r="D5794" s="3" t="s">
        <v>384</v>
      </c>
      <c r="E5794" s="4" t="str">
        <f t="shared" si="458"/>
        <v>Huyện Nghi Xuân</v>
      </c>
      <c r="F5794" s="3" t="s">
        <v>6557</v>
      </c>
      <c r="G5794" s="4" t="str">
        <f>HYPERLINK("https://diaocthongthai.com/xa-xuan-hai-nghi-xuan/","Xã Xuân Hải")</f>
        <v>Xã Xuân Hải</v>
      </c>
    </row>
    <row r="5795" spans="1:7" x14ac:dyDescent="0.25">
      <c r="A5795" s="2">
        <v>5794</v>
      </c>
      <c r="B5795" s="3" t="s">
        <v>30</v>
      </c>
      <c r="C5795" s="4" t="str">
        <f t="shared" si="457"/>
        <v>Hà Tĩnh</v>
      </c>
      <c r="D5795" s="3" t="s">
        <v>384</v>
      </c>
      <c r="E5795" s="4" t="str">
        <f t="shared" si="458"/>
        <v>Huyện Nghi Xuân</v>
      </c>
      <c r="F5795" s="3" t="s">
        <v>6558</v>
      </c>
      <c r="G5795" s="4" t="str">
        <f>HYPERLINK("https://diaocthongthai.com/xa-xuan-giang-nghi-xuan/","Xã Xuân Giang")</f>
        <v>Xã Xuân Giang</v>
      </c>
    </row>
    <row r="5796" spans="1:7" x14ac:dyDescent="0.25">
      <c r="A5796" s="2">
        <v>5795</v>
      </c>
      <c r="B5796" s="3" t="s">
        <v>30</v>
      </c>
      <c r="C5796" s="4" t="str">
        <f t="shared" si="457"/>
        <v>Hà Tĩnh</v>
      </c>
      <c r="D5796" s="3" t="s">
        <v>384</v>
      </c>
      <c r="E5796" s="4" t="str">
        <f t="shared" si="458"/>
        <v>Huyện Nghi Xuân</v>
      </c>
      <c r="F5796" s="3" t="s">
        <v>6559</v>
      </c>
      <c r="G5796" s="4" t="str">
        <f>HYPERLINK("https://diaocthongthai.com/thi-tran-tien-dien-nghi-xuan/","Thị trấn Tiên Điền")</f>
        <v>Thị trấn Tiên Điền</v>
      </c>
    </row>
    <row r="5797" spans="1:7" x14ac:dyDescent="0.25">
      <c r="A5797" s="2">
        <v>5796</v>
      </c>
      <c r="B5797" s="3" t="s">
        <v>30</v>
      </c>
      <c r="C5797" s="4" t="str">
        <f t="shared" si="457"/>
        <v>Hà Tĩnh</v>
      </c>
      <c r="D5797" s="3" t="s">
        <v>384</v>
      </c>
      <c r="E5797" s="4" t="str">
        <f t="shared" si="458"/>
        <v>Huyện Nghi Xuân</v>
      </c>
      <c r="F5797" s="3" t="s">
        <v>6560</v>
      </c>
      <c r="G5797" s="4" t="str">
        <f>HYPERLINK("https://diaocthongthai.com/xa-xuan-yen-nghi-xuan/","Xã Xuân Yên")</f>
        <v>Xã Xuân Yên</v>
      </c>
    </row>
    <row r="5798" spans="1:7" x14ac:dyDescent="0.25">
      <c r="A5798" s="2">
        <v>5797</v>
      </c>
      <c r="B5798" s="3" t="s">
        <v>30</v>
      </c>
      <c r="C5798" s="4" t="str">
        <f t="shared" si="457"/>
        <v>Hà Tĩnh</v>
      </c>
      <c r="D5798" s="3" t="s">
        <v>384</v>
      </c>
      <c r="E5798" s="4" t="str">
        <f t="shared" si="458"/>
        <v>Huyện Nghi Xuân</v>
      </c>
      <c r="F5798" s="3" t="s">
        <v>6561</v>
      </c>
      <c r="G5798" s="4" t="str">
        <f>HYPERLINK("https://diaocthongthai.com/xa-xuan-my-nghi-xuan/","Xã Xuân Mỹ")</f>
        <v>Xã Xuân Mỹ</v>
      </c>
    </row>
    <row r="5799" spans="1:7" x14ac:dyDescent="0.25">
      <c r="A5799" s="2">
        <v>5798</v>
      </c>
      <c r="B5799" s="3" t="s">
        <v>30</v>
      </c>
      <c r="C5799" s="4" t="str">
        <f t="shared" si="457"/>
        <v>Hà Tĩnh</v>
      </c>
      <c r="D5799" s="3" t="s">
        <v>384</v>
      </c>
      <c r="E5799" s="4" t="str">
        <f t="shared" si="458"/>
        <v>Huyện Nghi Xuân</v>
      </c>
      <c r="F5799" s="3" t="s">
        <v>6562</v>
      </c>
      <c r="G5799" s="4" t="str">
        <f>HYPERLINK("https://diaocthongthai.com/xa-xuan-thanh-nghi-xuan/","Xã Xuân Thành")</f>
        <v>Xã Xuân Thành</v>
      </c>
    </row>
    <row r="5800" spans="1:7" x14ac:dyDescent="0.25">
      <c r="A5800" s="2">
        <v>5799</v>
      </c>
      <c r="B5800" s="3" t="s">
        <v>30</v>
      </c>
      <c r="C5800" s="4" t="str">
        <f t="shared" si="457"/>
        <v>Hà Tĩnh</v>
      </c>
      <c r="D5800" s="3" t="s">
        <v>384</v>
      </c>
      <c r="E5800" s="4" t="str">
        <f t="shared" si="458"/>
        <v>Huyện Nghi Xuân</v>
      </c>
      <c r="F5800" s="3" t="s">
        <v>6563</v>
      </c>
      <c r="G5800" s="4" t="str">
        <f>HYPERLINK("https://diaocthongthai.com/xa-xuan-vien-nghi-xuan/","Xã Xuân Viên")</f>
        <v>Xã Xuân Viên</v>
      </c>
    </row>
    <row r="5801" spans="1:7" x14ac:dyDescent="0.25">
      <c r="A5801" s="2">
        <v>5800</v>
      </c>
      <c r="B5801" s="3" t="s">
        <v>30</v>
      </c>
      <c r="C5801" s="4" t="str">
        <f t="shared" si="457"/>
        <v>Hà Tĩnh</v>
      </c>
      <c r="D5801" s="3" t="s">
        <v>384</v>
      </c>
      <c r="E5801" s="4" t="str">
        <f t="shared" si="458"/>
        <v>Huyện Nghi Xuân</v>
      </c>
      <c r="F5801" s="3" t="s">
        <v>6564</v>
      </c>
      <c r="G5801" s="4" t="str">
        <f>HYPERLINK("https://diaocthongthai.com/xa-xuan-hong-nghi-xuan/","Xã Xuân Hồng")</f>
        <v>Xã Xuân Hồng</v>
      </c>
    </row>
    <row r="5802" spans="1:7" x14ac:dyDescent="0.25">
      <c r="A5802" s="2">
        <v>5801</v>
      </c>
      <c r="B5802" s="3" t="s">
        <v>30</v>
      </c>
      <c r="C5802" s="4" t="str">
        <f t="shared" si="457"/>
        <v>Hà Tĩnh</v>
      </c>
      <c r="D5802" s="3" t="s">
        <v>384</v>
      </c>
      <c r="E5802" s="4" t="str">
        <f t="shared" si="458"/>
        <v>Huyện Nghi Xuân</v>
      </c>
      <c r="F5802" s="3" t="s">
        <v>6565</v>
      </c>
      <c r="G5802" s="4" t="str">
        <f>HYPERLINK("https://diaocthongthai.com/xa-co-dam-1-nghi-xuan/","Xã Cỗ Đạm")</f>
        <v>Xã Cỗ Đạm</v>
      </c>
    </row>
    <row r="5803" spans="1:7" x14ac:dyDescent="0.25">
      <c r="A5803" s="2">
        <v>5802</v>
      </c>
      <c r="B5803" s="3" t="s">
        <v>30</v>
      </c>
      <c r="C5803" s="4" t="str">
        <f t="shared" si="457"/>
        <v>Hà Tĩnh</v>
      </c>
      <c r="D5803" s="3" t="s">
        <v>384</v>
      </c>
      <c r="E5803" s="4" t="str">
        <f t="shared" si="458"/>
        <v>Huyện Nghi Xuân</v>
      </c>
      <c r="F5803" s="3" t="s">
        <v>6566</v>
      </c>
      <c r="G5803" s="4" t="str">
        <f>HYPERLINK("https://diaocthongthai.com/xa-xuan-lien-nghi-xuan/","Xã Xuân Liên")</f>
        <v>Xã Xuân Liên</v>
      </c>
    </row>
    <row r="5804" spans="1:7" x14ac:dyDescent="0.25">
      <c r="A5804" s="2">
        <v>5803</v>
      </c>
      <c r="B5804" s="3" t="s">
        <v>30</v>
      </c>
      <c r="C5804" s="4" t="str">
        <f t="shared" si="457"/>
        <v>Hà Tĩnh</v>
      </c>
      <c r="D5804" s="3" t="s">
        <v>384</v>
      </c>
      <c r="E5804" s="4" t="str">
        <f t="shared" si="458"/>
        <v>Huyện Nghi Xuân</v>
      </c>
      <c r="F5804" s="3" t="s">
        <v>6567</v>
      </c>
      <c r="G5804" s="4" t="str">
        <f>HYPERLINK("https://diaocthongthai.com/xa-xuan-linh-nghi-xuan/","Xã Xuân Lĩnh")</f>
        <v>Xã Xuân Lĩnh</v>
      </c>
    </row>
    <row r="5805" spans="1:7" x14ac:dyDescent="0.25">
      <c r="A5805" s="2">
        <v>5804</v>
      </c>
      <c r="B5805" s="3" t="s">
        <v>30</v>
      </c>
      <c r="C5805" s="4" t="str">
        <f t="shared" si="457"/>
        <v>Hà Tĩnh</v>
      </c>
      <c r="D5805" s="3" t="s">
        <v>384</v>
      </c>
      <c r="E5805" s="4" t="str">
        <f t="shared" si="458"/>
        <v>Huyện Nghi Xuân</v>
      </c>
      <c r="F5805" s="3" t="s">
        <v>6568</v>
      </c>
      <c r="G5805" s="4" t="str">
        <f>HYPERLINK("https://diaocthongthai.com/xa-xuan-lam-nghi-xuan/","Xã Xuân Lam")</f>
        <v>Xã Xuân Lam</v>
      </c>
    </row>
    <row r="5806" spans="1:7" x14ac:dyDescent="0.25">
      <c r="A5806" s="2">
        <v>5805</v>
      </c>
      <c r="B5806" s="3" t="s">
        <v>30</v>
      </c>
      <c r="C5806" s="4" t="str">
        <f t="shared" si="457"/>
        <v>Hà Tĩnh</v>
      </c>
      <c r="D5806" s="3" t="s">
        <v>384</v>
      </c>
      <c r="E5806" s="4" t="str">
        <f t="shared" si="458"/>
        <v>Huyện Nghi Xuân</v>
      </c>
      <c r="F5806" s="3" t="s">
        <v>6569</v>
      </c>
      <c r="G5806" s="4" t="str">
        <f>HYPERLINK("https://diaocthongthai.com/xa-cuong-gian-nghi-xuan/","Xã Cương Gián")</f>
        <v>Xã Cương Gián</v>
      </c>
    </row>
    <row r="5807" spans="1:7" x14ac:dyDescent="0.25">
      <c r="A5807" s="2">
        <v>5806</v>
      </c>
      <c r="B5807" s="3" t="s">
        <v>30</v>
      </c>
      <c r="C5807" s="4" t="str">
        <f t="shared" si="457"/>
        <v>Hà Tĩnh</v>
      </c>
      <c r="D5807" s="3" t="s">
        <v>385</v>
      </c>
      <c r="E5807" s="4" t="str">
        <f t="shared" ref="E5807:E5824" si="459">HYPERLINK("https://diaocthongthai.com/ban-do-huyen-can-loc-ha-tinh/","Huyện Can Lộc")</f>
        <v>Huyện Can Lộc</v>
      </c>
      <c r="F5807" s="3" t="s">
        <v>6570</v>
      </c>
      <c r="G5807" s="4" t="str">
        <f>HYPERLINK("https://diaocthongthai.com/thi-tran-nghen-can-loc/","Thị trấn Nghèn")</f>
        <v>Thị trấn Nghèn</v>
      </c>
    </row>
    <row r="5808" spans="1:7" x14ac:dyDescent="0.25">
      <c r="A5808" s="2">
        <v>5807</v>
      </c>
      <c r="B5808" s="3" t="s">
        <v>30</v>
      </c>
      <c r="C5808" s="4" t="str">
        <f t="shared" si="457"/>
        <v>Hà Tĩnh</v>
      </c>
      <c r="D5808" s="3" t="s">
        <v>385</v>
      </c>
      <c r="E5808" s="4" t="str">
        <f t="shared" si="459"/>
        <v>Huyện Can Lộc</v>
      </c>
      <c r="F5808" s="3" t="s">
        <v>6571</v>
      </c>
      <c r="G5808" s="4" t="str">
        <f>HYPERLINK("https://diaocthongthai.com/xa-thien-loc-can-loc/","Xã Thiên Lộc")</f>
        <v>Xã Thiên Lộc</v>
      </c>
    </row>
    <row r="5809" spans="1:7" x14ac:dyDescent="0.25">
      <c r="A5809" s="2">
        <v>5808</v>
      </c>
      <c r="B5809" s="3" t="s">
        <v>30</v>
      </c>
      <c r="C5809" s="4" t="str">
        <f t="shared" si="457"/>
        <v>Hà Tĩnh</v>
      </c>
      <c r="D5809" s="3" t="s">
        <v>385</v>
      </c>
      <c r="E5809" s="4" t="str">
        <f t="shared" si="459"/>
        <v>Huyện Can Lộc</v>
      </c>
      <c r="F5809" s="3" t="s">
        <v>6572</v>
      </c>
      <c r="G5809" s="4" t="str">
        <f>HYPERLINK("https://diaocthongthai.com/xa-thuan-thien-can-loc/","Xã Thuần Thiện")</f>
        <v>Xã Thuần Thiện</v>
      </c>
    </row>
    <row r="5810" spans="1:7" x14ac:dyDescent="0.25">
      <c r="A5810" s="2">
        <v>5809</v>
      </c>
      <c r="B5810" s="3" t="s">
        <v>30</v>
      </c>
      <c r="C5810" s="4" t="str">
        <f t="shared" si="457"/>
        <v>Hà Tĩnh</v>
      </c>
      <c r="D5810" s="3" t="s">
        <v>385</v>
      </c>
      <c r="E5810" s="4" t="str">
        <f t="shared" si="459"/>
        <v>Huyện Can Lộc</v>
      </c>
      <c r="F5810" s="3" t="s">
        <v>6573</v>
      </c>
      <c r="G5810" s="4" t="str">
        <f>HYPERLINK("https://diaocthongthai.com/xa-vuong-loc-can-loc/","Xã Vượng Lộc")</f>
        <v>Xã Vượng Lộc</v>
      </c>
    </row>
    <row r="5811" spans="1:7" x14ac:dyDescent="0.25">
      <c r="A5811" s="2">
        <v>5810</v>
      </c>
      <c r="B5811" s="3" t="s">
        <v>30</v>
      </c>
      <c r="C5811" s="4" t="str">
        <f t="shared" si="457"/>
        <v>Hà Tĩnh</v>
      </c>
      <c r="D5811" s="3" t="s">
        <v>385</v>
      </c>
      <c r="E5811" s="4" t="str">
        <f t="shared" si="459"/>
        <v>Huyện Can Lộc</v>
      </c>
      <c r="F5811" s="3" t="s">
        <v>6574</v>
      </c>
      <c r="G5811" s="4" t="str">
        <f>HYPERLINK("https://diaocthongthai.com/xa-thanh-loc-can-loc/","Xã Thanh Lộc")</f>
        <v>Xã Thanh Lộc</v>
      </c>
    </row>
    <row r="5812" spans="1:7" x14ac:dyDescent="0.25">
      <c r="A5812" s="2">
        <v>5811</v>
      </c>
      <c r="B5812" s="3" t="s">
        <v>30</v>
      </c>
      <c r="C5812" s="4" t="str">
        <f t="shared" si="457"/>
        <v>Hà Tĩnh</v>
      </c>
      <c r="D5812" s="3" t="s">
        <v>385</v>
      </c>
      <c r="E5812" s="4" t="str">
        <f t="shared" si="459"/>
        <v>Huyện Can Lộc</v>
      </c>
      <c r="F5812" s="3" t="s">
        <v>6575</v>
      </c>
      <c r="G5812" s="4" t="str">
        <f>HYPERLINK("https://diaocthongthai.com/xa-kim-song-truong-can-loc/","Xã Kim Song Trường")</f>
        <v>Xã Kim Song Trường</v>
      </c>
    </row>
    <row r="5813" spans="1:7" x14ac:dyDescent="0.25">
      <c r="A5813" s="2">
        <v>5812</v>
      </c>
      <c r="B5813" s="3" t="s">
        <v>30</v>
      </c>
      <c r="C5813" s="4" t="str">
        <f t="shared" si="457"/>
        <v>Hà Tĩnh</v>
      </c>
      <c r="D5813" s="3" t="s">
        <v>385</v>
      </c>
      <c r="E5813" s="4" t="str">
        <f t="shared" si="459"/>
        <v>Huyện Can Lộc</v>
      </c>
      <c r="F5813" s="3" t="s">
        <v>6576</v>
      </c>
      <c r="G5813" s="4" t="str">
        <f>HYPERLINK("https://diaocthongthai.com/xa-thuong-nga-can-loc/","Xã Thường Nga")</f>
        <v>Xã Thường Nga</v>
      </c>
    </row>
    <row r="5814" spans="1:7" x14ac:dyDescent="0.25">
      <c r="A5814" s="2">
        <v>5813</v>
      </c>
      <c r="B5814" s="3" t="s">
        <v>30</v>
      </c>
      <c r="C5814" s="4" t="str">
        <f t="shared" si="457"/>
        <v>Hà Tĩnh</v>
      </c>
      <c r="D5814" s="3" t="s">
        <v>385</v>
      </c>
      <c r="E5814" s="4" t="str">
        <f t="shared" si="459"/>
        <v>Huyện Can Lộc</v>
      </c>
      <c r="F5814" s="3" t="s">
        <v>6577</v>
      </c>
      <c r="G5814" s="4" t="str">
        <f>HYPERLINK("https://diaocthongthai.com/xa-tung-loc-can-loc/","Xã Tùng Lộc")</f>
        <v>Xã Tùng Lộc</v>
      </c>
    </row>
    <row r="5815" spans="1:7" x14ac:dyDescent="0.25">
      <c r="A5815" s="2">
        <v>5814</v>
      </c>
      <c r="B5815" s="3" t="s">
        <v>30</v>
      </c>
      <c r="C5815" s="4" t="str">
        <f t="shared" si="457"/>
        <v>Hà Tĩnh</v>
      </c>
      <c r="D5815" s="3" t="s">
        <v>385</v>
      </c>
      <c r="E5815" s="4" t="str">
        <f t="shared" si="459"/>
        <v>Huyện Can Lộc</v>
      </c>
      <c r="F5815" s="3" t="s">
        <v>6578</v>
      </c>
      <c r="G5815" s="4" t="str">
        <f>HYPERLINK("https://diaocthongthai.com/xa-phu-loc-can-loc/","Xã Phú Lộc")</f>
        <v>Xã Phú Lộc</v>
      </c>
    </row>
    <row r="5816" spans="1:7" x14ac:dyDescent="0.25">
      <c r="A5816" s="2">
        <v>5815</v>
      </c>
      <c r="B5816" s="3" t="s">
        <v>30</v>
      </c>
      <c r="C5816" s="4" t="str">
        <f t="shared" si="457"/>
        <v>Hà Tĩnh</v>
      </c>
      <c r="D5816" s="3" t="s">
        <v>385</v>
      </c>
      <c r="E5816" s="4" t="str">
        <f t="shared" si="459"/>
        <v>Huyện Can Lộc</v>
      </c>
      <c r="F5816" s="3" t="s">
        <v>6579</v>
      </c>
      <c r="G5816" s="4" t="str">
        <f>HYPERLINK("https://diaocthongthai.com/xa-gia-hanh-can-loc/","Xã Gia Hanh")</f>
        <v>Xã Gia Hanh</v>
      </c>
    </row>
    <row r="5817" spans="1:7" x14ac:dyDescent="0.25">
      <c r="A5817" s="2">
        <v>5816</v>
      </c>
      <c r="B5817" s="3" t="s">
        <v>30</v>
      </c>
      <c r="C5817" s="4" t="str">
        <f t="shared" si="457"/>
        <v>Hà Tĩnh</v>
      </c>
      <c r="D5817" s="3" t="s">
        <v>385</v>
      </c>
      <c r="E5817" s="4" t="str">
        <f t="shared" si="459"/>
        <v>Huyện Can Lộc</v>
      </c>
      <c r="F5817" s="3" t="s">
        <v>6580</v>
      </c>
      <c r="G5817" s="4" t="str">
        <f>HYPERLINK("https://diaocthongthai.com/xa-khanh-vinh-yen-can-loc/","Xã Khánh Vĩnh Yên")</f>
        <v>Xã Khánh Vĩnh Yên</v>
      </c>
    </row>
    <row r="5818" spans="1:7" x14ac:dyDescent="0.25">
      <c r="A5818" s="2">
        <v>5817</v>
      </c>
      <c r="B5818" s="3" t="s">
        <v>30</v>
      </c>
      <c r="C5818" s="4" t="str">
        <f t="shared" si="457"/>
        <v>Hà Tĩnh</v>
      </c>
      <c r="D5818" s="3" t="s">
        <v>385</v>
      </c>
      <c r="E5818" s="4" t="str">
        <f t="shared" si="459"/>
        <v>Huyện Can Lộc</v>
      </c>
      <c r="F5818" s="3" t="s">
        <v>6581</v>
      </c>
      <c r="G5818" s="4" t="str">
        <f>HYPERLINK("https://diaocthongthai.com/xa-trung-loc-can-loc/","Xã Trung Lộc")</f>
        <v>Xã Trung Lộc</v>
      </c>
    </row>
    <row r="5819" spans="1:7" x14ac:dyDescent="0.25">
      <c r="A5819" s="2">
        <v>5818</v>
      </c>
      <c r="B5819" s="3" t="s">
        <v>30</v>
      </c>
      <c r="C5819" s="4" t="str">
        <f t="shared" si="457"/>
        <v>Hà Tĩnh</v>
      </c>
      <c r="D5819" s="3" t="s">
        <v>385</v>
      </c>
      <c r="E5819" s="4" t="str">
        <f t="shared" si="459"/>
        <v>Huyện Can Lộc</v>
      </c>
      <c r="F5819" s="3" t="s">
        <v>6582</v>
      </c>
      <c r="G5819" s="4" t="str">
        <f>HYPERLINK("https://diaocthongthai.com/xa-xuan-loc-can-loc/","Xã Xuân Lộc")</f>
        <v>Xã Xuân Lộc</v>
      </c>
    </row>
    <row r="5820" spans="1:7" x14ac:dyDescent="0.25">
      <c r="A5820" s="2">
        <v>5819</v>
      </c>
      <c r="B5820" s="3" t="s">
        <v>30</v>
      </c>
      <c r="C5820" s="4" t="str">
        <f t="shared" si="457"/>
        <v>Hà Tĩnh</v>
      </c>
      <c r="D5820" s="3" t="s">
        <v>385</v>
      </c>
      <c r="E5820" s="4" t="str">
        <f t="shared" si="459"/>
        <v>Huyện Can Lộc</v>
      </c>
      <c r="F5820" s="3" t="s">
        <v>6583</v>
      </c>
      <c r="G5820" s="4" t="str">
        <f>HYPERLINK("https://diaocthongthai.com/xa-thuong-loc-can-loc/","Xã Thượng Lộc")</f>
        <v>Xã Thượng Lộc</v>
      </c>
    </row>
    <row r="5821" spans="1:7" x14ac:dyDescent="0.25">
      <c r="A5821" s="2">
        <v>5820</v>
      </c>
      <c r="B5821" s="3" t="s">
        <v>30</v>
      </c>
      <c r="C5821" s="4" t="str">
        <f t="shared" si="457"/>
        <v>Hà Tĩnh</v>
      </c>
      <c r="D5821" s="3" t="s">
        <v>385</v>
      </c>
      <c r="E5821" s="4" t="str">
        <f t="shared" si="459"/>
        <v>Huyện Can Lộc</v>
      </c>
      <c r="F5821" s="3" t="s">
        <v>6584</v>
      </c>
      <c r="G5821" s="4" t="str">
        <f>HYPERLINK("https://diaocthongthai.com/xa-quang-loc-can-loc/","Xã Quang Lộc")</f>
        <v>Xã Quang Lộc</v>
      </c>
    </row>
    <row r="5822" spans="1:7" x14ac:dyDescent="0.25">
      <c r="A5822" s="2">
        <v>5821</v>
      </c>
      <c r="B5822" s="3" t="s">
        <v>30</v>
      </c>
      <c r="C5822" s="4" t="str">
        <f t="shared" si="457"/>
        <v>Hà Tĩnh</v>
      </c>
      <c r="D5822" s="3" t="s">
        <v>385</v>
      </c>
      <c r="E5822" s="4" t="str">
        <f t="shared" si="459"/>
        <v>Huyện Can Lộc</v>
      </c>
      <c r="F5822" s="3" t="s">
        <v>6585</v>
      </c>
      <c r="G5822" s="4" t="str">
        <f>HYPERLINK("https://diaocthongthai.com/thi-tran-dong-loc-can-loc/","Thị trấn Đồng Lộc")</f>
        <v>Thị trấn Đồng Lộc</v>
      </c>
    </row>
    <row r="5823" spans="1:7" x14ac:dyDescent="0.25">
      <c r="A5823" s="2">
        <v>5822</v>
      </c>
      <c r="B5823" s="3" t="s">
        <v>30</v>
      </c>
      <c r="C5823" s="4" t="str">
        <f t="shared" si="457"/>
        <v>Hà Tĩnh</v>
      </c>
      <c r="D5823" s="3" t="s">
        <v>385</v>
      </c>
      <c r="E5823" s="4" t="str">
        <f t="shared" si="459"/>
        <v>Huyện Can Lộc</v>
      </c>
      <c r="F5823" s="3" t="s">
        <v>6586</v>
      </c>
      <c r="G5823" s="4" t="str">
        <f>HYPERLINK("https://diaocthongthai.com/xa-my-loc-can-loc/","Xã Mỹ Lộc")</f>
        <v>Xã Mỹ Lộc</v>
      </c>
    </row>
    <row r="5824" spans="1:7" x14ac:dyDescent="0.25">
      <c r="A5824" s="2">
        <v>5823</v>
      </c>
      <c r="B5824" s="3" t="s">
        <v>30</v>
      </c>
      <c r="C5824" s="4" t="str">
        <f t="shared" si="457"/>
        <v>Hà Tĩnh</v>
      </c>
      <c r="D5824" s="3" t="s">
        <v>385</v>
      </c>
      <c r="E5824" s="4" t="str">
        <f t="shared" si="459"/>
        <v>Huyện Can Lộc</v>
      </c>
      <c r="F5824" s="3" t="s">
        <v>6587</v>
      </c>
      <c r="G5824" s="4" t="str">
        <f>HYPERLINK("https://diaocthongthai.com/xa-son-loc-can-loc/","Xã Sơn Lộc")</f>
        <v>Xã Sơn Lộc</v>
      </c>
    </row>
    <row r="5825" spans="1:7" x14ac:dyDescent="0.25">
      <c r="A5825" s="2">
        <v>5824</v>
      </c>
      <c r="B5825" s="3" t="s">
        <v>30</v>
      </c>
      <c r="C5825" s="4" t="str">
        <f t="shared" si="457"/>
        <v>Hà Tĩnh</v>
      </c>
      <c r="D5825" s="3" t="s">
        <v>386</v>
      </c>
      <c r="E5825" s="4" t="str">
        <f t="shared" ref="E5825:E5845" si="460">HYPERLINK("https://diaocthongthai.com/ban-do-huyen-huong-khe-ha-tinh/","Huyện Hương Khê")</f>
        <v>Huyện Hương Khê</v>
      </c>
      <c r="F5825" s="3" t="s">
        <v>6588</v>
      </c>
      <c r="G5825" s="4" t="str">
        <f>HYPERLINK("https://diaocthongthai.com/thi-tran-huong-khe-huong-khe/","Thị trấn Hương Khê")</f>
        <v>Thị trấn Hương Khê</v>
      </c>
    </row>
    <row r="5826" spans="1:7" x14ac:dyDescent="0.25">
      <c r="A5826" s="2">
        <v>5825</v>
      </c>
      <c r="B5826" s="3" t="s">
        <v>30</v>
      </c>
      <c r="C5826" s="4" t="str">
        <f t="shared" si="457"/>
        <v>Hà Tĩnh</v>
      </c>
      <c r="D5826" s="3" t="s">
        <v>386</v>
      </c>
      <c r="E5826" s="4" t="str">
        <f t="shared" si="460"/>
        <v>Huyện Hương Khê</v>
      </c>
      <c r="F5826" s="3" t="s">
        <v>6589</v>
      </c>
      <c r="G5826" s="4" t="str">
        <f>HYPERLINK("https://diaocthongthai.com/xa-dien-my-huong-khe/","Xã Điền Mỹ")</f>
        <v>Xã Điền Mỹ</v>
      </c>
    </row>
    <row r="5827" spans="1:7" x14ac:dyDescent="0.25">
      <c r="A5827" s="2">
        <v>5826</v>
      </c>
      <c r="B5827" s="3" t="s">
        <v>30</v>
      </c>
      <c r="C5827" s="4" t="str">
        <f t="shared" si="457"/>
        <v>Hà Tĩnh</v>
      </c>
      <c r="D5827" s="3" t="s">
        <v>386</v>
      </c>
      <c r="E5827" s="4" t="str">
        <f t="shared" si="460"/>
        <v>Huyện Hương Khê</v>
      </c>
      <c r="F5827" s="3" t="s">
        <v>6590</v>
      </c>
      <c r="G5827" s="4" t="str">
        <f>HYPERLINK("https://diaocthongthai.com/xa-ha-linh-huong-khe/","Xã Hà Linh")</f>
        <v>Xã Hà Linh</v>
      </c>
    </row>
    <row r="5828" spans="1:7" x14ac:dyDescent="0.25">
      <c r="A5828" s="2">
        <v>5827</v>
      </c>
      <c r="B5828" s="3" t="s">
        <v>30</v>
      </c>
      <c r="C5828" s="4" t="str">
        <f t="shared" si="457"/>
        <v>Hà Tĩnh</v>
      </c>
      <c r="D5828" s="3" t="s">
        <v>386</v>
      </c>
      <c r="E5828" s="4" t="str">
        <f t="shared" si="460"/>
        <v>Huyện Hương Khê</v>
      </c>
      <c r="F5828" s="3" t="s">
        <v>6591</v>
      </c>
      <c r="G5828" s="4" t="str">
        <f>HYPERLINK("https://diaocthongthai.com/xa-huong-thuy-huong-khe/","Xã Hương Thủy")</f>
        <v>Xã Hương Thủy</v>
      </c>
    </row>
    <row r="5829" spans="1:7" x14ac:dyDescent="0.25">
      <c r="A5829" s="2">
        <v>5828</v>
      </c>
      <c r="B5829" s="3" t="s">
        <v>30</v>
      </c>
      <c r="C5829" s="4" t="str">
        <f t="shared" si="457"/>
        <v>Hà Tĩnh</v>
      </c>
      <c r="D5829" s="3" t="s">
        <v>386</v>
      </c>
      <c r="E5829" s="4" t="str">
        <f t="shared" si="460"/>
        <v>Huyện Hương Khê</v>
      </c>
      <c r="F5829" s="3" t="s">
        <v>6592</v>
      </c>
      <c r="G5829" s="4" t="str">
        <f>HYPERLINK("https://diaocthongthai.com/xa-hoa-hai-huong-khe/","Xã Hòa Hải")</f>
        <v>Xã Hòa Hải</v>
      </c>
    </row>
    <row r="5830" spans="1:7" x14ac:dyDescent="0.25">
      <c r="A5830" s="2">
        <v>5829</v>
      </c>
      <c r="B5830" s="3" t="s">
        <v>30</v>
      </c>
      <c r="C5830" s="4" t="str">
        <f t="shared" si="457"/>
        <v>Hà Tĩnh</v>
      </c>
      <c r="D5830" s="3" t="s">
        <v>386</v>
      </c>
      <c r="E5830" s="4" t="str">
        <f t="shared" si="460"/>
        <v>Huyện Hương Khê</v>
      </c>
      <c r="F5830" s="3" t="s">
        <v>6593</v>
      </c>
      <c r="G5830" s="4" t="str">
        <f>HYPERLINK("https://diaocthongthai.com/xa-phuc-dong-huong-khe/","Xã Phúc Đồng")</f>
        <v>Xã Phúc Đồng</v>
      </c>
    </row>
    <row r="5831" spans="1:7" x14ac:dyDescent="0.25">
      <c r="A5831" s="2">
        <v>5830</v>
      </c>
      <c r="B5831" s="3" t="s">
        <v>30</v>
      </c>
      <c r="C5831" s="4" t="str">
        <f t="shared" si="457"/>
        <v>Hà Tĩnh</v>
      </c>
      <c r="D5831" s="3" t="s">
        <v>386</v>
      </c>
      <c r="E5831" s="4" t="str">
        <f t="shared" si="460"/>
        <v>Huyện Hương Khê</v>
      </c>
      <c r="F5831" s="3" t="s">
        <v>6594</v>
      </c>
      <c r="G5831" s="4" t="str">
        <f>HYPERLINK("https://diaocthongthai.com/xa-huong-giang-huong-khe/","Xã Hương Giang")</f>
        <v>Xã Hương Giang</v>
      </c>
    </row>
    <row r="5832" spans="1:7" x14ac:dyDescent="0.25">
      <c r="A5832" s="2">
        <v>5831</v>
      </c>
      <c r="B5832" s="3" t="s">
        <v>30</v>
      </c>
      <c r="C5832" s="4" t="str">
        <f t="shared" si="457"/>
        <v>Hà Tĩnh</v>
      </c>
      <c r="D5832" s="3" t="s">
        <v>386</v>
      </c>
      <c r="E5832" s="4" t="str">
        <f t="shared" si="460"/>
        <v>Huyện Hương Khê</v>
      </c>
      <c r="F5832" s="3" t="s">
        <v>6595</v>
      </c>
      <c r="G5832" s="4" t="str">
        <f>HYPERLINK("https://diaocthongthai.com/xa-loc-yen-huong-khe/","Xã Lộc Yên")</f>
        <v>Xã Lộc Yên</v>
      </c>
    </row>
    <row r="5833" spans="1:7" x14ac:dyDescent="0.25">
      <c r="A5833" s="2">
        <v>5832</v>
      </c>
      <c r="B5833" s="3" t="s">
        <v>30</v>
      </c>
      <c r="C5833" s="4" t="str">
        <f t="shared" si="457"/>
        <v>Hà Tĩnh</v>
      </c>
      <c r="D5833" s="3" t="s">
        <v>386</v>
      </c>
      <c r="E5833" s="4" t="str">
        <f t="shared" si="460"/>
        <v>Huyện Hương Khê</v>
      </c>
      <c r="F5833" s="3" t="s">
        <v>6596</v>
      </c>
      <c r="G5833" s="4" t="str">
        <f>HYPERLINK("https://diaocthongthai.com/xa-huong-binh-huong-khe/","Xã Hương Bình")</f>
        <v>Xã Hương Bình</v>
      </c>
    </row>
    <row r="5834" spans="1:7" x14ac:dyDescent="0.25">
      <c r="A5834" s="2">
        <v>5833</v>
      </c>
      <c r="B5834" s="3" t="s">
        <v>30</v>
      </c>
      <c r="C5834" s="4" t="str">
        <f t="shared" si="457"/>
        <v>Hà Tĩnh</v>
      </c>
      <c r="D5834" s="3" t="s">
        <v>386</v>
      </c>
      <c r="E5834" s="4" t="str">
        <f t="shared" si="460"/>
        <v>Huyện Hương Khê</v>
      </c>
      <c r="F5834" s="3" t="s">
        <v>6597</v>
      </c>
      <c r="G5834" s="4" t="str">
        <f>HYPERLINK("https://diaocthongthai.com/xa-huong-long-huong-khe/","Xã Hương Long")</f>
        <v>Xã Hương Long</v>
      </c>
    </row>
    <row r="5835" spans="1:7" x14ac:dyDescent="0.25">
      <c r="A5835" s="2">
        <v>5834</v>
      </c>
      <c r="B5835" s="3" t="s">
        <v>30</v>
      </c>
      <c r="C5835" s="4" t="str">
        <f t="shared" si="457"/>
        <v>Hà Tĩnh</v>
      </c>
      <c r="D5835" s="3" t="s">
        <v>386</v>
      </c>
      <c r="E5835" s="4" t="str">
        <f t="shared" si="460"/>
        <v>Huyện Hương Khê</v>
      </c>
      <c r="F5835" s="3" t="s">
        <v>6598</v>
      </c>
      <c r="G5835" s="4" t="str">
        <f>HYPERLINK("https://diaocthongthai.com/xa-phu-gia-huong-khe/","Xã Phú Gia")</f>
        <v>Xã Phú Gia</v>
      </c>
    </row>
    <row r="5836" spans="1:7" x14ac:dyDescent="0.25">
      <c r="A5836" s="2">
        <v>5835</v>
      </c>
      <c r="B5836" s="3" t="s">
        <v>30</v>
      </c>
      <c r="C5836" s="4" t="str">
        <f t="shared" si="457"/>
        <v>Hà Tĩnh</v>
      </c>
      <c r="D5836" s="3" t="s">
        <v>386</v>
      </c>
      <c r="E5836" s="4" t="str">
        <f t="shared" si="460"/>
        <v>Huyện Hương Khê</v>
      </c>
      <c r="F5836" s="3" t="s">
        <v>6599</v>
      </c>
      <c r="G5836" s="4" t="str">
        <f>HYPERLINK("https://diaocthongthai.com/xa-gia-pho-huong-khe/","Xã Gia Phố")</f>
        <v>Xã Gia Phố</v>
      </c>
    </row>
    <row r="5837" spans="1:7" x14ac:dyDescent="0.25">
      <c r="A5837" s="2">
        <v>5836</v>
      </c>
      <c r="B5837" s="3" t="s">
        <v>30</v>
      </c>
      <c r="C5837" s="4" t="str">
        <f t="shared" si="457"/>
        <v>Hà Tĩnh</v>
      </c>
      <c r="D5837" s="3" t="s">
        <v>386</v>
      </c>
      <c r="E5837" s="4" t="str">
        <f t="shared" si="460"/>
        <v>Huyện Hương Khê</v>
      </c>
      <c r="F5837" s="3" t="s">
        <v>6600</v>
      </c>
      <c r="G5837" s="4" t="str">
        <f>HYPERLINK("https://diaocthongthai.com/xa-phu-phong-huong-khe/","Xã Phú Phong")</f>
        <v>Xã Phú Phong</v>
      </c>
    </row>
    <row r="5838" spans="1:7" x14ac:dyDescent="0.25">
      <c r="A5838" s="2">
        <v>5837</v>
      </c>
      <c r="B5838" s="3" t="s">
        <v>30</v>
      </c>
      <c r="C5838" s="4" t="str">
        <f t="shared" si="457"/>
        <v>Hà Tĩnh</v>
      </c>
      <c r="D5838" s="3" t="s">
        <v>386</v>
      </c>
      <c r="E5838" s="4" t="str">
        <f t="shared" si="460"/>
        <v>Huyện Hương Khê</v>
      </c>
      <c r="F5838" s="3" t="s">
        <v>6601</v>
      </c>
      <c r="G5838" s="4" t="str">
        <f>HYPERLINK("https://diaocthongthai.com/xa-huong-do-huong-khe/","Xã Hương Đô")</f>
        <v>Xã Hương Đô</v>
      </c>
    </row>
    <row r="5839" spans="1:7" x14ac:dyDescent="0.25">
      <c r="A5839" s="2">
        <v>5838</v>
      </c>
      <c r="B5839" s="3" t="s">
        <v>30</v>
      </c>
      <c r="C5839" s="4" t="str">
        <f t="shared" si="457"/>
        <v>Hà Tĩnh</v>
      </c>
      <c r="D5839" s="3" t="s">
        <v>386</v>
      </c>
      <c r="E5839" s="4" t="str">
        <f t="shared" si="460"/>
        <v>Huyện Hương Khê</v>
      </c>
      <c r="F5839" s="3" t="s">
        <v>6602</v>
      </c>
      <c r="G5839" s="4" t="str">
        <f>HYPERLINK("https://diaocthongthai.com/xa-huong-vinh-huong-khe/","Xã Hương Vĩnh")</f>
        <v>Xã Hương Vĩnh</v>
      </c>
    </row>
    <row r="5840" spans="1:7" x14ac:dyDescent="0.25">
      <c r="A5840" s="2">
        <v>5839</v>
      </c>
      <c r="B5840" s="3" t="s">
        <v>30</v>
      </c>
      <c r="C5840" s="4" t="str">
        <f t="shared" si="457"/>
        <v>Hà Tĩnh</v>
      </c>
      <c r="D5840" s="3" t="s">
        <v>386</v>
      </c>
      <c r="E5840" s="4" t="str">
        <f t="shared" si="460"/>
        <v>Huyện Hương Khê</v>
      </c>
      <c r="F5840" s="3" t="s">
        <v>6603</v>
      </c>
      <c r="G5840" s="4" t="str">
        <f>HYPERLINK("https://diaocthongthai.com/xa-huong-xuan-huong-khe/","Xã Hương Xuân")</f>
        <v>Xã Hương Xuân</v>
      </c>
    </row>
    <row r="5841" spans="1:7" x14ac:dyDescent="0.25">
      <c r="A5841" s="2">
        <v>5840</v>
      </c>
      <c r="B5841" s="3" t="s">
        <v>30</v>
      </c>
      <c r="C5841" s="4" t="str">
        <f t="shared" si="457"/>
        <v>Hà Tĩnh</v>
      </c>
      <c r="D5841" s="3" t="s">
        <v>386</v>
      </c>
      <c r="E5841" s="4" t="str">
        <f t="shared" si="460"/>
        <v>Huyện Hương Khê</v>
      </c>
      <c r="F5841" s="3" t="s">
        <v>6604</v>
      </c>
      <c r="G5841" s="4" t="str">
        <f>HYPERLINK("https://diaocthongthai.com/xa-phuc-trach-huong-khe/","Xã Phúc Trạch")</f>
        <v>Xã Phúc Trạch</v>
      </c>
    </row>
    <row r="5842" spans="1:7" x14ac:dyDescent="0.25">
      <c r="A5842" s="2">
        <v>5841</v>
      </c>
      <c r="B5842" s="3" t="s">
        <v>30</v>
      </c>
      <c r="C5842" s="4" t="str">
        <f t="shared" si="457"/>
        <v>Hà Tĩnh</v>
      </c>
      <c r="D5842" s="3" t="s">
        <v>386</v>
      </c>
      <c r="E5842" s="4" t="str">
        <f t="shared" si="460"/>
        <v>Huyện Hương Khê</v>
      </c>
      <c r="F5842" s="3" t="s">
        <v>6605</v>
      </c>
      <c r="G5842" s="4" t="str">
        <f>HYPERLINK("https://diaocthongthai.com/xa-huong-tra-huong-khe/","Xã Hương Trà")</f>
        <v>Xã Hương Trà</v>
      </c>
    </row>
    <row r="5843" spans="1:7" x14ac:dyDescent="0.25">
      <c r="A5843" s="2">
        <v>5842</v>
      </c>
      <c r="B5843" s="3" t="s">
        <v>30</v>
      </c>
      <c r="C5843" s="4" t="str">
        <f t="shared" si="457"/>
        <v>Hà Tĩnh</v>
      </c>
      <c r="D5843" s="3" t="s">
        <v>386</v>
      </c>
      <c r="E5843" s="4" t="str">
        <f t="shared" si="460"/>
        <v>Huyện Hương Khê</v>
      </c>
      <c r="F5843" s="3" t="s">
        <v>6606</v>
      </c>
      <c r="G5843" s="4" t="str">
        <f>HYPERLINK("https://diaocthongthai.com/xa-huong-trach-huong-khe/","Xã Hương Trạch")</f>
        <v>Xã Hương Trạch</v>
      </c>
    </row>
    <row r="5844" spans="1:7" x14ac:dyDescent="0.25">
      <c r="A5844" s="2">
        <v>5843</v>
      </c>
      <c r="B5844" s="3" t="s">
        <v>30</v>
      </c>
      <c r="C5844" s="4" t="str">
        <f t="shared" si="457"/>
        <v>Hà Tĩnh</v>
      </c>
      <c r="D5844" s="3" t="s">
        <v>386</v>
      </c>
      <c r="E5844" s="4" t="str">
        <f t="shared" si="460"/>
        <v>Huyện Hương Khê</v>
      </c>
      <c r="F5844" s="3" t="s">
        <v>6607</v>
      </c>
      <c r="G5844" s="4" t="str">
        <f>HYPERLINK("https://diaocthongthai.com/xa-huong-lam-huong-khe/","Xã Hương Lâm")</f>
        <v>Xã Hương Lâm</v>
      </c>
    </row>
    <row r="5845" spans="1:7" x14ac:dyDescent="0.25">
      <c r="A5845" s="2">
        <v>5844</v>
      </c>
      <c r="B5845" s="3" t="s">
        <v>30</v>
      </c>
      <c r="C5845" s="4" t="str">
        <f t="shared" si="457"/>
        <v>Hà Tĩnh</v>
      </c>
      <c r="D5845" s="3" t="s">
        <v>386</v>
      </c>
      <c r="E5845" s="4" t="str">
        <f t="shared" si="460"/>
        <v>Huyện Hương Khê</v>
      </c>
      <c r="F5845" s="3" t="s">
        <v>6608</v>
      </c>
      <c r="G5845" s="4" t="str">
        <f>HYPERLINK("https://diaocthongthai.com/xa-huong-lien-huong-khe/","Xã Hương Liên")</f>
        <v>Xã Hương Liên</v>
      </c>
    </row>
    <row r="5846" spans="1:7" x14ac:dyDescent="0.25">
      <c r="A5846" s="2">
        <v>5845</v>
      </c>
      <c r="B5846" s="3" t="s">
        <v>30</v>
      </c>
      <c r="C5846" s="4" t="str">
        <f t="shared" ref="C5846:C5909" si="461">HYPERLINK("https://diaocthongthai.com/ban-do-ha-tinh/","Hà Tĩnh")</f>
        <v>Hà Tĩnh</v>
      </c>
      <c r="D5846" s="3" t="s">
        <v>387</v>
      </c>
      <c r="E5846" s="4" t="str">
        <f t="shared" ref="E5846:E5867" si="462">HYPERLINK("https://diaocthongthai.com/ban-do-huyen-thach-ha-ha-tinh/","Huyện Thạch Hà")</f>
        <v>Huyện Thạch Hà</v>
      </c>
      <c r="F5846" s="3" t="s">
        <v>6609</v>
      </c>
      <c r="G5846" s="4" t="str">
        <f>HYPERLINK("https://diaocthongthai.com/thi-tran-thach-ha-thach-ha/","Thị trấn Thạch Hà")</f>
        <v>Thị trấn Thạch Hà</v>
      </c>
    </row>
    <row r="5847" spans="1:7" x14ac:dyDescent="0.25">
      <c r="A5847" s="2">
        <v>5846</v>
      </c>
      <c r="B5847" s="3" t="s">
        <v>30</v>
      </c>
      <c r="C5847" s="4" t="str">
        <f t="shared" si="461"/>
        <v>Hà Tĩnh</v>
      </c>
      <c r="D5847" s="3" t="s">
        <v>387</v>
      </c>
      <c r="E5847" s="4" t="str">
        <f t="shared" si="462"/>
        <v>Huyện Thạch Hà</v>
      </c>
      <c r="F5847" s="3" t="s">
        <v>6610</v>
      </c>
      <c r="G5847" s="4" t="str">
        <f>HYPERLINK("https://diaocthongthai.com/xa-ngoc-son-thach-ha/","Xã Ngọc Sơn")</f>
        <v>Xã Ngọc Sơn</v>
      </c>
    </row>
    <row r="5848" spans="1:7" x14ac:dyDescent="0.25">
      <c r="A5848" s="2">
        <v>5847</v>
      </c>
      <c r="B5848" s="3" t="s">
        <v>30</v>
      </c>
      <c r="C5848" s="4" t="str">
        <f t="shared" si="461"/>
        <v>Hà Tĩnh</v>
      </c>
      <c r="D5848" s="3" t="s">
        <v>387</v>
      </c>
      <c r="E5848" s="4" t="str">
        <f t="shared" si="462"/>
        <v>Huyện Thạch Hà</v>
      </c>
      <c r="F5848" s="3" t="s">
        <v>6611</v>
      </c>
      <c r="G5848" s="4" t="str">
        <f>HYPERLINK("https://diaocthongthai.com/xa-thach-hai-thach-ha/","Xã Thạch Hải")</f>
        <v>Xã Thạch Hải</v>
      </c>
    </row>
    <row r="5849" spans="1:7" x14ac:dyDescent="0.25">
      <c r="A5849" s="2">
        <v>5848</v>
      </c>
      <c r="B5849" s="3" t="s">
        <v>30</v>
      </c>
      <c r="C5849" s="4" t="str">
        <f t="shared" si="461"/>
        <v>Hà Tĩnh</v>
      </c>
      <c r="D5849" s="3" t="s">
        <v>387</v>
      </c>
      <c r="E5849" s="4" t="str">
        <f t="shared" si="462"/>
        <v>Huyện Thạch Hà</v>
      </c>
      <c r="F5849" s="3" t="s">
        <v>6612</v>
      </c>
      <c r="G5849" s="4" t="str">
        <f>HYPERLINK("https://diaocthongthai.com/xa-thach-kenh-thach-ha/","Xã Thạch Kênh")</f>
        <v>Xã Thạch Kênh</v>
      </c>
    </row>
    <row r="5850" spans="1:7" x14ac:dyDescent="0.25">
      <c r="A5850" s="2">
        <v>5849</v>
      </c>
      <c r="B5850" s="3" t="s">
        <v>30</v>
      </c>
      <c r="C5850" s="4" t="str">
        <f t="shared" si="461"/>
        <v>Hà Tĩnh</v>
      </c>
      <c r="D5850" s="3" t="s">
        <v>387</v>
      </c>
      <c r="E5850" s="4" t="str">
        <f t="shared" si="462"/>
        <v>Huyện Thạch Hà</v>
      </c>
      <c r="F5850" s="3" t="s">
        <v>6613</v>
      </c>
      <c r="G5850" s="4" t="str">
        <f>HYPERLINK("https://diaocthongthai.com/xa-thach-son-thach-ha/","Xã Thạch Sơn")</f>
        <v>Xã Thạch Sơn</v>
      </c>
    </row>
    <row r="5851" spans="1:7" x14ac:dyDescent="0.25">
      <c r="A5851" s="2">
        <v>5850</v>
      </c>
      <c r="B5851" s="3" t="s">
        <v>30</v>
      </c>
      <c r="C5851" s="4" t="str">
        <f t="shared" si="461"/>
        <v>Hà Tĩnh</v>
      </c>
      <c r="D5851" s="3" t="s">
        <v>387</v>
      </c>
      <c r="E5851" s="4" t="str">
        <f t="shared" si="462"/>
        <v>Huyện Thạch Hà</v>
      </c>
      <c r="F5851" s="3" t="s">
        <v>6614</v>
      </c>
      <c r="G5851" s="4" t="str">
        <f>HYPERLINK("https://diaocthongthai.com/xa-thach-lien-thach-ha/","Xã Thạch Liên")</f>
        <v>Xã Thạch Liên</v>
      </c>
    </row>
    <row r="5852" spans="1:7" x14ac:dyDescent="0.25">
      <c r="A5852" s="2">
        <v>5851</v>
      </c>
      <c r="B5852" s="3" t="s">
        <v>30</v>
      </c>
      <c r="C5852" s="4" t="str">
        <f t="shared" si="461"/>
        <v>Hà Tĩnh</v>
      </c>
      <c r="D5852" s="3" t="s">
        <v>387</v>
      </c>
      <c r="E5852" s="4" t="str">
        <f t="shared" si="462"/>
        <v>Huyện Thạch Hà</v>
      </c>
      <c r="F5852" s="3" t="s">
        <v>6615</v>
      </c>
      <c r="G5852" s="4" t="str">
        <f>HYPERLINK("https://diaocthongthai.com/xa-dinh-ban-thach-ha/","Xã Đỉnh Bàn")</f>
        <v>Xã Đỉnh Bàn</v>
      </c>
    </row>
    <row r="5853" spans="1:7" x14ac:dyDescent="0.25">
      <c r="A5853" s="2">
        <v>5852</v>
      </c>
      <c r="B5853" s="3" t="s">
        <v>30</v>
      </c>
      <c r="C5853" s="4" t="str">
        <f t="shared" si="461"/>
        <v>Hà Tĩnh</v>
      </c>
      <c r="D5853" s="3" t="s">
        <v>387</v>
      </c>
      <c r="E5853" s="4" t="str">
        <f t="shared" si="462"/>
        <v>Huyện Thạch Hà</v>
      </c>
      <c r="F5853" s="3" t="s">
        <v>6616</v>
      </c>
      <c r="G5853" s="4" t="str">
        <f>HYPERLINK("https://diaocthongthai.com/xa-viet-tien-thach-ha/","Xã Việt Tiến")</f>
        <v>Xã Việt Tiến</v>
      </c>
    </row>
    <row r="5854" spans="1:7" x14ac:dyDescent="0.25">
      <c r="A5854" s="2">
        <v>5853</v>
      </c>
      <c r="B5854" s="3" t="s">
        <v>30</v>
      </c>
      <c r="C5854" s="4" t="str">
        <f t="shared" si="461"/>
        <v>Hà Tĩnh</v>
      </c>
      <c r="D5854" s="3" t="s">
        <v>387</v>
      </c>
      <c r="E5854" s="4" t="str">
        <f t="shared" si="462"/>
        <v>Huyện Thạch Hà</v>
      </c>
      <c r="F5854" s="3" t="s">
        <v>6617</v>
      </c>
      <c r="G5854" s="4" t="str">
        <f>HYPERLINK("https://diaocthongthai.com/xa-thach-khe-thach-ha/","Xã Thạch Khê")</f>
        <v>Xã Thạch Khê</v>
      </c>
    </row>
    <row r="5855" spans="1:7" x14ac:dyDescent="0.25">
      <c r="A5855" s="2">
        <v>5854</v>
      </c>
      <c r="B5855" s="3" t="s">
        <v>30</v>
      </c>
      <c r="C5855" s="4" t="str">
        <f t="shared" si="461"/>
        <v>Hà Tĩnh</v>
      </c>
      <c r="D5855" s="3" t="s">
        <v>387</v>
      </c>
      <c r="E5855" s="4" t="str">
        <f t="shared" si="462"/>
        <v>Huyện Thạch Hà</v>
      </c>
      <c r="F5855" s="3" t="s">
        <v>6618</v>
      </c>
      <c r="G5855" s="4" t="str">
        <f>HYPERLINK("https://diaocthongthai.com/xa-thach-long-thach-ha/","Xã Thạch Long")</f>
        <v>Xã Thạch Long</v>
      </c>
    </row>
    <row r="5856" spans="1:7" x14ac:dyDescent="0.25">
      <c r="A5856" s="2">
        <v>5855</v>
      </c>
      <c r="B5856" s="3" t="s">
        <v>30</v>
      </c>
      <c r="C5856" s="4" t="str">
        <f t="shared" si="461"/>
        <v>Hà Tĩnh</v>
      </c>
      <c r="D5856" s="3" t="s">
        <v>387</v>
      </c>
      <c r="E5856" s="4" t="str">
        <f t="shared" si="462"/>
        <v>Huyện Thạch Hà</v>
      </c>
      <c r="F5856" s="3" t="s">
        <v>6619</v>
      </c>
      <c r="G5856" s="4" t="str">
        <f>HYPERLINK("https://diaocthongthai.com/xa-thach-tri-thach-ha/","Xã Thạch Trị")</f>
        <v>Xã Thạch Trị</v>
      </c>
    </row>
    <row r="5857" spans="1:7" x14ac:dyDescent="0.25">
      <c r="A5857" s="2">
        <v>5856</v>
      </c>
      <c r="B5857" s="3" t="s">
        <v>30</v>
      </c>
      <c r="C5857" s="4" t="str">
        <f t="shared" si="461"/>
        <v>Hà Tĩnh</v>
      </c>
      <c r="D5857" s="3" t="s">
        <v>387</v>
      </c>
      <c r="E5857" s="4" t="str">
        <f t="shared" si="462"/>
        <v>Huyện Thạch Hà</v>
      </c>
      <c r="F5857" s="3" t="s">
        <v>6620</v>
      </c>
      <c r="G5857" s="4" t="str">
        <f>HYPERLINK("https://diaocthongthai.com/xa-thach-lac-thach-ha/","Xã Thạch Lạc")</f>
        <v>Xã Thạch Lạc</v>
      </c>
    </row>
    <row r="5858" spans="1:7" x14ac:dyDescent="0.25">
      <c r="A5858" s="2">
        <v>5857</v>
      </c>
      <c r="B5858" s="3" t="s">
        <v>30</v>
      </c>
      <c r="C5858" s="4" t="str">
        <f t="shared" si="461"/>
        <v>Hà Tĩnh</v>
      </c>
      <c r="D5858" s="3" t="s">
        <v>387</v>
      </c>
      <c r="E5858" s="4" t="str">
        <f t="shared" si="462"/>
        <v>Huyện Thạch Hà</v>
      </c>
      <c r="F5858" s="3" t="s">
        <v>6621</v>
      </c>
      <c r="G5858" s="4" t="str">
        <f>HYPERLINK("https://diaocthongthai.com/xa-thach-ngoc-thach-ha/","Xã Thạch Ngọc")</f>
        <v>Xã Thạch Ngọc</v>
      </c>
    </row>
    <row r="5859" spans="1:7" x14ac:dyDescent="0.25">
      <c r="A5859" s="2">
        <v>5858</v>
      </c>
      <c r="B5859" s="3" t="s">
        <v>30</v>
      </c>
      <c r="C5859" s="4" t="str">
        <f t="shared" si="461"/>
        <v>Hà Tĩnh</v>
      </c>
      <c r="D5859" s="3" t="s">
        <v>387</v>
      </c>
      <c r="E5859" s="4" t="str">
        <f t="shared" si="462"/>
        <v>Huyện Thạch Hà</v>
      </c>
      <c r="F5859" s="3" t="s">
        <v>6622</v>
      </c>
      <c r="G5859" s="4" t="str">
        <f>HYPERLINK("https://diaocthongthai.com/xa-tuong-son-thach-ha/","Xã Tượng Sơn")</f>
        <v>Xã Tượng Sơn</v>
      </c>
    </row>
    <row r="5860" spans="1:7" x14ac:dyDescent="0.25">
      <c r="A5860" s="2">
        <v>5859</v>
      </c>
      <c r="B5860" s="3" t="s">
        <v>30</v>
      </c>
      <c r="C5860" s="4" t="str">
        <f t="shared" si="461"/>
        <v>Hà Tĩnh</v>
      </c>
      <c r="D5860" s="3" t="s">
        <v>387</v>
      </c>
      <c r="E5860" s="4" t="str">
        <f t="shared" si="462"/>
        <v>Huyện Thạch Hà</v>
      </c>
      <c r="F5860" s="3" t="s">
        <v>6623</v>
      </c>
      <c r="G5860" s="4" t="str">
        <f>HYPERLINK("https://diaocthongthai.com/xa-thach-van-thach-ha/","Xã Thạch Văn")</f>
        <v>Xã Thạch Văn</v>
      </c>
    </row>
    <row r="5861" spans="1:7" x14ac:dyDescent="0.25">
      <c r="A5861" s="2">
        <v>5860</v>
      </c>
      <c r="B5861" s="3" t="s">
        <v>30</v>
      </c>
      <c r="C5861" s="4" t="str">
        <f t="shared" si="461"/>
        <v>Hà Tĩnh</v>
      </c>
      <c r="D5861" s="3" t="s">
        <v>387</v>
      </c>
      <c r="E5861" s="4" t="str">
        <f t="shared" si="462"/>
        <v>Huyện Thạch Hà</v>
      </c>
      <c r="F5861" s="3" t="s">
        <v>6624</v>
      </c>
      <c r="G5861" s="4" t="str">
        <f>HYPERLINK("https://diaocthongthai.com/xa-luu-vinh-son-thach-ha/","Xã Lưu Vĩnh Sơn")</f>
        <v>Xã Lưu Vĩnh Sơn</v>
      </c>
    </row>
    <row r="5862" spans="1:7" x14ac:dyDescent="0.25">
      <c r="A5862" s="2">
        <v>5861</v>
      </c>
      <c r="B5862" s="3" t="s">
        <v>30</v>
      </c>
      <c r="C5862" s="4" t="str">
        <f t="shared" si="461"/>
        <v>Hà Tĩnh</v>
      </c>
      <c r="D5862" s="3" t="s">
        <v>387</v>
      </c>
      <c r="E5862" s="4" t="str">
        <f t="shared" si="462"/>
        <v>Huyện Thạch Hà</v>
      </c>
      <c r="F5862" s="3" t="s">
        <v>6625</v>
      </c>
      <c r="G5862" s="4" t="str">
        <f>HYPERLINK("https://diaocthongthai.com/xa-thach-thang-thach-ha/","Xã Thạch Thắng")</f>
        <v>Xã Thạch Thắng</v>
      </c>
    </row>
    <row r="5863" spans="1:7" x14ac:dyDescent="0.25">
      <c r="A5863" s="2">
        <v>5862</v>
      </c>
      <c r="B5863" s="3" t="s">
        <v>30</v>
      </c>
      <c r="C5863" s="4" t="str">
        <f t="shared" si="461"/>
        <v>Hà Tĩnh</v>
      </c>
      <c r="D5863" s="3" t="s">
        <v>387</v>
      </c>
      <c r="E5863" s="4" t="str">
        <f t="shared" si="462"/>
        <v>Huyện Thạch Hà</v>
      </c>
      <c r="F5863" s="3" t="s">
        <v>6626</v>
      </c>
      <c r="G5863" s="4" t="str">
        <f>HYPERLINK("https://diaocthongthai.com/xa-thach-dai-thach-ha/","Xã Thạch Đài")</f>
        <v>Xã Thạch Đài</v>
      </c>
    </row>
    <row r="5864" spans="1:7" x14ac:dyDescent="0.25">
      <c r="A5864" s="2">
        <v>5863</v>
      </c>
      <c r="B5864" s="3" t="s">
        <v>30</v>
      </c>
      <c r="C5864" s="4" t="str">
        <f t="shared" si="461"/>
        <v>Hà Tĩnh</v>
      </c>
      <c r="D5864" s="3" t="s">
        <v>387</v>
      </c>
      <c r="E5864" s="4" t="str">
        <f t="shared" si="462"/>
        <v>Huyện Thạch Hà</v>
      </c>
      <c r="F5864" s="3" t="s">
        <v>6627</v>
      </c>
      <c r="G5864" s="4" t="str">
        <f>HYPERLINK("https://diaocthongthai.com/xa-thach-hoi-thach-ha/","Xã Thạch Hội")</f>
        <v>Xã Thạch Hội</v>
      </c>
    </row>
    <row r="5865" spans="1:7" x14ac:dyDescent="0.25">
      <c r="A5865" s="2">
        <v>5864</v>
      </c>
      <c r="B5865" s="3" t="s">
        <v>30</v>
      </c>
      <c r="C5865" s="4" t="str">
        <f t="shared" si="461"/>
        <v>Hà Tĩnh</v>
      </c>
      <c r="D5865" s="3" t="s">
        <v>387</v>
      </c>
      <c r="E5865" s="4" t="str">
        <f t="shared" si="462"/>
        <v>Huyện Thạch Hà</v>
      </c>
      <c r="F5865" s="3" t="s">
        <v>6628</v>
      </c>
      <c r="G5865" s="4" t="str">
        <f>HYPERLINK("https://diaocthongthai.com/xa-tan-lam-huong-thach-ha/","Xã Tân Lâm Hương")</f>
        <v>Xã Tân Lâm Hương</v>
      </c>
    </row>
    <row r="5866" spans="1:7" x14ac:dyDescent="0.25">
      <c r="A5866" s="2">
        <v>5865</v>
      </c>
      <c r="B5866" s="3" t="s">
        <v>30</v>
      </c>
      <c r="C5866" s="4" t="str">
        <f t="shared" si="461"/>
        <v>Hà Tĩnh</v>
      </c>
      <c r="D5866" s="3" t="s">
        <v>387</v>
      </c>
      <c r="E5866" s="4" t="str">
        <f t="shared" si="462"/>
        <v>Huyện Thạch Hà</v>
      </c>
      <c r="F5866" s="3" t="s">
        <v>6629</v>
      </c>
      <c r="G5866" s="4" t="str">
        <f>HYPERLINK("https://diaocthongthai.com/xa-thach-xuan-thach-ha/","Xã Thạch Xuân")</f>
        <v>Xã Thạch Xuân</v>
      </c>
    </row>
    <row r="5867" spans="1:7" x14ac:dyDescent="0.25">
      <c r="A5867" s="2">
        <v>5866</v>
      </c>
      <c r="B5867" s="3" t="s">
        <v>30</v>
      </c>
      <c r="C5867" s="4" t="str">
        <f t="shared" si="461"/>
        <v>Hà Tĩnh</v>
      </c>
      <c r="D5867" s="3" t="s">
        <v>387</v>
      </c>
      <c r="E5867" s="4" t="str">
        <f t="shared" si="462"/>
        <v>Huyện Thạch Hà</v>
      </c>
      <c r="F5867" s="3" t="s">
        <v>6630</v>
      </c>
      <c r="G5867" s="4" t="str">
        <f>HYPERLINK("https://diaocthongthai.com/xa-nam-dien-thach-ha/","Xã Nam Điền")</f>
        <v>Xã Nam Điền</v>
      </c>
    </row>
    <row r="5868" spans="1:7" x14ac:dyDescent="0.25">
      <c r="A5868" s="2">
        <v>5867</v>
      </c>
      <c r="B5868" s="3" t="s">
        <v>30</v>
      </c>
      <c r="C5868" s="4" t="str">
        <f t="shared" si="461"/>
        <v>Hà Tĩnh</v>
      </c>
      <c r="D5868" s="3" t="s">
        <v>388</v>
      </c>
      <c r="E5868" s="4" t="str">
        <f t="shared" ref="E5868:E5890" si="463">HYPERLINK("https://diaocthongthai.com/ban-do-huyen-cam-xuyen-ha-tinh/","Huyện Cẩm Xuyên")</f>
        <v>Huyện Cẩm Xuyên</v>
      </c>
      <c r="F5868" s="3" t="s">
        <v>6631</v>
      </c>
      <c r="G5868" s="4" t="str">
        <f>HYPERLINK("https://diaocthongthai.com/thi-tran-cam-xuyen-cam-xuyen/","Thị trấn Cẩm Xuyên")</f>
        <v>Thị trấn Cẩm Xuyên</v>
      </c>
    </row>
    <row r="5869" spans="1:7" x14ac:dyDescent="0.25">
      <c r="A5869" s="2">
        <v>5868</v>
      </c>
      <c r="B5869" s="3" t="s">
        <v>30</v>
      </c>
      <c r="C5869" s="4" t="str">
        <f t="shared" si="461"/>
        <v>Hà Tĩnh</v>
      </c>
      <c r="D5869" s="3" t="s">
        <v>388</v>
      </c>
      <c r="E5869" s="4" t="str">
        <f t="shared" si="463"/>
        <v>Huyện Cẩm Xuyên</v>
      </c>
      <c r="F5869" s="3" t="s">
        <v>6632</v>
      </c>
      <c r="G5869" s="4" t="str">
        <f>HYPERLINK("https://diaocthongthai.com/thi-tran-thien-cam-cam-xuyen/","Thị trấn Thiên Cầm")</f>
        <v>Thị trấn Thiên Cầm</v>
      </c>
    </row>
    <row r="5870" spans="1:7" x14ac:dyDescent="0.25">
      <c r="A5870" s="2">
        <v>5869</v>
      </c>
      <c r="B5870" s="3" t="s">
        <v>30</v>
      </c>
      <c r="C5870" s="4" t="str">
        <f t="shared" si="461"/>
        <v>Hà Tĩnh</v>
      </c>
      <c r="D5870" s="3" t="s">
        <v>388</v>
      </c>
      <c r="E5870" s="4" t="str">
        <f t="shared" si="463"/>
        <v>Huyện Cẩm Xuyên</v>
      </c>
      <c r="F5870" s="3" t="s">
        <v>6633</v>
      </c>
      <c r="G5870" s="4" t="str">
        <f>HYPERLINK("https://diaocthongthai.com/xa-yen-hoa-cam-xuyen/","Xã Yên Hòa")</f>
        <v>Xã Yên Hòa</v>
      </c>
    </row>
    <row r="5871" spans="1:7" x14ac:dyDescent="0.25">
      <c r="A5871" s="2">
        <v>5870</v>
      </c>
      <c r="B5871" s="3" t="s">
        <v>30</v>
      </c>
      <c r="C5871" s="4" t="str">
        <f t="shared" si="461"/>
        <v>Hà Tĩnh</v>
      </c>
      <c r="D5871" s="3" t="s">
        <v>388</v>
      </c>
      <c r="E5871" s="4" t="str">
        <f t="shared" si="463"/>
        <v>Huyện Cẩm Xuyên</v>
      </c>
      <c r="F5871" s="3" t="s">
        <v>6634</v>
      </c>
      <c r="G5871" s="4" t="str">
        <f>HYPERLINK("https://diaocthongthai.com/xa-cam-duong-cam-xuyen/","Xã Cẩm Dương")</f>
        <v>Xã Cẩm Dương</v>
      </c>
    </row>
    <row r="5872" spans="1:7" x14ac:dyDescent="0.25">
      <c r="A5872" s="2">
        <v>5871</v>
      </c>
      <c r="B5872" s="3" t="s">
        <v>30</v>
      </c>
      <c r="C5872" s="4" t="str">
        <f t="shared" si="461"/>
        <v>Hà Tĩnh</v>
      </c>
      <c r="D5872" s="3" t="s">
        <v>388</v>
      </c>
      <c r="E5872" s="4" t="str">
        <f t="shared" si="463"/>
        <v>Huyện Cẩm Xuyên</v>
      </c>
      <c r="F5872" s="3" t="s">
        <v>6635</v>
      </c>
      <c r="G5872" s="4" t="str">
        <f>HYPERLINK("https://diaocthongthai.com/xa-cam-binh-cam-xuyen/","Xã Cẩm Bình")</f>
        <v>Xã Cẩm Bình</v>
      </c>
    </row>
    <row r="5873" spans="1:7" x14ac:dyDescent="0.25">
      <c r="A5873" s="2">
        <v>5872</v>
      </c>
      <c r="B5873" s="3" t="s">
        <v>30</v>
      </c>
      <c r="C5873" s="4" t="str">
        <f t="shared" si="461"/>
        <v>Hà Tĩnh</v>
      </c>
      <c r="D5873" s="3" t="s">
        <v>388</v>
      </c>
      <c r="E5873" s="4" t="str">
        <f t="shared" si="463"/>
        <v>Huyện Cẩm Xuyên</v>
      </c>
      <c r="F5873" s="3" t="s">
        <v>6636</v>
      </c>
      <c r="G5873" s="4" t="str">
        <f>HYPERLINK("https://diaocthongthai.com/xa-cam-vinh-1-cam-xuyen/","Xã Cẩm Vĩnh")</f>
        <v>Xã Cẩm Vĩnh</v>
      </c>
    </row>
    <row r="5874" spans="1:7" x14ac:dyDescent="0.25">
      <c r="A5874" s="2">
        <v>5873</v>
      </c>
      <c r="B5874" s="3" t="s">
        <v>30</v>
      </c>
      <c r="C5874" s="4" t="str">
        <f t="shared" si="461"/>
        <v>Hà Tĩnh</v>
      </c>
      <c r="D5874" s="3" t="s">
        <v>388</v>
      </c>
      <c r="E5874" s="4" t="str">
        <f t="shared" si="463"/>
        <v>Huyện Cẩm Xuyên</v>
      </c>
      <c r="F5874" s="3" t="s">
        <v>6637</v>
      </c>
      <c r="G5874" s="4" t="str">
        <f>HYPERLINK("https://diaocthongthai.com/xa-cam-thanh-cam-xuyen/","Xã Cẩm Thành")</f>
        <v>Xã Cẩm Thành</v>
      </c>
    </row>
    <row r="5875" spans="1:7" x14ac:dyDescent="0.25">
      <c r="A5875" s="2">
        <v>5874</v>
      </c>
      <c r="B5875" s="3" t="s">
        <v>30</v>
      </c>
      <c r="C5875" s="4" t="str">
        <f t="shared" si="461"/>
        <v>Hà Tĩnh</v>
      </c>
      <c r="D5875" s="3" t="s">
        <v>388</v>
      </c>
      <c r="E5875" s="4" t="str">
        <f t="shared" si="463"/>
        <v>Huyện Cẩm Xuyên</v>
      </c>
      <c r="F5875" s="3" t="s">
        <v>6638</v>
      </c>
      <c r="G5875" s="4" t="str">
        <f>HYPERLINK("https://diaocthongthai.com/xa-cam-quang-cam-xuyen/","Xã Cẩm Quang")</f>
        <v>Xã Cẩm Quang</v>
      </c>
    </row>
    <row r="5876" spans="1:7" x14ac:dyDescent="0.25">
      <c r="A5876" s="2">
        <v>5875</v>
      </c>
      <c r="B5876" s="3" t="s">
        <v>30</v>
      </c>
      <c r="C5876" s="4" t="str">
        <f t="shared" si="461"/>
        <v>Hà Tĩnh</v>
      </c>
      <c r="D5876" s="3" t="s">
        <v>388</v>
      </c>
      <c r="E5876" s="4" t="str">
        <f t="shared" si="463"/>
        <v>Huyện Cẩm Xuyên</v>
      </c>
      <c r="F5876" s="3" t="s">
        <v>6639</v>
      </c>
      <c r="G5876" s="4" t="str">
        <f>HYPERLINK("https://diaocthongthai.com/xa-cam-thach-cam-xuyen/","Xã Cẩm Thạch")</f>
        <v>Xã Cẩm Thạch</v>
      </c>
    </row>
    <row r="5877" spans="1:7" x14ac:dyDescent="0.25">
      <c r="A5877" s="2">
        <v>5876</v>
      </c>
      <c r="B5877" s="3" t="s">
        <v>30</v>
      </c>
      <c r="C5877" s="4" t="str">
        <f t="shared" si="461"/>
        <v>Hà Tĩnh</v>
      </c>
      <c r="D5877" s="3" t="s">
        <v>388</v>
      </c>
      <c r="E5877" s="4" t="str">
        <f t="shared" si="463"/>
        <v>Huyện Cẩm Xuyên</v>
      </c>
      <c r="F5877" s="3" t="s">
        <v>6640</v>
      </c>
      <c r="G5877" s="4" t="str">
        <f>HYPERLINK("https://diaocthongthai.com/xa-cam-nhuong-cam-xuyen/","Xã Cẩm Nhượng")</f>
        <v>Xã Cẩm Nhượng</v>
      </c>
    </row>
    <row r="5878" spans="1:7" x14ac:dyDescent="0.25">
      <c r="A5878" s="2">
        <v>5877</v>
      </c>
      <c r="B5878" s="3" t="s">
        <v>30</v>
      </c>
      <c r="C5878" s="4" t="str">
        <f t="shared" si="461"/>
        <v>Hà Tĩnh</v>
      </c>
      <c r="D5878" s="3" t="s">
        <v>388</v>
      </c>
      <c r="E5878" s="4" t="str">
        <f t="shared" si="463"/>
        <v>Huyện Cẩm Xuyên</v>
      </c>
      <c r="F5878" s="3" t="s">
        <v>6641</v>
      </c>
      <c r="G5878" s="4" t="str">
        <f>HYPERLINK("https://diaocthongthai.com/xa-nam-phuc-thang-cam-xuyen/","Xã Nam Phúc Thăng")</f>
        <v>Xã Nam Phúc Thăng</v>
      </c>
    </row>
    <row r="5879" spans="1:7" x14ac:dyDescent="0.25">
      <c r="A5879" s="2">
        <v>5878</v>
      </c>
      <c r="B5879" s="3" t="s">
        <v>30</v>
      </c>
      <c r="C5879" s="4" t="str">
        <f t="shared" si="461"/>
        <v>Hà Tĩnh</v>
      </c>
      <c r="D5879" s="3" t="s">
        <v>388</v>
      </c>
      <c r="E5879" s="4" t="str">
        <f t="shared" si="463"/>
        <v>Huyện Cẩm Xuyên</v>
      </c>
      <c r="F5879" s="3" t="s">
        <v>6642</v>
      </c>
      <c r="G5879" s="4" t="str">
        <f>HYPERLINK("https://diaocthongthai.com/xa-cam-due-cam-xuyen/","Xã Cẩm Duệ")</f>
        <v>Xã Cẩm Duệ</v>
      </c>
    </row>
    <row r="5880" spans="1:7" x14ac:dyDescent="0.25">
      <c r="A5880" s="2">
        <v>5879</v>
      </c>
      <c r="B5880" s="3" t="s">
        <v>30</v>
      </c>
      <c r="C5880" s="4" t="str">
        <f t="shared" si="461"/>
        <v>Hà Tĩnh</v>
      </c>
      <c r="D5880" s="3" t="s">
        <v>388</v>
      </c>
      <c r="E5880" s="4" t="str">
        <f t="shared" si="463"/>
        <v>Huyện Cẩm Xuyên</v>
      </c>
      <c r="F5880" s="3" t="s">
        <v>6643</v>
      </c>
      <c r="G5880" s="4" t="str">
        <f>HYPERLINK("https://diaocthongthai.com/xa-cam-linh-cam-xuyen/","Xã Cẩm Lĩnh")</f>
        <v>Xã Cẩm Lĩnh</v>
      </c>
    </row>
    <row r="5881" spans="1:7" x14ac:dyDescent="0.25">
      <c r="A5881" s="2">
        <v>5880</v>
      </c>
      <c r="B5881" s="3" t="s">
        <v>30</v>
      </c>
      <c r="C5881" s="4" t="str">
        <f t="shared" si="461"/>
        <v>Hà Tĩnh</v>
      </c>
      <c r="D5881" s="3" t="s">
        <v>388</v>
      </c>
      <c r="E5881" s="4" t="str">
        <f t="shared" si="463"/>
        <v>Huyện Cẩm Xuyên</v>
      </c>
      <c r="F5881" s="3" t="s">
        <v>6644</v>
      </c>
      <c r="G5881" s="4" t="str">
        <f>HYPERLINK("https://diaocthongthai.com/xa-cam-quan-cam-xuyen/","Xã Cẩm Quan")</f>
        <v>Xã Cẩm Quan</v>
      </c>
    </row>
    <row r="5882" spans="1:7" x14ac:dyDescent="0.25">
      <c r="A5882" s="2">
        <v>5881</v>
      </c>
      <c r="B5882" s="3" t="s">
        <v>30</v>
      </c>
      <c r="C5882" s="4" t="str">
        <f t="shared" si="461"/>
        <v>Hà Tĩnh</v>
      </c>
      <c r="D5882" s="3" t="s">
        <v>388</v>
      </c>
      <c r="E5882" s="4" t="str">
        <f t="shared" si="463"/>
        <v>Huyện Cẩm Xuyên</v>
      </c>
      <c r="F5882" s="3" t="s">
        <v>6645</v>
      </c>
      <c r="G5882" s="4" t="str">
        <f>HYPERLINK("https://diaocthongthai.com/xa-cam-ha-cam-xuyen/","Xã Cẩm Hà")</f>
        <v>Xã Cẩm Hà</v>
      </c>
    </row>
    <row r="5883" spans="1:7" x14ac:dyDescent="0.25">
      <c r="A5883" s="2">
        <v>5882</v>
      </c>
      <c r="B5883" s="3" t="s">
        <v>30</v>
      </c>
      <c r="C5883" s="4" t="str">
        <f t="shared" si="461"/>
        <v>Hà Tĩnh</v>
      </c>
      <c r="D5883" s="3" t="s">
        <v>388</v>
      </c>
      <c r="E5883" s="4" t="str">
        <f t="shared" si="463"/>
        <v>Huyện Cẩm Xuyên</v>
      </c>
      <c r="F5883" s="3" t="s">
        <v>6646</v>
      </c>
      <c r="G5883" s="4" t="str">
        <f>HYPERLINK("https://diaocthongthai.com/xa-cam-loc-cam-xuyen/","Xã Cẩm Lộc")</f>
        <v>Xã Cẩm Lộc</v>
      </c>
    </row>
    <row r="5884" spans="1:7" x14ac:dyDescent="0.25">
      <c r="A5884" s="2">
        <v>5883</v>
      </c>
      <c r="B5884" s="3" t="s">
        <v>30</v>
      </c>
      <c r="C5884" s="4" t="str">
        <f t="shared" si="461"/>
        <v>Hà Tĩnh</v>
      </c>
      <c r="D5884" s="3" t="s">
        <v>388</v>
      </c>
      <c r="E5884" s="4" t="str">
        <f t="shared" si="463"/>
        <v>Huyện Cẩm Xuyên</v>
      </c>
      <c r="F5884" s="3" t="s">
        <v>6647</v>
      </c>
      <c r="G5884" s="4" t="str">
        <f>HYPERLINK("https://diaocthongthai.com/xa-cam-hung-cam-xuyen/","Xã Cẩm Hưng")</f>
        <v>Xã Cẩm Hưng</v>
      </c>
    </row>
    <row r="5885" spans="1:7" x14ac:dyDescent="0.25">
      <c r="A5885" s="2">
        <v>5884</v>
      </c>
      <c r="B5885" s="3" t="s">
        <v>30</v>
      </c>
      <c r="C5885" s="4" t="str">
        <f t="shared" si="461"/>
        <v>Hà Tĩnh</v>
      </c>
      <c r="D5885" s="3" t="s">
        <v>388</v>
      </c>
      <c r="E5885" s="4" t="str">
        <f t="shared" si="463"/>
        <v>Huyện Cẩm Xuyên</v>
      </c>
      <c r="F5885" s="3" t="s">
        <v>6648</v>
      </c>
      <c r="G5885" s="4" t="str">
        <f>HYPERLINK("https://diaocthongthai.com/xa-cam-thinh-cam-xuyen/","Xã Cẩm Thịnh")</f>
        <v>Xã Cẩm Thịnh</v>
      </c>
    </row>
    <row r="5886" spans="1:7" x14ac:dyDescent="0.25">
      <c r="A5886" s="2">
        <v>5885</v>
      </c>
      <c r="B5886" s="3" t="s">
        <v>30</v>
      </c>
      <c r="C5886" s="4" t="str">
        <f t="shared" si="461"/>
        <v>Hà Tĩnh</v>
      </c>
      <c r="D5886" s="3" t="s">
        <v>388</v>
      </c>
      <c r="E5886" s="4" t="str">
        <f t="shared" si="463"/>
        <v>Huyện Cẩm Xuyên</v>
      </c>
      <c r="F5886" s="3" t="s">
        <v>6649</v>
      </c>
      <c r="G5886" s="4" t="str">
        <f>HYPERLINK("https://diaocthongthai.com/xa-cam-my-cam-xuyen/","Xã Cẩm Mỹ")</f>
        <v>Xã Cẩm Mỹ</v>
      </c>
    </row>
    <row r="5887" spans="1:7" x14ac:dyDescent="0.25">
      <c r="A5887" s="2">
        <v>5886</v>
      </c>
      <c r="B5887" s="3" t="s">
        <v>30</v>
      </c>
      <c r="C5887" s="4" t="str">
        <f t="shared" si="461"/>
        <v>Hà Tĩnh</v>
      </c>
      <c r="D5887" s="3" t="s">
        <v>388</v>
      </c>
      <c r="E5887" s="4" t="str">
        <f t="shared" si="463"/>
        <v>Huyện Cẩm Xuyên</v>
      </c>
      <c r="F5887" s="3" t="s">
        <v>6650</v>
      </c>
      <c r="G5887" s="4" t="str">
        <f>HYPERLINK("https://diaocthongthai.com/xa-cam-trung-cam-xuyen/","Xã Cẩm Trung")</f>
        <v>Xã Cẩm Trung</v>
      </c>
    </row>
    <row r="5888" spans="1:7" x14ac:dyDescent="0.25">
      <c r="A5888" s="2">
        <v>5887</v>
      </c>
      <c r="B5888" s="3" t="s">
        <v>30</v>
      </c>
      <c r="C5888" s="4" t="str">
        <f t="shared" si="461"/>
        <v>Hà Tĩnh</v>
      </c>
      <c r="D5888" s="3" t="s">
        <v>388</v>
      </c>
      <c r="E5888" s="4" t="str">
        <f t="shared" si="463"/>
        <v>Huyện Cẩm Xuyên</v>
      </c>
      <c r="F5888" s="3" t="s">
        <v>6651</v>
      </c>
      <c r="G5888" s="4" t="str">
        <f>HYPERLINK("https://diaocthongthai.com/xa-cam-son-cam-xuyen/","Xã Cẩm Sơn")</f>
        <v>Xã Cẩm Sơn</v>
      </c>
    </row>
    <row r="5889" spans="1:7" x14ac:dyDescent="0.25">
      <c r="A5889" s="2">
        <v>5888</v>
      </c>
      <c r="B5889" s="3" t="s">
        <v>30</v>
      </c>
      <c r="C5889" s="4" t="str">
        <f t="shared" si="461"/>
        <v>Hà Tĩnh</v>
      </c>
      <c r="D5889" s="3" t="s">
        <v>388</v>
      </c>
      <c r="E5889" s="4" t="str">
        <f t="shared" si="463"/>
        <v>Huyện Cẩm Xuyên</v>
      </c>
      <c r="F5889" s="3" t="s">
        <v>6652</v>
      </c>
      <c r="G5889" s="4" t="str">
        <f>HYPERLINK("https://diaocthongthai.com/xa-cam-lac-cam-xuyen/","Xã Cẩm Lạc")</f>
        <v>Xã Cẩm Lạc</v>
      </c>
    </row>
    <row r="5890" spans="1:7" x14ac:dyDescent="0.25">
      <c r="A5890" s="2">
        <v>5889</v>
      </c>
      <c r="B5890" s="3" t="s">
        <v>30</v>
      </c>
      <c r="C5890" s="4" t="str">
        <f t="shared" si="461"/>
        <v>Hà Tĩnh</v>
      </c>
      <c r="D5890" s="3" t="s">
        <v>388</v>
      </c>
      <c r="E5890" s="4" t="str">
        <f t="shared" si="463"/>
        <v>Huyện Cẩm Xuyên</v>
      </c>
      <c r="F5890" s="3" t="s">
        <v>6653</v>
      </c>
      <c r="G5890" s="4" t="str">
        <f>HYPERLINK("https://diaocthongthai.com/xa-cam-minh-cam-xuyen/","Xã Cẩm Minh")</f>
        <v>Xã Cẩm Minh</v>
      </c>
    </row>
    <row r="5891" spans="1:7" x14ac:dyDescent="0.25">
      <c r="A5891" s="2">
        <v>5890</v>
      </c>
      <c r="B5891" s="3" t="s">
        <v>30</v>
      </c>
      <c r="C5891" s="4" t="str">
        <f t="shared" si="461"/>
        <v>Hà Tĩnh</v>
      </c>
      <c r="D5891" s="3" t="s">
        <v>389</v>
      </c>
      <c r="E5891" s="4" t="str">
        <f t="shared" ref="E5891:E5910" si="464">HYPERLINK("https://diaocthongthai.com/ban-do-huyen-ky-anh-ha-tinh/","Huyện Kỳ Anh")</f>
        <v>Huyện Kỳ Anh</v>
      </c>
      <c r="F5891" s="3" t="s">
        <v>6654</v>
      </c>
      <c r="G5891" s="4" t="str">
        <f>HYPERLINK("https://diaocthongthai.com/xa-ky-xuan-ky-anh-ha-tinh/","Xã Kỳ Xuân")</f>
        <v>Xã Kỳ Xuân</v>
      </c>
    </row>
    <row r="5892" spans="1:7" x14ac:dyDescent="0.25">
      <c r="A5892" s="2">
        <v>5891</v>
      </c>
      <c r="B5892" s="3" t="s">
        <v>30</v>
      </c>
      <c r="C5892" s="4" t="str">
        <f t="shared" si="461"/>
        <v>Hà Tĩnh</v>
      </c>
      <c r="D5892" s="3" t="s">
        <v>389</v>
      </c>
      <c r="E5892" s="4" t="str">
        <f t="shared" si="464"/>
        <v>Huyện Kỳ Anh</v>
      </c>
      <c r="F5892" s="3" t="s">
        <v>6655</v>
      </c>
      <c r="G5892" s="4" t="str">
        <f>HYPERLINK("https://diaocthongthai.com/xa-ky-bac-ky-anh-ha-tinh/","Xã Kỳ Bắc")</f>
        <v>Xã Kỳ Bắc</v>
      </c>
    </row>
    <row r="5893" spans="1:7" x14ac:dyDescent="0.25">
      <c r="A5893" s="2">
        <v>5892</v>
      </c>
      <c r="B5893" s="3" t="s">
        <v>30</v>
      </c>
      <c r="C5893" s="4" t="str">
        <f t="shared" si="461"/>
        <v>Hà Tĩnh</v>
      </c>
      <c r="D5893" s="3" t="s">
        <v>389</v>
      </c>
      <c r="E5893" s="4" t="str">
        <f t="shared" si="464"/>
        <v>Huyện Kỳ Anh</v>
      </c>
      <c r="F5893" s="3" t="s">
        <v>6656</v>
      </c>
      <c r="G5893" s="4" t="str">
        <f>HYPERLINK("https://diaocthongthai.com/xa-ky-phu-ky-anh-ha-tinh/","Xã Kỳ Phú")</f>
        <v>Xã Kỳ Phú</v>
      </c>
    </row>
    <row r="5894" spans="1:7" x14ac:dyDescent="0.25">
      <c r="A5894" s="2">
        <v>5893</v>
      </c>
      <c r="B5894" s="3" t="s">
        <v>30</v>
      </c>
      <c r="C5894" s="4" t="str">
        <f t="shared" si="461"/>
        <v>Hà Tĩnh</v>
      </c>
      <c r="D5894" s="3" t="s">
        <v>389</v>
      </c>
      <c r="E5894" s="4" t="str">
        <f t="shared" si="464"/>
        <v>Huyện Kỳ Anh</v>
      </c>
      <c r="F5894" s="3" t="s">
        <v>6657</v>
      </c>
      <c r="G5894" s="4" t="str">
        <f>HYPERLINK("https://diaocthongthai.com/xa-ky-phong-ky-anh-ha-tinh/","Xã Kỳ Phong")</f>
        <v>Xã Kỳ Phong</v>
      </c>
    </row>
    <row r="5895" spans="1:7" x14ac:dyDescent="0.25">
      <c r="A5895" s="2">
        <v>5894</v>
      </c>
      <c r="B5895" s="3" t="s">
        <v>30</v>
      </c>
      <c r="C5895" s="4" t="str">
        <f t="shared" si="461"/>
        <v>Hà Tĩnh</v>
      </c>
      <c r="D5895" s="3" t="s">
        <v>389</v>
      </c>
      <c r="E5895" s="4" t="str">
        <f t="shared" si="464"/>
        <v>Huyện Kỳ Anh</v>
      </c>
      <c r="F5895" s="3" t="s">
        <v>6658</v>
      </c>
      <c r="G5895" s="4" t="str">
        <f>HYPERLINK("https://diaocthongthai.com/xa-ky-tien-ky-anh-ha-tinh/","Xã Kỳ Tiến")</f>
        <v>Xã Kỳ Tiến</v>
      </c>
    </row>
    <row r="5896" spans="1:7" x14ac:dyDescent="0.25">
      <c r="A5896" s="2">
        <v>5895</v>
      </c>
      <c r="B5896" s="3" t="s">
        <v>30</v>
      </c>
      <c r="C5896" s="4" t="str">
        <f t="shared" si="461"/>
        <v>Hà Tĩnh</v>
      </c>
      <c r="D5896" s="3" t="s">
        <v>389</v>
      </c>
      <c r="E5896" s="4" t="str">
        <f t="shared" si="464"/>
        <v>Huyện Kỳ Anh</v>
      </c>
      <c r="F5896" s="3" t="s">
        <v>6659</v>
      </c>
      <c r="G5896" s="4" t="str">
        <f>HYPERLINK("https://diaocthongthai.com/xa-ky-giang-ky-anh-ha-tinh/","Xã Kỳ Giang")</f>
        <v>Xã Kỳ Giang</v>
      </c>
    </row>
    <row r="5897" spans="1:7" x14ac:dyDescent="0.25">
      <c r="A5897" s="2">
        <v>5896</v>
      </c>
      <c r="B5897" s="3" t="s">
        <v>30</v>
      </c>
      <c r="C5897" s="4" t="str">
        <f t="shared" si="461"/>
        <v>Hà Tĩnh</v>
      </c>
      <c r="D5897" s="3" t="s">
        <v>389</v>
      </c>
      <c r="E5897" s="4" t="str">
        <f t="shared" si="464"/>
        <v>Huyện Kỳ Anh</v>
      </c>
      <c r="F5897" s="3" t="s">
        <v>6660</v>
      </c>
      <c r="G5897" s="4" t="str">
        <f>HYPERLINK("https://diaocthongthai.com/xa-ky-dong-ky-anh-ha-tinh/","Xã Kỳ Đồng")</f>
        <v>Xã Kỳ Đồng</v>
      </c>
    </row>
    <row r="5898" spans="1:7" x14ac:dyDescent="0.25">
      <c r="A5898" s="2">
        <v>5897</v>
      </c>
      <c r="B5898" s="3" t="s">
        <v>30</v>
      </c>
      <c r="C5898" s="4" t="str">
        <f t="shared" si="461"/>
        <v>Hà Tĩnh</v>
      </c>
      <c r="D5898" s="3" t="s">
        <v>389</v>
      </c>
      <c r="E5898" s="4" t="str">
        <f t="shared" si="464"/>
        <v>Huyện Kỳ Anh</v>
      </c>
      <c r="F5898" s="3" t="s">
        <v>6661</v>
      </c>
      <c r="G5898" s="4" t="str">
        <f>HYPERLINK("https://diaocthongthai.com/xa-ky-khang-ky-anh-ha-tinh/","Xã Kỳ Khang")</f>
        <v>Xã Kỳ Khang</v>
      </c>
    </row>
    <row r="5899" spans="1:7" x14ac:dyDescent="0.25">
      <c r="A5899" s="2">
        <v>5898</v>
      </c>
      <c r="B5899" s="3" t="s">
        <v>30</v>
      </c>
      <c r="C5899" s="4" t="str">
        <f t="shared" si="461"/>
        <v>Hà Tĩnh</v>
      </c>
      <c r="D5899" s="3" t="s">
        <v>389</v>
      </c>
      <c r="E5899" s="4" t="str">
        <f t="shared" si="464"/>
        <v>Huyện Kỳ Anh</v>
      </c>
      <c r="F5899" s="3" t="s">
        <v>6662</v>
      </c>
      <c r="G5899" s="4" t="str">
        <f>HYPERLINK("https://diaocthongthai.com/xa-ky-van-ky-anh-ha-tinh/","Xã Kỳ Văn")</f>
        <v>Xã Kỳ Văn</v>
      </c>
    </row>
    <row r="5900" spans="1:7" x14ac:dyDescent="0.25">
      <c r="A5900" s="2">
        <v>5899</v>
      </c>
      <c r="B5900" s="3" t="s">
        <v>30</v>
      </c>
      <c r="C5900" s="4" t="str">
        <f t="shared" si="461"/>
        <v>Hà Tĩnh</v>
      </c>
      <c r="D5900" s="3" t="s">
        <v>389</v>
      </c>
      <c r="E5900" s="4" t="str">
        <f t="shared" si="464"/>
        <v>Huyện Kỳ Anh</v>
      </c>
      <c r="F5900" s="3" t="s">
        <v>6663</v>
      </c>
      <c r="G5900" s="4" t="str">
        <f>HYPERLINK("https://diaocthongthai.com/xa-ky-trung-ky-anh-ha-tinh/","Xã Kỳ Trung")</f>
        <v>Xã Kỳ Trung</v>
      </c>
    </row>
    <row r="5901" spans="1:7" x14ac:dyDescent="0.25">
      <c r="A5901" s="2">
        <v>5900</v>
      </c>
      <c r="B5901" s="3" t="s">
        <v>30</v>
      </c>
      <c r="C5901" s="4" t="str">
        <f t="shared" si="461"/>
        <v>Hà Tĩnh</v>
      </c>
      <c r="D5901" s="3" t="s">
        <v>389</v>
      </c>
      <c r="E5901" s="4" t="str">
        <f t="shared" si="464"/>
        <v>Huyện Kỳ Anh</v>
      </c>
      <c r="F5901" s="3" t="s">
        <v>6664</v>
      </c>
      <c r="G5901" s="4" t="str">
        <f>HYPERLINK("https://diaocthongthai.com/xa-ky-tho-ky-anh-ha-tinh/","Xã Kỳ Thọ")</f>
        <v>Xã Kỳ Thọ</v>
      </c>
    </row>
    <row r="5902" spans="1:7" x14ac:dyDescent="0.25">
      <c r="A5902" s="2">
        <v>5901</v>
      </c>
      <c r="B5902" s="3" t="s">
        <v>30</v>
      </c>
      <c r="C5902" s="4" t="str">
        <f t="shared" si="461"/>
        <v>Hà Tĩnh</v>
      </c>
      <c r="D5902" s="3" t="s">
        <v>389</v>
      </c>
      <c r="E5902" s="4" t="str">
        <f t="shared" si="464"/>
        <v>Huyện Kỳ Anh</v>
      </c>
      <c r="F5902" s="3" t="s">
        <v>6665</v>
      </c>
      <c r="G5902" s="4" t="str">
        <f>HYPERLINK("https://diaocthongthai.com/xa-ky-tay-ky-anh-ha-tinh/","Xã Kỳ Tây")</f>
        <v>Xã Kỳ Tây</v>
      </c>
    </row>
    <row r="5903" spans="1:7" x14ac:dyDescent="0.25">
      <c r="A5903" s="2">
        <v>5902</v>
      </c>
      <c r="B5903" s="3" t="s">
        <v>30</v>
      </c>
      <c r="C5903" s="4" t="str">
        <f t="shared" si="461"/>
        <v>Hà Tĩnh</v>
      </c>
      <c r="D5903" s="3" t="s">
        <v>389</v>
      </c>
      <c r="E5903" s="4" t="str">
        <f t="shared" si="464"/>
        <v>Huyện Kỳ Anh</v>
      </c>
      <c r="F5903" s="3" t="s">
        <v>6666</v>
      </c>
      <c r="G5903" s="4" t="str">
        <f>HYPERLINK("https://diaocthongthai.com/xa-ky-thuong-ky-anh-ha-tinh/","Xã Kỳ Thượng")</f>
        <v>Xã Kỳ Thượng</v>
      </c>
    </row>
    <row r="5904" spans="1:7" x14ac:dyDescent="0.25">
      <c r="A5904" s="2">
        <v>5903</v>
      </c>
      <c r="B5904" s="3" t="s">
        <v>30</v>
      </c>
      <c r="C5904" s="4" t="str">
        <f t="shared" si="461"/>
        <v>Hà Tĩnh</v>
      </c>
      <c r="D5904" s="3" t="s">
        <v>389</v>
      </c>
      <c r="E5904" s="4" t="str">
        <f t="shared" si="464"/>
        <v>Huyện Kỳ Anh</v>
      </c>
      <c r="F5904" s="3" t="s">
        <v>6667</v>
      </c>
      <c r="G5904" s="4" t="str">
        <f>HYPERLINK("https://diaocthongthai.com/xa-ky-hai-ky-anh-ha-tinh/","Xã Kỳ Hải")</f>
        <v>Xã Kỳ Hải</v>
      </c>
    </row>
    <row r="5905" spans="1:7" x14ac:dyDescent="0.25">
      <c r="A5905" s="2">
        <v>5904</v>
      </c>
      <c r="B5905" s="3" t="s">
        <v>30</v>
      </c>
      <c r="C5905" s="4" t="str">
        <f t="shared" si="461"/>
        <v>Hà Tĩnh</v>
      </c>
      <c r="D5905" s="3" t="s">
        <v>389</v>
      </c>
      <c r="E5905" s="4" t="str">
        <f t="shared" si="464"/>
        <v>Huyện Kỳ Anh</v>
      </c>
      <c r="F5905" s="3" t="s">
        <v>6668</v>
      </c>
      <c r="G5905" s="4" t="str">
        <f>HYPERLINK("https://diaocthongthai.com/xa-ky-thu-ky-anh-ha-tinh/","Xã Kỳ Thư")</f>
        <v>Xã Kỳ Thư</v>
      </c>
    </row>
    <row r="5906" spans="1:7" x14ac:dyDescent="0.25">
      <c r="A5906" s="2">
        <v>5905</v>
      </c>
      <c r="B5906" s="3" t="s">
        <v>30</v>
      </c>
      <c r="C5906" s="4" t="str">
        <f t="shared" si="461"/>
        <v>Hà Tĩnh</v>
      </c>
      <c r="D5906" s="3" t="s">
        <v>389</v>
      </c>
      <c r="E5906" s="4" t="str">
        <f t="shared" si="464"/>
        <v>Huyện Kỳ Anh</v>
      </c>
      <c r="F5906" s="3" t="s">
        <v>6669</v>
      </c>
      <c r="G5906" s="4" t="str">
        <f>HYPERLINK("https://diaocthongthai.com/xa-ky-chau-ky-anh-ha-tinh/","Xã Kỳ Châu")</f>
        <v>Xã Kỳ Châu</v>
      </c>
    </row>
    <row r="5907" spans="1:7" x14ac:dyDescent="0.25">
      <c r="A5907" s="2">
        <v>5906</v>
      </c>
      <c r="B5907" s="3" t="s">
        <v>30</v>
      </c>
      <c r="C5907" s="4" t="str">
        <f t="shared" si="461"/>
        <v>Hà Tĩnh</v>
      </c>
      <c r="D5907" s="3" t="s">
        <v>389</v>
      </c>
      <c r="E5907" s="4" t="str">
        <f t="shared" si="464"/>
        <v>Huyện Kỳ Anh</v>
      </c>
      <c r="F5907" s="3" t="s">
        <v>6670</v>
      </c>
      <c r="G5907" s="4" t="str">
        <f>HYPERLINK("https://diaocthongthai.com/xa-ky-tan-ky-anh-ha-tinh/","Xã Kỳ Tân")</f>
        <v>Xã Kỳ Tân</v>
      </c>
    </row>
    <row r="5908" spans="1:7" x14ac:dyDescent="0.25">
      <c r="A5908" s="2">
        <v>5907</v>
      </c>
      <c r="B5908" s="3" t="s">
        <v>30</v>
      </c>
      <c r="C5908" s="4" t="str">
        <f t="shared" si="461"/>
        <v>Hà Tĩnh</v>
      </c>
      <c r="D5908" s="3" t="s">
        <v>389</v>
      </c>
      <c r="E5908" s="4" t="str">
        <f t="shared" si="464"/>
        <v>Huyện Kỳ Anh</v>
      </c>
      <c r="F5908" s="3" t="s">
        <v>6671</v>
      </c>
      <c r="G5908" s="4" t="str">
        <f>HYPERLINK("https://diaocthongthai.com/xa-lam-hop-ky-anh-ha-tinh/","Xã Lâm Hợp")</f>
        <v>Xã Lâm Hợp</v>
      </c>
    </row>
    <row r="5909" spans="1:7" x14ac:dyDescent="0.25">
      <c r="A5909" s="2">
        <v>5908</v>
      </c>
      <c r="B5909" s="3" t="s">
        <v>30</v>
      </c>
      <c r="C5909" s="4" t="str">
        <f t="shared" si="461"/>
        <v>Hà Tĩnh</v>
      </c>
      <c r="D5909" s="3" t="s">
        <v>389</v>
      </c>
      <c r="E5909" s="4" t="str">
        <f t="shared" si="464"/>
        <v>Huyện Kỳ Anh</v>
      </c>
      <c r="F5909" s="3" t="s">
        <v>6672</v>
      </c>
      <c r="G5909" s="4" t="str">
        <f>HYPERLINK("https://diaocthongthai.com/xa-ky-son-ky-anh-ha-tinh/","Xã Kỳ Sơn")</f>
        <v>Xã Kỳ Sơn</v>
      </c>
    </row>
    <row r="5910" spans="1:7" x14ac:dyDescent="0.25">
      <c r="A5910" s="2">
        <v>5909</v>
      </c>
      <c r="B5910" s="3" t="s">
        <v>30</v>
      </c>
      <c r="C5910" s="4" t="str">
        <f t="shared" ref="C5910:C5933" si="465">HYPERLINK("https://diaocthongthai.com/ban-do-ha-tinh/","Hà Tĩnh")</f>
        <v>Hà Tĩnh</v>
      </c>
      <c r="D5910" s="3" t="s">
        <v>389</v>
      </c>
      <c r="E5910" s="4" t="str">
        <f t="shared" si="464"/>
        <v>Huyện Kỳ Anh</v>
      </c>
      <c r="F5910" s="3" t="s">
        <v>6673</v>
      </c>
      <c r="G5910" s="4" t="str">
        <f>HYPERLINK("https://diaocthongthai.com/xa-ky-lac-ky-anh-ha-tinh/","Xã Kỳ Lạc")</f>
        <v>Xã Kỳ Lạc</v>
      </c>
    </row>
    <row r="5911" spans="1:7" x14ac:dyDescent="0.25">
      <c r="A5911" s="2">
        <v>5910</v>
      </c>
      <c r="B5911" s="3" t="s">
        <v>30</v>
      </c>
      <c r="C5911" s="4" t="str">
        <f t="shared" si="465"/>
        <v>Hà Tĩnh</v>
      </c>
      <c r="D5911" s="3" t="s">
        <v>390</v>
      </c>
      <c r="E5911" s="4" t="str">
        <f t="shared" ref="E5911:E5922" si="466">HYPERLINK("https://diaocthongthai.com/ban-do-huyen-loc-ha-ha-tinh/","Huyện Lộc Hà")</f>
        <v>Huyện Lộc Hà</v>
      </c>
      <c r="F5911" s="3" t="s">
        <v>6674</v>
      </c>
      <c r="G5911" s="4" t="str">
        <f>HYPERLINK("https://diaocthongthai.com/xa-tan-loc-loc-ha/","Xã Tân Lộc")</f>
        <v>Xã Tân Lộc</v>
      </c>
    </row>
    <row r="5912" spans="1:7" x14ac:dyDescent="0.25">
      <c r="A5912" s="2">
        <v>5911</v>
      </c>
      <c r="B5912" s="3" t="s">
        <v>30</v>
      </c>
      <c r="C5912" s="4" t="str">
        <f t="shared" si="465"/>
        <v>Hà Tĩnh</v>
      </c>
      <c r="D5912" s="3" t="s">
        <v>390</v>
      </c>
      <c r="E5912" s="4" t="str">
        <f t="shared" si="466"/>
        <v>Huyện Lộc Hà</v>
      </c>
      <c r="F5912" s="3" t="s">
        <v>6675</v>
      </c>
      <c r="G5912" s="4" t="str">
        <f>HYPERLINK("https://diaocthongthai.com/xa-hong-loc-loc-ha/","Xã Hồng Lộc")</f>
        <v>Xã Hồng Lộc</v>
      </c>
    </row>
    <row r="5913" spans="1:7" x14ac:dyDescent="0.25">
      <c r="A5913" s="2">
        <v>5912</v>
      </c>
      <c r="B5913" s="3" t="s">
        <v>30</v>
      </c>
      <c r="C5913" s="4" t="str">
        <f t="shared" si="465"/>
        <v>Hà Tĩnh</v>
      </c>
      <c r="D5913" s="3" t="s">
        <v>390</v>
      </c>
      <c r="E5913" s="4" t="str">
        <f t="shared" si="466"/>
        <v>Huyện Lộc Hà</v>
      </c>
      <c r="F5913" s="3" t="s">
        <v>6676</v>
      </c>
      <c r="G5913" s="4" t="str">
        <f>HYPERLINK("https://diaocthongthai.com/xa-thinh-loc-loc-ha/","Xã Thịnh Lộc")</f>
        <v>Xã Thịnh Lộc</v>
      </c>
    </row>
    <row r="5914" spans="1:7" x14ac:dyDescent="0.25">
      <c r="A5914" s="2">
        <v>5913</v>
      </c>
      <c r="B5914" s="3" t="s">
        <v>30</v>
      </c>
      <c r="C5914" s="4" t="str">
        <f t="shared" si="465"/>
        <v>Hà Tĩnh</v>
      </c>
      <c r="D5914" s="3" t="s">
        <v>390</v>
      </c>
      <c r="E5914" s="4" t="str">
        <f t="shared" si="466"/>
        <v>Huyện Lộc Hà</v>
      </c>
      <c r="F5914" s="3" t="s">
        <v>6677</v>
      </c>
      <c r="G5914" s="4" t="str">
        <f>HYPERLINK("https://diaocthongthai.com/xa-binh-an-loc-ha/","Xã Bình An")</f>
        <v>Xã Bình An</v>
      </c>
    </row>
    <row r="5915" spans="1:7" x14ac:dyDescent="0.25">
      <c r="A5915" s="2">
        <v>5914</v>
      </c>
      <c r="B5915" s="3" t="s">
        <v>30</v>
      </c>
      <c r="C5915" s="4" t="str">
        <f t="shared" si="465"/>
        <v>Hà Tĩnh</v>
      </c>
      <c r="D5915" s="3" t="s">
        <v>390</v>
      </c>
      <c r="E5915" s="4" t="str">
        <f t="shared" si="466"/>
        <v>Huyện Lộc Hà</v>
      </c>
      <c r="F5915" s="3" t="s">
        <v>6678</v>
      </c>
      <c r="G5915" s="4" t="str">
        <f>HYPERLINK("https://diaocthongthai.com/xa-ich-hau-loc-ha/","Xã Ích Hậu")</f>
        <v>Xã Ích Hậu</v>
      </c>
    </row>
    <row r="5916" spans="1:7" x14ac:dyDescent="0.25">
      <c r="A5916" s="2">
        <v>5915</v>
      </c>
      <c r="B5916" s="3" t="s">
        <v>30</v>
      </c>
      <c r="C5916" s="4" t="str">
        <f t="shared" si="465"/>
        <v>Hà Tĩnh</v>
      </c>
      <c r="D5916" s="3" t="s">
        <v>390</v>
      </c>
      <c r="E5916" s="4" t="str">
        <f t="shared" si="466"/>
        <v>Huyện Lộc Hà</v>
      </c>
      <c r="F5916" s="3" t="s">
        <v>6679</v>
      </c>
      <c r="G5916" s="4" t="str">
        <f>HYPERLINK("https://diaocthongthai.com/xa-phu-luu-loc-ha/","Xã Phù Lưu")</f>
        <v>Xã Phù Lưu</v>
      </c>
    </row>
    <row r="5917" spans="1:7" x14ac:dyDescent="0.25">
      <c r="A5917" s="2">
        <v>5916</v>
      </c>
      <c r="B5917" s="3" t="s">
        <v>30</v>
      </c>
      <c r="C5917" s="4" t="str">
        <f t="shared" si="465"/>
        <v>Hà Tĩnh</v>
      </c>
      <c r="D5917" s="3" t="s">
        <v>390</v>
      </c>
      <c r="E5917" s="4" t="str">
        <f t="shared" si="466"/>
        <v>Huyện Lộc Hà</v>
      </c>
      <c r="F5917" s="3" t="s">
        <v>6680</v>
      </c>
      <c r="G5917" s="4" t="str">
        <f>HYPERLINK("https://diaocthongthai.com/thi-tran-loc-ha-loc-ha/","Thị trấn Lộc Hà")</f>
        <v>Thị trấn Lộc Hà</v>
      </c>
    </row>
    <row r="5918" spans="1:7" x14ac:dyDescent="0.25">
      <c r="A5918" s="2">
        <v>5917</v>
      </c>
      <c r="B5918" s="3" t="s">
        <v>30</v>
      </c>
      <c r="C5918" s="4" t="str">
        <f t="shared" si="465"/>
        <v>Hà Tĩnh</v>
      </c>
      <c r="D5918" s="3" t="s">
        <v>390</v>
      </c>
      <c r="E5918" s="4" t="str">
        <f t="shared" si="466"/>
        <v>Huyện Lộc Hà</v>
      </c>
      <c r="F5918" s="3" t="s">
        <v>6681</v>
      </c>
      <c r="G5918" s="4" t="str">
        <f>HYPERLINK("https://diaocthongthai.com/xa-thach-my-loc-ha/","Xã Thạch Mỹ")</f>
        <v>Xã Thạch Mỹ</v>
      </c>
    </row>
    <row r="5919" spans="1:7" x14ac:dyDescent="0.25">
      <c r="A5919" s="2">
        <v>5918</v>
      </c>
      <c r="B5919" s="3" t="s">
        <v>30</v>
      </c>
      <c r="C5919" s="4" t="str">
        <f t="shared" si="465"/>
        <v>Hà Tĩnh</v>
      </c>
      <c r="D5919" s="3" t="s">
        <v>390</v>
      </c>
      <c r="E5919" s="4" t="str">
        <f t="shared" si="466"/>
        <v>Huyện Lộc Hà</v>
      </c>
      <c r="F5919" s="3" t="s">
        <v>6682</v>
      </c>
      <c r="G5919" s="4" t="str">
        <f>HYPERLINK("https://diaocthongthai.com/xa-thach-kim-loc-ha/","Xã Thạch Kim")</f>
        <v>Xã Thạch Kim</v>
      </c>
    </row>
    <row r="5920" spans="1:7" x14ac:dyDescent="0.25">
      <c r="A5920" s="2">
        <v>5919</v>
      </c>
      <c r="B5920" s="3" t="s">
        <v>30</v>
      </c>
      <c r="C5920" s="4" t="str">
        <f t="shared" si="465"/>
        <v>Hà Tĩnh</v>
      </c>
      <c r="D5920" s="3" t="s">
        <v>390</v>
      </c>
      <c r="E5920" s="4" t="str">
        <f t="shared" si="466"/>
        <v>Huyện Lộc Hà</v>
      </c>
      <c r="F5920" s="3" t="s">
        <v>6683</v>
      </c>
      <c r="G5920" s="4" t="str">
        <f>HYPERLINK("https://diaocthongthai.com/xa-thach-chau-loc-ha/","Xã Thạch Châu")</f>
        <v>Xã Thạch Châu</v>
      </c>
    </row>
    <row r="5921" spans="1:7" x14ac:dyDescent="0.25">
      <c r="A5921" s="2">
        <v>5920</v>
      </c>
      <c r="B5921" s="3" t="s">
        <v>30</v>
      </c>
      <c r="C5921" s="4" t="str">
        <f t="shared" si="465"/>
        <v>Hà Tĩnh</v>
      </c>
      <c r="D5921" s="3" t="s">
        <v>390</v>
      </c>
      <c r="E5921" s="4" t="str">
        <f t="shared" si="466"/>
        <v>Huyện Lộc Hà</v>
      </c>
      <c r="F5921" s="3" t="s">
        <v>6684</v>
      </c>
      <c r="G5921" s="4" t="str">
        <f>HYPERLINK("https://diaocthongthai.com/xa-ho-do-loc-ha/","Xã Hộ Độ")</f>
        <v>Xã Hộ Độ</v>
      </c>
    </row>
    <row r="5922" spans="1:7" x14ac:dyDescent="0.25">
      <c r="A5922" s="2">
        <v>5921</v>
      </c>
      <c r="B5922" s="3" t="s">
        <v>30</v>
      </c>
      <c r="C5922" s="4" t="str">
        <f t="shared" si="465"/>
        <v>Hà Tĩnh</v>
      </c>
      <c r="D5922" s="3" t="s">
        <v>390</v>
      </c>
      <c r="E5922" s="4" t="str">
        <f t="shared" si="466"/>
        <v>Huyện Lộc Hà</v>
      </c>
      <c r="F5922" s="3" t="s">
        <v>6685</v>
      </c>
      <c r="G5922" s="4" t="str">
        <f>HYPERLINK("https://diaocthongthai.com/xa-mai-phu-loc-ha/","Xã Mai Phụ")</f>
        <v>Xã Mai Phụ</v>
      </c>
    </row>
    <row r="5923" spans="1:7" x14ac:dyDescent="0.25">
      <c r="A5923" s="2">
        <v>5922</v>
      </c>
      <c r="B5923" s="3" t="s">
        <v>30</v>
      </c>
      <c r="C5923" s="4" t="str">
        <f t="shared" si="465"/>
        <v>Hà Tĩnh</v>
      </c>
      <c r="D5923" s="3" t="s">
        <v>391</v>
      </c>
      <c r="E5923" s="4" t="str">
        <f t="shared" ref="E5923:E5933" si="467">HYPERLINK("https://diaocthongthai.com/ban-do-thi-xa-ky-anh-ha-tinh/","Thị xã Kỳ Anh")</f>
        <v>Thị xã Kỳ Anh</v>
      </c>
      <c r="F5923" s="3" t="s">
        <v>6686</v>
      </c>
      <c r="G5923" s="4" t="str">
        <f>HYPERLINK("https://diaocthongthai.com/phuong-hung-tri-ky-anh-ha-tinh/","Phường Hưng Trí")</f>
        <v>Phường Hưng Trí</v>
      </c>
    </row>
    <row r="5924" spans="1:7" x14ac:dyDescent="0.25">
      <c r="A5924" s="2">
        <v>5923</v>
      </c>
      <c r="B5924" s="3" t="s">
        <v>30</v>
      </c>
      <c r="C5924" s="4" t="str">
        <f t="shared" si="465"/>
        <v>Hà Tĩnh</v>
      </c>
      <c r="D5924" s="3" t="s">
        <v>391</v>
      </c>
      <c r="E5924" s="4" t="str">
        <f t="shared" si="467"/>
        <v>Thị xã Kỳ Anh</v>
      </c>
      <c r="F5924" s="3" t="s">
        <v>6687</v>
      </c>
      <c r="G5924" s="4" t="str">
        <f>HYPERLINK("https://diaocthongthai.com/xa-ky-ninh-ky-anh-ha-tinh/","Xã Kỳ Ninh")</f>
        <v>Xã Kỳ Ninh</v>
      </c>
    </row>
    <row r="5925" spans="1:7" x14ac:dyDescent="0.25">
      <c r="A5925" s="2">
        <v>5924</v>
      </c>
      <c r="B5925" s="3" t="s">
        <v>30</v>
      </c>
      <c r="C5925" s="4" t="str">
        <f t="shared" si="465"/>
        <v>Hà Tĩnh</v>
      </c>
      <c r="D5925" s="3" t="s">
        <v>391</v>
      </c>
      <c r="E5925" s="4" t="str">
        <f t="shared" si="467"/>
        <v>Thị xã Kỳ Anh</v>
      </c>
      <c r="F5925" s="3" t="s">
        <v>6688</v>
      </c>
      <c r="G5925" s="4" t="str">
        <f>HYPERLINK("https://diaocthongthai.com/xa-ky-loi-ky-anh-ha-tinh/","Xã Kỳ Lợi")</f>
        <v>Xã Kỳ Lợi</v>
      </c>
    </row>
    <row r="5926" spans="1:7" x14ac:dyDescent="0.25">
      <c r="A5926" s="2">
        <v>5925</v>
      </c>
      <c r="B5926" s="3" t="s">
        <v>30</v>
      </c>
      <c r="C5926" s="4" t="str">
        <f t="shared" si="465"/>
        <v>Hà Tĩnh</v>
      </c>
      <c r="D5926" s="3" t="s">
        <v>391</v>
      </c>
      <c r="E5926" s="4" t="str">
        <f t="shared" si="467"/>
        <v>Thị xã Kỳ Anh</v>
      </c>
      <c r="F5926" s="3" t="s">
        <v>6689</v>
      </c>
      <c r="G5926" s="4" t="str">
        <f>HYPERLINK("https://diaocthongthai.com/xa-ky-ha-ky-anh-ha-tinh/","Xã Kỳ Hà")</f>
        <v>Xã Kỳ Hà</v>
      </c>
    </row>
    <row r="5927" spans="1:7" x14ac:dyDescent="0.25">
      <c r="A5927" s="2">
        <v>5926</v>
      </c>
      <c r="B5927" s="3" t="s">
        <v>30</v>
      </c>
      <c r="C5927" s="4" t="str">
        <f t="shared" si="465"/>
        <v>Hà Tĩnh</v>
      </c>
      <c r="D5927" s="3" t="s">
        <v>391</v>
      </c>
      <c r="E5927" s="4" t="str">
        <f t="shared" si="467"/>
        <v>Thị xã Kỳ Anh</v>
      </c>
      <c r="F5927" s="3" t="s">
        <v>6690</v>
      </c>
      <c r="G5927" s="4" t="str">
        <f>HYPERLINK("https://diaocthongthai.com/phuong-ky-trinh-ky-anh-ha-tinh/","Phường Kỳ Trinh")</f>
        <v>Phường Kỳ Trinh</v>
      </c>
    </row>
    <row r="5928" spans="1:7" x14ac:dyDescent="0.25">
      <c r="A5928" s="2">
        <v>5927</v>
      </c>
      <c r="B5928" s="3" t="s">
        <v>30</v>
      </c>
      <c r="C5928" s="4" t="str">
        <f t="shared" si="465"/>
        <v>Hà Tĩnh</v>
      </c>
      <c r="D5928" s="3" t="s">
        <v>391</v>
      </c>
      <c r="E5928" s="4" t="str">
        <f t="shared" si="467"/>
        <v>Thị xã Kỳ Anh</v>
      </c>
      <c r="F5928" s="3" t="s">
        <v>6691</v>
      </c>
      <c r="G5928" s="4" t="str">
        <f>HYPERLINK("https://diaocthongthai.com/phuong-ky-thinh-ky-anh-ha-tinh/","Phường Kỳ Thịnh")</f>
        <v>Phường Kỳ Thịnh</v>
      </c>
    </row>
    <row r="5929" spans="1:7" x14ac:dyDescent="0.25">
      <c r="A5929" s="2">
        <v>5928</v>
      </c>
      <c r="B5929" s="3" t="s">
        <v>30</v>
      </c>
      <c r="C5929" s="4" t="str">
        <f t="shared" si="465"/>
        <v>Hà Tĩnh</v>
      </c>
      <c r="D5929" s="3" t="s">
        <v>391</v>
      </c>
      <c r="E5929" s="4" t="str">
        <f t="shared" si="467"/>
        <v>Thị xã Kỳ Anh</v>
      </c>
      <c r="F5929" s="3" t="s">
        <v>6692</v>
      </c>
      <c r="G5929" s="4" t="str">
        <f>HYPERLINK("https://diaocthongthai.com/xa-ky-hoa-ky-anh-ha-tinh/","Xã Kỳ Hoa")</f>
        <v>Xã Kỳ Hoa</v>
      </c>
    </row>
    <row r="5930" spans="1:7" x14ac:dyDescent="0.25">
      <c r="A5930" s="2">
        <v>5929</v>
      </c>
      <c r="B5930" s="3" t="s">
        <v>30</v>
      </c>
      <c r="C5930" s="4" t="str">
        <f t="shared" si="465"/>
        <v>Hà Tĩnh</v>
      </c>
      <c r="D5930" s="3" t="s">
        <v>391</v>
      </c>
      <c r="E5930" s="4" t="str">
        <f t="shared" si="467"/>
        <v>Thị xã Kỳ Anh</v>
      </c>
      <c r="F5930" s="3" t="s">
        <v>6693</v>
      </c>
      <c r="G5930" s="4" t="str">
        <f>HYPERLINK("https://diaocthongthai.com/phuong-ky-phuong-ky-anh-ha-tinh/","Phường Kỳ Phương")</f>
        <v>Phường Kỳ Phương</v>
      </c>
    </row>
    <row r="5931" spans="1:7" x14ac:dyDescent="0.25">
      <c r="A5931" s="2">
        <v>5930</v>
      </c>
      <c r="B5931" s="3" t="s">
        <v>30</v>
      </c>
      <c r="C5931" s="4" t="str">
        <f t="shared" si="465"/>
        <v>Hà Tĩnh</v>
      </c>
      <c r="D5931" s="3" t="s">
        <v>391</v>
      </c>
      <c r="E5931" s="4" t="str">
        <f t="shared" si="467"/>
        <v>Thị xã Kỳ Anh</v>
      </c>
      <c r="F5931" s="3" t="s">
        <v>6694</v>
      </c>
      <c r="G5931" s="4" t="str">
        <f>HYPERLINK("https://diaocthongthai.com/phuong-ky-long-ky-anh-ha-tinh/","Phường Kỳ Long")</f>
        <v>Phường Kỳ Long</v>
      </c>
    </row>
    <row r="5932" spans="1:7" x14ac:dyDescent="0.25">
      <c r="A5932" s="2">
        <v>5931</v>
      </c>
      <c r="B5932" s="3" t="s">
        <v>30</v>
      </c>
      <c r="C5932" s="4" t="str">
        <f t="shared" si="465"/>
        <v>Hà Tĩnh</v>
      </c>
      <c r="D5932" s="3" t="s">
        <v>391</v>
      </c>
      <c r="E5932" s="4" t="str">
        <f t="shared" si="467"/>
        <v>Thị xã Kỳ Anh</v>
      </c>
      <c r="F5932" s="3" t="s">
        <v>6695</v>
      </c>
      <c r="G5932" s="4" t="str">
        <f>HYPERLINK("https://diaocthongthai.com/phuong-ky-lien-ky-anh-ha-tinh/","Phường Kỳ Liên")</f>
        <v>Phường Kỳ Liên</v>
      </c>
    </row>
    <row r="5933" spans="1:7" x14ac:dyDescent="0.25">
      <c r="A5933" s="2">
        <v>5932</v>
      </c>
      <c r="B5933" s="3" t="s">
        <v>30</v>
      </c>
      <c r="C5933" s="4" t="str">
        <f t="shared" si="465"/>
        <v>Hà Tĩnh</v>
      </c>
      <c r="D5933" s="3" t="s">
        <v>391</v>
      </c>
      <c r="E5933" s="4" t="str">
        <f t="shared" si="467"/>
        <v>Thị xã Kỳ Anh</v>
      </c>
      <c r="F5933" s="3" t="s">
        <v>6696</v>
      </c>
      <c r="G5933" s="4" t="str">
        <f>HYPERLINK("https://diaocthongthai.com/xa-ky-nam-ky-anh-ha-tinh/","Xã Kỳ Nam")</f>
        <v>Xã Kỳ Nam</v>
      </c>
    </row>
    <row r="5934" spans="1:7" x14ac:dyDescent="0.25">
      <c r="A5934" s="2">
        <v>5933</v>
      </c>
      <c r="B5934" s="3" t="s">
        <v>31</v>
      </c>
      <c r="C5934" s="4" t="str">
        <f t="shared" ref="C5934:C5965" si="468">HYPERLINK("https://diaocthongthai.com/ban-do-quang-binh/","Quảng Bình")</f>
        <v>Quảng Bình</v>
      </c>
      <c r="D5934" s="3" t="s">
        <v>392</v>
      </c>
      <c r="E5934" s="4" t="str">
        <f t="shared" ref="E5934:E5948" si="469">HYPERLINK("https://diaocthongthai.com/ban-do-tp-dong-hoi-quang-binh/","Thành Phố Đồng Hới")</f>
        <v>Thành Phố Đồng Hới</v>
      </c>
      <c r="F5934" s="3" t="s">
        <v>6697</v>
      </c>
      <c r="G5934" s="4" t="str">
        <f>HYPERLINK("https://diaocthongthai.com/phuong-hai-thanh-tp-dong-hoi/","Phường Hải Thành")</f>
        <v>Phường Hải Thành</v>
      </c>
    </row>
    <row r="5935" spans="1:7" x14ac:dyDescent="0.25">
      <c r="A5935" s="2">
        <v>5934</v>
      </c>
      <c r="B5935" s="3" t="s">
        <v>31</v>
      </c>
      <c r="C5935" s="4" t="str">
        <f t="shared" si="468"/>
        <v>Quảng Bình</v>
      </c>
      <c r="D5935" s="3" t="s">
        <v>392</v>
      </c>
      <c r="E5935" s="4" t="str">
        <f t="shared" si="469"/>
        <v>Thành Phố Đồng Hới</v>
      </c>
      <c r="F5935" s="3" t="s">
        <v>6698</v>
      </c>
      <c r="G5935" s="4" t="str">
        <f>HYPERLINK("https://diaocthongthai.com/phuong-dong-phu-tp-dong-hoi/","Phường Đồng Phú")</f>
        <v>Phường Đồng Phú</v>
      </c>
    </row>
    <row r="5936" spans="1:7" x14ac:dyDescent="0.25">
      <c r="A5936" s="2">
        <v>5935</v>
      </c>
      <c r="B5936" s="3" t="s">
        <v>31</v>
      </c>
      <c r="C5936" s="4" t="str">
        <f t="shared" si="468"/>
        <v>Quảng Bình</v>
      </c>
      <c r="D5936" s="3" t="s">
        <v>392</v>
      </c>
      <c r="E5936" s="4" t="str">
        <f t="shared" si="469"/>
        <v>Thành Phố Đồng Hới</v>
      </c>
      <c r="F5936" s="3" t="s">
        <v>6699</v>
      </c>
      <c r="G5936" s="4" t="str">
        <f>HYPERLINK("https://diaocthongthai.com/phuong-bac-ly-tp-dong-hoi/","Phường Bắc Lý")</f>
        <v>Phường Bắc Lý</v>
      </c>
    </row>
    <row r="5937" spans="1:7" x14ac:dyDescent="0.25">
      <c r="A5937" s="2">
        <v>5936</v>
      </c>
      <c r="B5937" s="3" t="s">
        <v>31</v>
      </c>
      <c r="C5937" s="4" t="str">
        <f t="shared" si="468"/>
        <v>Quảng Bình</v>
      </c>
      <c r="D5937" s="3" t="s">
        <v>392</v>
      </c>
      <c r="E5937" s="4" t="str">
        <f t="shared" si="469"/>
        <v>Thành Phố Đồng Hới</v>
      </c>
      <c r="F5937" s="3" t="s">
        <v>6700</v>
      </c>
      <c r="G5937" s="4" t="str">
        <f>HYPERLINK("https://diaocthongthai.com/phuong-nam-ly-tp-dong-hoi/","Phường Nam Lý")</f>
        <v>Phường Nam Lý</v>
      </c>
    </row>
    <row r="5938" spans="1:7" x14ac:dyDescent="0.25">
      <c r="A5938" s="2">
        <v>5937</v>
      </c>
      <c r="B5938" s="3" t="s">
        <v>31</v>
      </c>
      <c r="C5938" s="4" t="str">
        <f t="shared" si="468"/>
        <v>Quảng Bình</v>
      </c>
      <c r="D5938" s="3" t="s">
        <v>392</v>
      </c>
      <c r="E5938" s="4" t="str">
        <f t="shared" si="469"/>
        <v>Thành Phố Đồng Hới</v>
      </c>
      <c r="F5938" s="3" t="s">
        <v>6701</v>
      </c>
      <c r="G5938" s="4" t="str">
        <f>HYPERLINK("https://diaocthongthai.com/phuong-dong-hai-tp-dong-hoi/","Phường Đồng Hải")</f>
        <v>Phường Đồng Hải</v>
      </c>
    </row>
    <row r="5939" spans="1:7" x14ac:dyDescent="0.25">
      <c r="A5939" s="2">
        <v>5938</v>
      </c>
      <c r="B5939" s="3" t="s">
        <v>31</v>
      </c>
      <c r="C5939" s="4" t="str">
        <f t="shared" si="468"/>
        <v>Quảng Bình</v>
      </c>
      <c r="D5939" s="3" t="s">
        <v>392</v>
      </c>
      <c r="E5939" s="4" t="str">
        <f t="shared" si="469"/>
        <v>Thành Phố Đồng Hới</v>
      </c>
      <c r="F5939" s="3" t="s">
        <v>6702</v>
      </c>
      <c r="G5939" s="4" t="str">
        <f>HYPERLINK("https://diaocthongthai.com/phuong-dong-son-tp-dong-hoi/","Phường Đồng Sơn")</f>
        <v>Phường Đồng Sơn</v>
      </c>
    </row>
    <row r="5940" spans="1:7" x14ac:dyDescent="0.25">
      <c r="A5940" s="2">
        <v>5939</v>
      </c>
      <c r="B5940" s="3" t="s">
        <v>31</v>
      </c>
      <c r="C5940" s="4" t="str">
        <f t="shared" si="468"/>
        <v>Quảng Bình</v>
      </c>
      <c r="D5940" s="3" t="s">
        <v>392</v>
      </c>
      <c r="E5940" s="4" t="str">
        <f t="shared" si="469"/>
        <v>Thành Phố Đồng Hới</v>
      </c>
      <c r="F5940" s="3" t="s">
        <v>6703</v>
      </c>
      <c r="G5940" s="4" t="str">
        <f>HYPERLINK("https://diaocthongthai.com/phuong-phu-hai-tp-dong-hoi/","Phường Phú Hải")</f>
        <v>Phường Phú Hải</v>
      </c>
    </row>
    <row r="5941" spans="1:7" x14ac:dyDescent="0.25">
      <c r="A5941" s="2">
        <v>5940</v>
      </c>
      <c r="B5941" s="3" t="s">
        <v>31</v>
      </c>
      <c r="C5941" s="4" t="str">
        <f t="shared" si="468"/>
        <v>Quảng Bình</v>
      </c>
      <c r="D5941" s="3" t="s">
        <v>392</v>
      </c>
      <c r="E5941" s="4" t="str">
        <f t="shared" si="469"/>
        <v>Thành Phố Đồng Hới</v>
      </c>
      <c r="F5941" s="3" t="s">
        <v>6704</v>
      </c>
      <c r="G5941" s="4" t="str">
        <f>HYPERLINK("https://diaocthongthai.com/phuong-bac-nghia-tp-dong-hoi/","Phường Bắc Nghĩa")</f>
        <v>Phường Bắc Nghĩa</v>
      </c>
    </row>
    <row r="5942" spans="1:7" x14ac:dyDescent="0.25">
      <c r="A5942" s="2">
        <v>5941</v>
      </c>
      <c r="B5942" s="3" t="s">
        <v>31</v>
      </c>
      <c r="C5942" s="4" t="str">
        <f t="shared" si="468"/>
        <v>Quảng Bình</v>
      </c>
      <c r="D5942" s="3" t="s">
        <v>392</v>
      </c>
      <c r="E5942" s="4" t="str">
        <f t="shared" si="469"/>
        <v>Thành Phố Đồng Hới</v>
      </c>
      <c r="F5942" s="3" t="s">
        <v>6705</v>
      </c>
      <c r="G5942" s="4" t="str">
        <f>HYPERLINK("https://diaocthongthai.com/phuong-duc-ninh-dong-tp-dong-hoi/","Phường Đức Ninh Đông")</f>
        <v>Phường Đức Ninh Đông</v>
      </c>
    </row>
    <row r="5943" spans="1:7" x14ac:dyDescent="0.25">
      <c r="A5943" s="2">
        <v>5942</v>
      </c>
      <c r="B5943" s="3" t="s">
        <v>31</v>
      </c>
      <c r="C5943" s="4" t="str">
        <f t="shared" si="468"/>
        <v>Quảng Bình</v>
      </c>
      <c r="D5943" s="3" t="s">
        <v>392</v>
      </c>
      <c r="E5943" s="4" t="str">
        <f t="shared" si="469"/>
        <v>Thành Phố Đồng Hới</v>
      </c>
      <c r="F5943" s="3" t="s">
        <v>6706</v>
      </c>
      <c r="G5943" s="4" t="str">
        <f>HYPERLINK("https://diaocthongthai.com/xa-quang-phu-tp-dong-hoi/","Xã Quang Phú")</f>
        <v>Xã Quang Phú</v>
      </c>
    </row>
    <row r="5944" spans="1:7" x14ac:dyDescent="0.25">
      <c r="A5944" s="2">
        <v>5943</v>
      </c>
      <c r="B5944" s="3" t="s">
        <v>31</v>
      </c>
      <c r="C5944" s="4" t="str">
        <f t="shared" si="468"/>
        <v>Quảng Bình</v>
      </c>
      <c r="D5944" s="3" t="s">
        <v>392</v>
      </c>
      <c r="E5944" s="4" t="str">
        <f t="shared" si="469"/>
        <v>Thành Phố Đồng Hới</v>
      </c>
      <c r="F5944" s="3" t="s">
        <v>6707</v>
      </c>
      <c r="G5944" s="4" t="str">
        <f>HYPERLINK("https://diaocthongthai.com/xa-loc-ninh-tp-dong-hoi/","Xã Lộc Ninh")</f>
        <v>Xã Lộc Ninh</v>
      </c>
    </row>
    <row r="5945" spans="1:7" x14ac:dyDescent="0.25">
      <c r="A5945" s="2">
        <v>5944</v>
      </c>
      <c r="B5945" s="3" t="s">
        <v>31</v>
      </c>
      <c r="C5945" s="4" t="str">
        <f t="shared" si="468"/>
        <v>Quảng Bình</v>
      </c>
      <c r="D5945" s="3" t="s">
        <v>392</v>
      </c>
      <c r="E5945" s="4" t="str">
        <f t="shared" si="469"/>
        <v>Thành Phố Đồng Hới</v>
      </c>
      <c r="F5945" s="3" t="s">
        <v>6708</v>
      </c>
      <c r="G5945" s="4" t="str">
        <f>HYPERLINK("https://diaocthongthai.com/xa-bao-ninh-tp-dong-hoi/","Xã Bảo Ninh")</f>
        <v>Xã Bảo Ninh</v>
      </c>
    </row>
    <row r="5946" spans="1:7" x14ac:dyDescent="0.25">
      <c r="A5946" s="2">
        <v>5945</v>
      </c>
      <c r="B5946" s="3" t="s">
        <v>31</v>
      </c>
      <c r="C5946" s="4" t="str">
        <f t="shared" si="468"/>
        <v>Quảng Bình</v>
      </c>
      <c r="D5946" s="3" t="s">
        <v>392</v>
      </c>
      <c r="E5946" s="4" t="str">
        <f t="shared" si="469"/>
        <v>Thành Phố Đồng Hới</v>
      </c>
      <c r="F5946" s="3" t="s">
        <v>6709</v>
      </c>
      <c r="G5946" s="4" t="str">
        <f>HYPERLINK("https://diaocthongthai.com/xa-nghia-ninh-tp-dong-hoi/","Xã Nghĩa Ninh")</f>
        <v>Xã Nghĩa Ninh</v>
      </c>
    </row>
    <row r="5947" spans="1:7" x14ac:dyDescent="0.25">
      <c r="A5947" s="2">
        <v>5946</v>
      </c>
      <c r="B5947" s="3" t="s">
        <v>31</v>
      </c>
      <c r="C5947" s="4" t="str">
        <f t="shared" si="468"/>
        <v>Quảng Bình</v>
      </c>
      <c r="D5947" s="3" t="s">
        <v>392</v>
      </c>
      <c r="E5947" s="4" t="str">
        <f t="shared" si="469"/>
        <v>Thành Phố Đồng Hới</v>
      </c>
      <c r="F5947" s="3" t="s">
        <v>6710</v>
      </c>
      <c r="G5947" s="4" t="str">
        <f>HYPERLINK("https://diaocthongthai.com/xa-thuan-duc-tp-dong-hoi/","Xã Thuận Đức")</f>
        <v>Xã Thuận Đức</v>
      </c>
    </row>
    <row r="5948" spans="1:7" x14ac:dyDescent="0.25">
      <c r="A5948" s="2">
        <v>5947</v>
      </c>
      <c r="B5948" s="3" t="s">
        <v>31</v>
      </c>
      <c r="C5948" s="4" t="str">
        <f t="shared" si="468"/>
        <v>Quảng Bình</v>
      </c>
      <c r="D5948" s="3" t="s">
        <v>392</v>
      </c>
      <c r="E5948" s="4" t="str">
        <f t="shared" si="469"/>
        <v>Thành Phố Đồng Hới</v>
      </c>
      <c r="F5948" s="3" t="s">
        <v>6711</v>
      </c>
      <c r="G5948" s="4" t="str">
        <f>HYPERLINK("https://diaocthongthai.com/xa-duc-ninh-tp-dong-hoi/","Xã Đức Ninh")</f>
        <v>Xã Đức Ninh</v>
      </c>
    </row>
    <row r="5949" spans="1:7" x14ac:dyDescent="0.25">
      <c r="A5949" s="2">
        <v>5948</v>
      </c>
      <c r="B5949" s="3" t="s">
        <v>31</v>
      </c>
      <c r="C5949" s="4" t="str">
        <f t="shared" si="468"/>
        <v>Quảng Bình</v>
      </c>
      <c r="D5949" s="3" t="s">
        <v>393</v>
      </c>
      <c r="E5949" s="4" t="str">
        <f t="shared" ref="E5949:E5963" si="470">HYPERLINK("https://diaocthongthai.com/ban-do-huyen-minh-hoa-quang-binh/","Huyện Minh Hóa")</f>
        <v>Huyện Minh Hóa</v>
      </c>
      <c r="F5949" s="3" t="s">
        <v>6712</v>
      </c>
      <c r="G5949" s="4" t="str">
        <f>HYPERLINK("https://diaocthongthai.com/thi-tran-quy-dat-minh-hoa/","Thị trấn Quy Đạt")</f>
        <v>Thị trấn Quy Đạt</v>
      </c>
    </row>
    <row r="5950" spans="1:7" x14ac:dyDescent="0.25">
      <c r="A5950" s="2">
        <v>5949</v>
      </c>
      <c r="B5950" s="3" t="s">
        <v>31</v>
      </c>
      <c r="C5950" s="4" t="str">
        <f t="shared" si="468"/>
        <v>Quảng Bình</v>
      </c>
      <c r="D5950" s="3" t="s">
        <v>393</v>
      </c>
      <c r="E5950" s="4" t="str">
        <f t="shared" si="470"/>
        <v>Huyện Minh Hóa</v>
      </c>
      <c r="F5950" s="3" t="s">
        <v>6713</v>
      </c>
      <c r="G5950" s="4" t="str">
        <f>HYPERLINK("https://diaocthongthai.com/xa-dan-hoa-minh-hoa/","Xã Dân Hóa")</f>
        <v>Xã Dân Hóa</v>
      </c>
    </row>
    <row r="5951" spans="1:7" x14ac:dyDescent="0.25">
      <c r="A5951" s="2">
        <v>5950</v>
      </c>
      <c r="B5951" s="3" t="s">
        <v>31</v>
      </c>
      <c r="C5951" s="4" t="str">
        <f t="shared" si="468"/>
        <v>Quảng Bình</v>
      </c>
      <c r="D5951" s="3" t="s">
        <v>393</v>
      </c>
      <c r="E5951" s="4" t="str">
        <f t="shared" si="470"/>
        <v>Huyện Minh Hóa</v>
      </c>
      <c r="F5951" s="3" t="s">
        <v>6714</v>
      </c>
      <c r="G5951" s="4" t="str">
        <f>HYPERLINK("https://diaocthongthai.com/xa-trong-hoa-minh-hoa/","Xã Trọng Hóa")</f>
        <v>Xã Trọng Hóa</v>
      </c>
    </row>
    <row r="5952" spans="1:7" x14ac:dyDescent="0.25">
      <c r="A5952" s="2">
        <v>5951</v>
      </c>
      <c r="B5952" s="3" t="s">
        <v>31</v>
      </c>
      <c r="C5952" s="4" t="str">
        <f t="shared" si="468"/>
        <v>Quảng Bình</v>
      </c>
      <c r="D5952" s="3" t="s">
        <v>393</v>
      </c>
      <c r="E5952" s="4" t="str">
        <f t="shared" si="470"/>
        <v>Huyện Minh Hóa</v>
      </c>
      <c r="F5952" s="3" t="s">
        <v>6715</v>
      </c>
      <c r="G5952" s="4" t="str">
        <f>HYPERLINK("https://diaocthongthai.com/xa-hoa-phuc-minh-hoa/","Xã Hóa Phúc")</f>
        <v>Xã Hóa Phúc</v>
      </c>
    </row>
    <row r="5953" spans="1:7" x14ac:dyDescent="0.25">
      <c r="A5953" s="2">
        <v>5952</v>
      </c>
      <c r="B5953" s="3" t="s">
        <v>31</v>
      </c>
      <c r="C5953" s="4" t="str">
        <f t="shared" si="468"/>
        <v>Quảng Bình</v>
      </c>
      <c r="D5953" s="3" t="s">
        <v>393</v>
      </c>
      <c r="E5953" s="4" t="str">
        <f t="shared" si="470"/>
        <v>Huyện Minh Hóa</v>
      </c>
      <c r="F5953" s="3" t="s">
        <v>6716</v>
      </c>
      <c r="G5953" s="4" t="str">
        <f>HYPERLINK("https://diaocthongthai.com/xa-hong-hoa-minh-hoa/","Xã Hồng Hóa")</f>
        <v>Xã Hồng Hóa</v>
      </c>
    </row>
    <row r="5954" spans="1:7" x14ac:dyDescent="0.25">
      <c r="A5954" s="2">
        <v>5953</v>
      </c>
      <c r="B5954" s="3" t="s">
        <v>31</v>
      </c>
      <c r="C5954" s="4" t="str">
        <f t="shared" si="468"/>
        <v>Quảng Bình</v>
      </c>
      <c r="D5954" s="3" t="s">
        <v>393</v>
      </c>
      <c r="E5954" s="4" t="str">
        <f t="shared" si="470"/>
        <v>Huyện Minh Hóa</v>
      </c>
      <c r="F5954" s="3" t="s">
        <v>6717</v>
      </c>
      <c r="G5954" s="4" t="str">
        <f>HYPERLINK("https://diaocthongthai.com/xa-hoa-thanh-minh-hoa/","Xã Hóa Thanh")</f>
        <v>Xã Hóa Thanh</v>
      </c>
    </row>
    <row r="5955" spans="1:7" x14ac:dyDescent="0.25">
      <c r="A5955" s="2">
        <v>5954</v>
      </c>
      <c r="B5955" s="3" t="s">
        <v>31</v>
      </c>
      <c r="C5955" s="4" t="str">
        <f t="shared" si="468"/>
        <v>Quảng Bình</v>
      </c>
      <c r="D5955" s="3" t="s">
        <v>393</v>
      </c>
      <c r="E5955" s="4" t="str">
        <f t="shared" si="470"/>
        <v>Huyện Minh Hóa</v>
      </c>
      <c r="F5955" s="3" t="s">
        <v>6718</v>
      </c>
      <c r="G5955" s="4" t="str">
        <f>HYPERLINK("https://diaocthongthai.com/xa-hoa-tien-minh-hoa/","Xã Hóa Tiến")</f>
        <v>Xã Hóa Tiến</v>
      </c>
    </row>
    <row r="5956" spans="1:7" x14ac:dyDescent="0.25">
      <c r="A5956" s="2">
        <v>5955</v>
      </c>
      <c r="B5956" s="3" t="s">
        <v>31</v>
      </c>
      <c r="C5956" s="4" t="str">
        <f t="shared" si="468"/>
        <v>Quảng Bình</v>
      </c>
      <c r="D5956" s="3" t="s">
        <v>393</v>
      </c>
      <c r="E5956" s="4" t="str">
        <f t="shared" si="470"/>
        <v>Huyện Minh Hóa</v>
      </c>
      <c r="F5956" s="3" t="s">
        <v>6719</v>
      </c>
      <c r="G5956" s="4" t="str">
        <f>HYPERLINK("https://diaocthongthai.com/xa-hoa-hop-minh-hoa/","Xã Hóa Hợp")</f>
        <v>Xã Hóa Hợp</v>
      </c>
    </row>
    <row r="5957" spans="1:7" x14ac:dyDescent="0.25">
      <c r="A5957" s="2">
        <v>5956</v>
      </c>
      <c r="B5957" s="3" t="s">
        <v>31</v>
      </c>
      <c r="C5957" s="4" t="str">
        <f t="shared" si="468"/>
        <v>Quảng Bình</v>
      </c>
      <c r="D5957" s="3" t="s">
        <v>393</v>
      </c>
      <c r="E5957" s="4" t="str">
        <f t="shared" si="470"/>
        <v>Huyện Minh Hóa</v>
      </c>
      <c r="F5957" s="3" t="s">
        <v>6720</v>
      </c>
      <c r="G5957" s="4" t="str">
        <f>HYPERLINK("https://diaocthongthai.com/xa-xuan-hoa-minh-hoa/","Xã Xuân Hóa")</f>
        <v>Xã Xuân Hóa</v>
      </c>
    </row>
    <row r="5958" spans="1:7" x14ac:dyDescent="0.25">
      <c r="A5958" s="2">
        <v>5957</v>
      </c>
      <c r="B5958" s="3" t="s">
        <v>31</v>
      </c>
      <c r="C5958" s="4" t="str">
        <f t="shared" si="468"/>
        <v>Quảng Bình</v>
      </c>
      <c r="D5958" s="3" t="s">
        <v>393</v>
      </c>
      <c r="E5958" s="4" t="str">
        <f t="shared" si="470"/>
        <v>Huyện Minh Hóa</v>
      </c>
      <c r="F5958" s="3" t="s">
        <v>6721</v>
      </c>
      <c r="G5958" s="4" t="str">
        <f>HYPERLINK("https://diaocthongthai.com/xa-yen-hoa-minh-hoa/","Xã Yên Hóa")</f>
        <v>Xã Yên Hóa</v>
      </c>
    </row>
    <row r="5959" spans="1:7" x14ac:dyDescent="0.25">
      <c r="A5959" s="2">
        <v>5958</v>
      </c>
      <c r="B5959" s="3" t="s">
        <v>31</v>
      </c>
      <c r="C5959" s="4" t="str">
        <f t="shared" si="468"/>
        <v>Quảng Bình</v>
      </c>
      <c r="D5959" s="3" t="s">
        <v>393</v>
      </c>
      <c r="E5959" s="4" t="str">
        <f t="shared" si="470"/>
        <v>Huyện Minh Hóa</v>
      </c>
      <c r="F5959" s="3" t="s">
        <v>6722</v>
      </c>
      <c r="G5959" s="4" t="str">
        <f>HYPERLINK("https://diaocthongthai.com/xa-minh-hoa-minh-hoa/","Xã Minh Hóa")</f>
        <v>Xã Minh Hóa</v>
      </c>
    </row>
    <row r="5960" spans="1:7" x14ac:dyDescent="0.25">
      <c r="A5960" s="2">
        <v>5959</v>
      </c>
      <c r="B5960" s="3" t="s">
        <v>31</v>
      </c>
      <c r="C5960" s="4" t="str">
        <f t="shared" si="468"/>
        <v>Quảng Bình</v>
      </c>
      <c r="D5960" s="3" t="s">
        <v>393</v>
      </c>
      <c r="E5960" s="4" t="str">
        <f t="shared" si="470"/>
        <v>Huyện Minh Hóa</v>
      </c>
      <c r="F5960" s="3" t="s">
        <v>6723</v>
      </c>
      <c r="G5960" s="4" t="str">
        <f>HYPERLINK("https://diaocthongthai.com/xa-tan-hoa-minh-hoa/","Xã Tân Hóa")</f>
        <v>Xã Tân Hóa</v>
      </c>
    </row>
    <row r="5961" spans="1:7" x14ac:dyDescent="0.25">
      <c r="A5961" s="2">
        <v>5960</v>
      </c>
      <c r="B5961" s="3" t="s">
        <v>31</v>
      </c>
      <c r="C5961" s="4" t="str">
        <f t="shared" si="468"/>
        <v>Quảng Bình</v>
      </c>
      <c r="D5961" s="3" t="s">
        <v>393</v>
      </c>
      <c r="E5961" s="4" t="str">
        <f t="shared" si="470"/>
        <v>Huyện Minh Hóa</v>
      </c>
      <c r="F5961" s="3" t="s">
        <v>6724</v>
      </c>
      <c r="G5961" s="4" t="str">
        <f>HYPERLINK("https://diaocthongthai.com/xa-hoa-son-minh-hoa/","Xã Hóa Sơn")</f>
        <v>Xã Hóa Sơn</v>
      </c>
    </row>
    <row r="5962" spans="1:7" x14ac:dyDescent="0.25">
      <c r="A5962" s="2">
        <v>5961</v>
      </c>
      <c r="B5962" s="3" t="s">
        <v>31</v>
      </c>
      <c r="C5962" s="4" t="str">
        <f t="shared" si="468"/>
        <v>Quảng Bình</v>
      </c>
      <c r="D5962" s="3" t="s">
        <v>393</v>
      </c>
      <c r="E5962" s="4" t="str">
        <f t="shared" si="470"/>
        <v>Huyện Minh Hóa</v>
      </c>
      <c r="F5962" s="3" t="s">
        <v>6725</v>
      </c>
      <c r="G5962" s="4" t="str">
        <f>HYPERLINK("https://diaocthongthai.com/xa-trung-hoa-minh-hoa/","Xã Trung Hóa")</f>
        <v>Xã Trung Hóa</v>
      </c>
    </row>
    <row r="5963" spans="1:7" x14ac:dyDescent="0.25">
      <c r="A5963" s="2">
        <v>5962</v>
      </c>
      <c r="B5963" s="3" t="s">
        <v>31</v>
      </c>
      <c r="C5963" s="4" t="str">
        <f t="shared" si="468"/>
        <v>Quảng Bình</v>
      </c>
      <c r="D5963" s="3" t="s">
        <v>393</v>
      </c>
      <c r="E5963" s="4" t="str">
        <f t="shared" si="470"/>
        <v>Huyện Minh Hóa</v>
      </c>
      <c r="F5963" s="3" t="s">
        <v>6726</v>
      </c>
      <c r="G5963" s="4" t="str">
        <f>HYPERLINK("https://diaocthongthai.com/xa-thuong-hoa-minh-hoa/","Xã Thượng Hóa")</f>
        <v>Xã Thượng Hóa</v>
      </c>
    </row>
    <row r="5964" spans="1:7" x14ac:dyDescent="0.25">
      <c r="A5964" s="2">
        <v>5963</v>
      </c>
      <c r="B5964" s="3" t="s">
        <v>31</v>
      </c>
      <c r="C5964" s="4" t="str">
        <f t="shared" si="468"/>
        <v>Quảng Bình</v>
      </c>
      <c r="D5964" s="3" t="s">
        <v>394</v>
      </c>
      <c r="E5964" s="4" t="str">
        <f t="shared" ref="E5964:E5982" si="471">HYPERLINK("https://diaocthongthai.com/ban-do-huyen-tuyen-hoa-quang-binh/","Huyện Tuyên Hóa")</f>
        <v>Huyện Tuyên Hóa</v>
      </c>
      <c r="F5964" s="3" t="s">
        <v>6727</v>
      </c>
      <c r="G5964" s="4" t="str">
        <f>HYPERLINK("https://diaocthongthai.com/thi-tran-dong-le-tuyen-hoa/","Thị trấn Đồng Lê")</f>
        <v>Thị trấn Đồng Lê</v>
      </c>
    </row>
    <row r="5965" spans="1:7" x14ac:dyDescent="0.25">
      <c r="A5965" s="2">
        <v>5964</v>
      </c>
      <c r="B5965" s="3" t="s">
        <v>31</v>
      </c>
      <c r="C5965" s="4" t="str">
        <f t="shared" si="468"/>
        <v>Quảng Bình</v>
      </c>
      <c r="D5965" s="3" t="s">
        <v>394</v>
      </c>
      <c r="E5965" s="4" t="str">
        <f t="shared" si="471"/>
        <v>Huyện Tuyên Hóa</v>
      </c>
      <c r="F5965" s="3" t="s">
        <v>6728</v>
      </c>
      <c r="G5965" s="4" t="str">
        <f>HYPERLINK("https://diaocthongthai.com/xa-huong-hoa-tuyen-hoa/","Xã Hương Hóa")</f>
        <v>Xã Hương Hóa</v>
      </c>
    </row>
    <row r="5966" spans="1:7" x14ac:dyDescent="0.25">
      <c r="A5966" s="2">
        <v>5965</v>
      </c>
      <c r="B5966" s="3" t="s">
        <v>31</v>
      </c>
      <c r="C5966" s="4" t="str">
        <f t="shared" ref="C5966:C5997" si="472">HYPERLINK("https://diaocthongthai.com/ban-do-quang-binh/","Quảng Bình")</f>
        <v>Quảng Bình</v>
      </c>
      <c r="D5966" s="3" t="s">
        <v>394</v>
      </c>
      <c r="E5966" s="4" t="str">
        <f t="shared" si="471"/>
        <v>Huyện Tuyên Hóa</v>
      </c>
      <c r="F5966" s="3" t="s">
        <v>6729</v>
      </c>
      <c r="G5966" s="4" t="str">
        <f>HYPERLINK("https://diaocthongthai.com/xa-kim-hoa-tuyen-hoa/","Xã Kim Hóa")</f>
        <v>Xã Kim Hóa</v>
      </c>
    </row>
    <row r="5967" spans="1:7" x14ac:dyDescent="0.25">
      <c r="A5967" s="2">
        <v>5966</v>
      </c>
      <c r="B5967" s="3" t="s">
        <v>31</v>
      </c>
      <c r="C5967" s="4" t="str">
        <f t="shared" si="472"/>
        <v>Quảng Bình</v>
      </c>
      <c r="D5967" s="3" t="s">
        <v>394</v>
      </c>
      <c r="E5967" s="4" t="str">
        <f t="shared" si="471"/>
        <v>Huyện Tuyên Hóa</v>
      </c>
      <c r="F5967" s="3" t="s">
        <v>6730</v>
      </c>
      <c r="G5967" s="4" t="str">
        <f>HYPERLINK("https://diaocthongthai.com/xa-thanh-hoa-tuyen-hoa/","Xã Thanh Hóa")</f>
        <v>Xã Thanh Hóa</v>
      </c>
    </row>
    <row r="5968" spans="1:7" x14ac:dyDescent="0.25">
      <c r="A5968" s="2">
        <v>5967</v>
      </c>
      <c r="B5968" s="3" t="s">
        <v>31</v>
      </c>
      <c r="C5968" s="4" t="str">
        <f t="shared" si="472"/>
        <v>Quảng Bình</v>
      </c>
      <c r="D5968" s="3" t="s">
        <v>394</v>
      </c>
      <c r="E5968" s="4" t="str">
        <f t="shared" si="471"/>
        <v>Huyện Tuyên Hóa</v>
      </c>
      <c r="F5968" s="3" t="s">
        <v>6731</v>
      </c>
      <c r="G5968" s="4" t="str">
        <f>HYPERLINK("https://diaocthongthai.com/xa-thanh-thach-tuyen-hoa/","Xã Thanh Thạch")</f>
        <v>Xã Thanh Thạch</v>
      </c>
    </row>
    <row r="5969" spans="1:7" x14ac:dyDescent="0.25">
      <c r="A5969" s="2">
        <v>5968</v>
      </c>
      <c r="B5969" s="3" t="s">
        <v>31</v>
      </c>
      <c r="C5969" s="4" t="str">
        <f t="shared" si="472"/>
        <v>Quảng Bình</v>
      </c>
      <c r="D5969" s="3" t="s">
        <v>394</v>
      </c>
      <c r="E5969" s="4" t="str">
        <f t="shared" si="471"/>
        <v>Huyện Tuyên Hóa</v>
      </c>
      <c r="F5969" s="3" t="s">
        <v>6732</v>
      </c>
      <c r="G5969" s="4" t="str">
        <f>HYPERLINK("https://diaocthongthai.com/xa-thuan-hoa-tuyen-hoa/","Xã Thuận Hóa")</f>
        <v>Xã Thuận Hóa</v>
      </c>
    </row>
    <row r="5970" spans="1:7" x14ac:dyDescent="0.25">
      <c r="A5970" s="2">
        <v>5969</v>
      </c>
      <c r="B5970" s="3" t="s">
        <v>31</v>
      </c>
      <c r="C5970" s="4" t="str">
        <f t="shared" si="472"/>
        <v>Quảng Bình</v>
      </c>
      <c r="D5970" s="3" t="s">
        <v>394</v>
      </c>
      <c r="E5970" s="4" t="str">
        <f t="shared" si="471"/>
        <v>Huyện Tuyên Hóa</v>
      </c>
      <c r="F5970" s="3" t="s">
        <v>6733</v>
      </c>
      <c r="G5970" s="4" t="str">
        <f>HYPERLINK("https://diaocthongthai.com/xa-lam-hoa-tuyen-hoa/","Xã Lâm Hóa")</f>
        <v>Xã Lâm Hóa</v>
      </c>
    </row>
    <row r="5971" spans="1:7" x14ac:dyDescent="0.25">
      <c r="A5971" s="2">
        <v>5970</v>
      </c>
      <c r="B5971" s="3" t="s">
        <v>31</v>
      </c>
      <c r="C5971" s="4" t="str">
        <f t="shared" si="472"/>
        <v>Quảng Bình</v>
      </c>
      <c r="D5971" s="3" t="s">
        <v>394</v>
      </c>
      <c r="E5971" s="4" t="str">
        <f t="shared" si="471"/>
        <v>Huyện Tuyên Hóa</v>
      </c>
      <c r="F5971" s="3" t="s">
        <v>6734</v>
      </c>
      <c r="G5971" s="4" t="str">
        <f>HYPERLINK("https://diaocthongthai.com/xa-le-hoa-tuyen-hoa/","Xã Lê Hóa")</f>
        <v>Xã Lê Hóa</v>
      </c>
    </row>
    <row r="5972" spans="1:7" x14ac:dyDescent="0.25">
      <c r="A5972" s="2">
        <v>5971</v>
      </c>
      <c r="B5972" s="3" t="s">
        <v>31</v>
      </c>
      <c r="C5972" s="4" t="str">
        <f t="shared" si="472"/>
        <v>Quảng Bình</v>
      </c>
      <c r="D5972" s="3" t="s">
        <v>394</v>
      </c>
      <c r="E5972" s="4" t="str">
        <f t="shared" si="471"/>
        <v>Huyện Tuyên Hóa</v>
      </c>
      <c r="F5972" s="3" t="s">
        <v>6735</v>
      </c>
      <c r="G5972" s="4" t="str">
        <f>HYPERLINK("https://diaocthongthai.com/xa-son-hoa-tuyen-hoa/","Xã Sơn Hóa")</f>
        <v>Xã Sơn Hóa</v>
      </c>
    </row>
    <row r="5973" spans="1:7" x14ac:dyDescent="0.25">
      <c r="A5973" s="2">
        <v>5972</v>
      </c>
      <c r="B5973" s="3" t="s">
        <v>31</v>
      </c>
      <c r="C5973" s="4" t="str">
        <f t="shared" si="472"/>
        <v>Quảng Bình</v>
      </c>
      <c r="D5973" s="3" t="s">
        <v>394</v>
      </c>
      <c r="E5973" s="4" t="str">
        <f t="shared" si="471"/>
        <v>Huyện Tuyên Hóa</v>
      </c>
      <c r="F5973" s="3" t="s">
        <v>6736</v>
      </c>
      <c r="G5973" s="4" t="str">
        <f>HYPERLINK("https://diaocthongthai.com/xa-dong-hoa-tuyen-hoa/","Xã Đồng Hóa")</f>
        <v>Xã Đồng Hóa</v>
      </c>
    </row>
    <row r="5974" spans="1:7" x14ac:dyDescent="0.25">
      <c r="A5974" s="2">
        <v>5973</v>
      </c>
      <c r="B5974" s="3" t="s">
        <v>31</v>
      </c>
      <c r="C5974" s="4" t="str">
        <f t="shared" si="472"/>
        <v>Quảng Bình</v>
      </c>
      <c r="D5974" s="3" t="s">
        <v>394</v>
      </c>
      <c r="E5974" s="4" t="str">
        <f t="shared" si="471"/>
        <v>Huyện Tuyên Hóa</v>
      </c>
      <c r="F5974" s="3" t="s">
        <v>6737</v>
      </c>
      <c r="G5974" s="4" t="str">
        <f>HYPERLINK("https://diaocthongthai.com/xa-ngu-hoa-tuyen-hoa/","Xã Ngư Hóa")</f>
        <v>Xã Ngư Hóa</v>
      </c>
    </row>
    <row r="5975" spans="1:7" x14ac:dyDescent="0.25">
      <c r="A5975" s="2">
        <v>5974</v>
      </c>
      <c r="B5975" s="3" t="s">
        <v>31</v>
      </c>
      <c r="C5975" s="4" t="str">
        <f t="shared" si="472"/>
        <v>Quảng Bình</v>
      </c>
      <c r="D5975" s="3" t="s">
        <v>394</v>
      </c>
      <c r="E5975" s="4" t="str">
        <f t="shared" si="471"/>
        <v>Huyện Tuyên Hóa</v>
      </c>
      <c r="F5975" s="3" t="s">
        <v>6738</v>
      </c>
      <c r="G5975" s="4" t="str">
        <f>HYPERLINK("https://diaocthongthai.com/xa-thach-hoa-tuyen-hoa/","Xã Thạch Hóa")</f>
        <v>Xã Thạch Hóa</v>
      </c>
    </row>
    <row r="5976" spans="1:7" x14ac:dyDescent="0.25">
      <c r="A5976" s="2">
        <v>5975</v>
      </c>
      <c r="B5976" s="3" t="s">
        <v>31</v>
      </c>
      <c r="C5976" s="4" t="str">
        <f t="shared" si="472"/>
        <v>Quảng Bình</v>
      </c>
      <c r="D5976" s="3" t="s">
        <v>394</v>
      </c>
      <c r="E5976" s="4" t="str">
        <f t="shared" si="471"/>
        <v>Huyện Tuyên Hóa</v>
      </c>
      <c r="F5976" s="3" t="s">
        <v>6739</v>
      </c>
      <c r="G5976" s="4" t="str">
        <f>HYPERLINK("https://diaocthongthai.com/xa-duc-hoa-tuyen-hoa/","Xã Đức Hóa")</f>
        <v>Xã Đức Hóa</v>
      </c>
    </row>
    <row r="5977" spans="1:7" x14ac:dyDescent="0.25">
      <c r="A5977" s="2">
        <v>5976</v>
      </c>
      <c r="B5977" s="3" t="s">
        <v>31</v>
      </c>
      <c r="C5977" s="4" t="str">
        <f t="shared" si="472"/>
        <v>Quảng Bình</v>
      </c>
      <c r="D5977" s="3" t="s">
        <v>394</v>
      </c>
      <c r="E5977" s="4" t="str">
        <f t="shared" si="471"/>
        <v>Huyện Tuyên Hóa</v>
      </c>
      <c r="F5977" s="3" t="s">
        <v>6740</v>
      </c>
      <c r="G5977" s="4" t="str">
        <f>HYPERLINK("https://diaocthongthai.com/xa-phong-hoa-tuyen-hoa/","Xã Phong Hóa")</f>
        <v>Xã Phong Hóa</v>
      </c>
    </row>
    <row r="5978" spans="1:7" x14ac:dyDescent="0.25">
      <c r="A5978" s="2">
        <v>5977</v>
      </c>
      <c r="B5978" s="3" t="s">
        <v>31</v>
      </c>
      <c r="C5978" s="4" t="str">
        <f t="shared" si="472"/>
        <v>Quảng Bình</v>
      </c>
      <c r="D5978" s="3" t="s">
        <v>394</v>
      </c>
      <c r="E5978" s="4" t="str">
        <f t="shared" si="471"/>
        <v>Huyện Tuyên Hóa</v>
      </c>
      <c r="F5978" s="3" t="s">
        <v>6741</v>
      </c>
      <c r="G5978" s="4" t="str">
        <f>HYPERLINK("https://diaocthongthai.com/xa-mai-hoa-tuyen-hoa/","Xã Mai Hóa")</f>
        <v>Xã Mai Hóa</v>
      </c>
    </row>
    <row r="5979" spans="1:7" x14ac:dyDescent="0.25">
      <c r="A5979" s="2">
        <v>5978</v>
      </c>
      <c r="B5979" s="3" t="s">
        <v>31</v>
      </c>
      <c r="C5979" s="4" t="str">
        <f t="shared" si="472"/>
        <v>Quảng Bình</v>
      </c>
      <c r="D5979" s="3" t="s">
        <v>394</v>
      </c>
      <c r="E5979" s="4" t="str">
        <f t="shared" si="471"/>
        <v>Huyện Tuyên Hóa</v>
      </c>
      <c r="F5979" s="3" t="s">
        <v>6742</v>
      </c>
      <c r="G5979" s="4" t="str">
        <f>HYPERLINK("https://diaocthongthai.com/xa-tien-hoa-tuyen-hoa/","Xã Tiến Hóa")</f>
        <v>Xã Tiến Hóa</v>
      </c>
    </row>
    <row r="5980" spans="1:7" x14ac:dyDescent="0.25">
      <c r="A5980" s="2">
        <v>5979</v>
      </c>
      <c r="B5980" s="3" t="s">
        <v>31</v>
      </c>
      <c r="C5980" s="4" t="str">
        <f t="shared" si="472"/>
        <v>Quảng Bình</v>
      </c>
      <c r="D5980" s="3" t="s">
        <v>394</v>
      </c>
      <c r="E5980" s="4" t="str">
        <f t="shared" si="471"/>
        <v>Huyện Tuyên Hóa</v>
      </c>
      <c r="F5980" s="3" t="s">
        <v>6743</v>
      </c>
      <c r="G5980" s="4" t="str">
        <f>HYPERLINK("https://diaocthongthai.com/xa-chau-hoa-tuyen-hoa/","Xã Châu Hóa")</f>
        <v>Xã Châu Hóa</v>
      </c>
    </row>
    <row r="5981" spans="1:7" x14ac:dyDescent="0.25">
      <c r="A5981" s="2">
        <v>5980</v>
      </c>
      <c r="B5981" s="3" t="s">
        <v>31</v>
      </c>
      <c r="C5981" s="4" t="str">
        <f t="shared" si="472"/>
        <v>Quảng Bình</v>
      </c>
      <c r="D5981" s="3" t="s">
        <v>394</v>
      </c>
      <c r="E5981" s="4" t="str">
        <f t="shared" si="471"/>
        <v>Huyện Tuyên Hóa</v>
      </c>
      <c r="F5981" s="3" t="s">
        <v>6744</v>
      </c>
      <c r="G5981" s="4" t="str">
        <f>HYPERLINK("https://diaocthongthai.com/xa-cao-quang-tuyen-hoa/","Xã Cao Quảng")</f>
        <v>Xã Cao Quảng</v>
      </c>
    </row>
    <row r="5982" spans="1:7" x14ac:dyDescent="0.25">
      <c r="A5982" s="2">
        <v>5981</v>
      </c>
      <c r="B5982" s="3" t="s">
        <v>31</v>
      </c>
      <c r="C5982" s="4" t="str">
        <f t="shared" si="472"/>
        <v>Quảng Bình</v>
      </c>
      <c r="D5982" s="3" t="s">
        <v>394</v>
      </c>
      <c r="E5982" s="4" t="str">
        <f t="shared" si="471"/>
        <v>Huyện Tuyên Hóa</v>
      </c>
      <c r="F5982" s="3" t="s">
        <v>6745</v>
      </c>
      <c r="G5982" s="4" t="str">
        <f>HYPERLINK("https://diaocthongthai.com/xa-van-hoa-tuyen-hoa/","Xã Văn Hóa")</f>
        <v>Xã Văn Hóa</v>
      </c>
    </row>
    <row r="5983" spans="1:7" x14ac:dyDescent="0.25">
      <c r="A5983" s="2">
        <v>5982</v>
      </c>
      <c r="B5983" s="3" t="s">
        <v>31</v>
      </c>
      <c r="C5983" s="4" t="str">
        <f t="shared" si="472"/>
        <v>Quảng Bình</v>
      </c>
      <c r="D5983" s="3" t="s">
        <v>395</v>
      </c>
      <c r="E5983" s="4" t="str">
        <f t="shared" ref="E5983:E5999" si="473">HYPERLINK("https://diaocthongthai.com/ban-do-huyen-quang-trach-quang-binh/","Huyện Quảng Trạch")</f>
        <v>Huyện Quảng Trạch</v>
      </c>
      <c r="F5983" s="3" t="s">
        <v>6746</v>
      </c>
      <c r="G5983" s="4" t="str">
        <f>HYPERLINK("https://diaocthongthai.com/xa-quang-hop-quang-trach/","Xã Quảng Hợp")</f>
        <v>Xã Quảng Hợp</v>
      </c>
    </row>
    <row r="5984" spans="1:7" x14ac:dyDescent="0.25">
      <c r="A5984" s="2">
        <v>5983</v>
      </c>
      <c r="B5984" s="3" t="s">
        <v>31</v>
      </c>
      <c r="C5984" s="4" t="str">
        <f t="shared" si="472"/>
        <v>Quảng Bình</v>
      </c>
      <c r="D5984" s="3" t="s">
        <v>395</v>
      </c>
      <c r="E5984" s="4" t="str">
        <f t="shared" si="473"/>
        <v>Huyện Quảng Trạch</v>
      </c>
      <c r="F5984" s="3" t="s">
        <v>6747</v>
      </c>
      <c r="G5984" s="4" t="str">
        <f>HYPERLINK("https://diaocthongthai.com/xa-quang-kim-quang-trach/","Xã Quảng Kim")</f>
        <v>Xã Quảng Kim</v>
      </c>
    </row>
    <row r="5985" spans="1:7" x14ac:dyDescent="0.25">
      <c r="A5985" s="2">
        <v>5984</v>
      </c>
      <c r="B5985" s="3" t="s">
        <v>31</v>
      </c>
      <c r="C5985" s="4" t="str">
        <f t="shared" si="472"/>
        <v>Quảng Bình</v>
      </c>
      <c r="D5985" s="3" t="s">
        <v>395</v>
      </c>
      <c r="E5985" s="4" t="str">
        <f t="shared" si="473"/>
        <v>Huyện Quảng Trạch</v>
      </c>
      <c r="F5985" s="3" t="s">
        <v>6748</v>
      </c>
      <c r="G5985" s="4" t="str">
        <f>HYPERLINK("https://diaocthongthai.com/xa-quang-dong-quang-trach/","Xã Quảng Đông")</f>
        <v>Xã Quảng Đông</v>
      </c>
    </row>
    <row r="5986" spans="1:7" x14ac:dyDescent="0.25">
      <c r="A5986" s="2">
        <v>5985</v>
      </c>
      <c r="B5986" s="3" t="s">
        <v>31</v>
      </c>
      <c r="C5986" s="4" t="str">
        <f t="shared" si="472"/>
        <v>Quảng Bình</v>
      </c>
      <c r="D5986" s="3" t="s">
        <v>395</v>
      </c>
      <c r="E5986" s="4" t="str">
        <f t="shared" si="473"/>
        <v>Huyện Quảng Trạch</v>
      </c>
      <c r="F5986" s="3" t="s">
        <v>6749</v>
      </c>
      <c r="G5986" s="4" t="str">
        <f>HYPERLINK("https://diaocthongthai.com/xa-quang-phu-quang-trach/","Xã Quảng Phú")</f>
        <v>Xã Quảng Phú</v>
      </c>
    </row>
    <row r="5987" spans="1:7" x14ac:dyDescent="0.25">
      <c r="A5987" s="2">
        <v>5986</v>
      </c>
      <c r="B5987" s="3" t="s">
        <v>31</v>
      </c>
      <c r="C5987" s="4" t="str">
        <f t="shared" si="472"/>
        <v>Quảng Bình</v>
      </c>
      <c r="D5987" s="3" t="s">
        <v>395</v>
      </c>
      <c r="E5987" s="4" t="str">
        <f t="shared" si="473"/>
        <v>Huyện Quảng Trạch</v>
      </c>
      <c r="F5987" s="3" t="s">
        <v>6750</v>
      </c>
      <c r="G5987" s="4" t="str">
        <f>HYPERLINK("https://diaocthongthai.com/xa-quang-chau-quang-trach/","Xã Quảng Châu")</f>
        <v>Xã Quảng Châu</v>
      </c>
    </row>
    <row r="5988" spans="1:7" x14ac:dyDescent="0.25">
      <c r="A5988" s="2">
        <v>5987</v>
      </c>
      <c r="B5988" s="3" t="s">
        <v>31</v>
      </c>
      <c r="C5988" s="4" t="str">
        <f t="shared" si="472"/>
        <v>Quảng Bình</v>
      </c>
      <c r="D5988" s="3" t="s">
        <v>395</v>
      </c>
      <c r="E5988" s="4" t="str">
        <f t="shared" si="473"/>
        <v>Huyện Quảng Trạch</v>
      </c>
      <c r="F5988" s="3" t="s">
        <v>6751</v>
      </c>
      <c r="G5988" s="4" t="str">
        <f>HYPERLINK("https://diaocthongthai.com/xa-quang-thach-quang-trach/","Xã Quảng Thạch")</f>
        <v>Xã Quảng Thạch</v>
      </c>
    </row>
    <row r="5989" spans="1:7" x14ac:dyDescent="0.25">
      <c r="A5989" s="2">
        <v>5988</v>
      </c>
      <c r="B5989" s="3" t="s">
        <v>31</v>
      </c>
      <c r="C5989" s="4" t="str">
        <f t="shared" si="472"/>
        <v>Quảng Bình</v>
      </c>
      <c r="D5989" s="3" t="s">
        <v>395</v>
      </c>
      <c r="E5989" s="4" t="str">
        <f t="shared" si="473"/>
        <v>Huyện Quảng Trạch</v>
      </c>
      <c r="F5989" s="3" t="s">
        <v>6752</v>
      </c>
      <c r="G5989" s="4" t="str">
        <f>HYPERLINK("https://diaocthongthai.com/xa-quang-luu-quang-trach/","Xã Quảng Lưu")</f>
        <v>Xã Quảng Lưu</v>
      </c>
    </row>
    <row r="5990" spans="1:7" x14ac:dyDescent="0.25">
      <c r="A5990" s="2">
        <v>5989</v>
      </c>
      <c r="B5990" s="3" t="s">
        <v>31</v>
      </c>
      <c r="C5990" s="4" t="str">
        <f t="shared" si="472"/>
        <v>Quảng Bình</v>
      </c>
      <c r="D5990" s="3" t="s">
        <v>395</v>
      </c>
      <c r="E5990" s="4" t="str">
        <f t="shared" si="473"/>
        <v>Huyện Quảng Trạch</v>
      </c>
      <c r="F5990" s="3" t="s">
        <v>6753</v>
      </c>
      <c r="G5990" s="4" t="str">
        <f>HYPERLINK("https://diaocthongthai.com/xa-quang-tung-quang-trach/","Xã Quảng Tùng")</f>
        <v>Xã Quảng Tùng</v>
      </c>
    </row>
    <row r="5991" spans="1:7" x14ac:dyDescent="0.25">
      <c r="A5991" s="2">
        <v>5990</v>
      </c>
      <c r="B5991" s="3" t="s">
        <v>31</v>
      </c>
      <c r="C5991" s="4" t="str">
        <f t="shared" si="472"/>
        <v>Quảng Bình</v>
      </c>
      <c r="D5991" s="3" t="s">
        <v>395</v>
      </c>
      <c r="E5991" s="4" t="str">
        <f t="shared" si="473"/>
        <v>Huyện Quảng Trạch</v>
      </c>
      <c r="F5991" s="3" t="s">
        <v>6754</v>
      </c>
      <c r="G5991" s="4" t="str">
        <f>HYPERLINK("https://diaocthongthai.com/xa-canh-duong-quang-trach/","Xã Cảnh Dương")</f>
        <v>Xã Cảnh Dương</v>
      </c>
    </row>
    <row r="5992" spans="1:7" x14ac:dyDescent="0.25">
      <c r="A5992" s="2">
        <v>5991</v>
      </c>
      <c r="B5992" s="3" t="s">
        <v>31</v>
      </c>
      <c r="C5992" s="4" t="str">
        <f t="shared" si="472"/>
        <v>Quảng Bình</v>
      </c>
      <c r="D5992" s="3" t="s">
        <v>395</v>
      </c>
      <c r="E5992" s="4" t="str">
        <f t="shared" si="473"/>
        <v>Huyện Quảng Trạch</v>
      </c>
      <c r="F5992" s="3" t="s">
        <v>6755</v>
      </c>
      <c r="G5992" s="4" t="str">
        <f>HYPERLINK("https://diaocthongthai.com/xa-quang-tien-quang-trach/","Xã Quảng Tiến")</f>
        <v>Xã Quảng Tiến</v>
      </c>
    </row>
    <row r="5993" spans="1:7" x14ac:dyDescent="0.25">
      <c r="A5993" s="2">
        <v>5992</v>
      </c>
      <c r="B5993" s="3" t="s">
        <v>31</v>
      </c>
      <c r="C5993" s="4" t="str">
        <f t="shared" si="472"/>
        <v>Quảng Bình</v>
      </c>
      <c r="D5993" s="3" t="s">
        <v>395</v>
      </c>
      <c r="E5993" s="4" t="str">
        <f t="shared" si="473"/>
        <v>Huyện Quảng Trạch</v>
      </c>
      <c r="F5993" s="3" t="s">
        <v>6756</v>
      </c>
      <c r="G5993" s="4" t="str">
        <f>HYPERLINK("https://diaocthongthai.com/xa-quang-hung-quang-trach/","Xã Quảng Hưng")</f>
        <v>Xã Quảng Hưng</v>
      </c>
    </row>
    <row r="5994" spans="1:7" x14ac:dyDescent="0.25">
      <c r="A5994" s="2">
        <v>5993</v>
      </c>
      <c r="B5994" s="3" t="s">
        <v>31</v>
      </c>
      <c r="C5994" s="4" t="str">
        <f t="shared" si="472"/>
        <v>Quảng Bình</v>
      </c>
      <c r="D5994" s="3" t="s">
        <v>395</v>
      </c>
      <c r="E5994" s="4" t="str">
        <f t="shared" si="473"/>
        <v>Huyện Quảng Trạch</v>
      </c>
      <c r="F5994" s="3" t="s">
        <v>6757</v>
      </c>
      <c r="G5994" s="4" t="str">
        <f>HYPERLINK("https://diaocthongthai.com/xa-quang-xuan-quang-trach/","Xã Quảng Xuân")</f>
        <v>Xã Quảng Xuân</v>
      </c>
    </row>
    <row r="5995" spans="1:7" x14ac:dyDescent="0.25">
      <c r="A5995" s="2">
        <v>5994</v>
      </c>
      <c r="B5995" s="3" t="s">
        <v>31</v>
      </c>
      <c r="C5995" s="4" t="str">
        <f t="shared" si="472"/>
        <v>Quảng Bình</v>
      </c>
      <c r="D5995" s="3" t="s">
        <v>395</v>
      </c>
      <c r="E5995" s="4" t="str">
        <f t="shared" si="473"/>
        <v>Huyện Quảng Trạch</v>
      </c>
      <c r="F5995" s="3" t="s">
        <v>6758</v>
      </c>
      <c r="G5995" s="4" t="str">
        <f>HYPERLINK("https://diaocthongthai.com/xa-canh-hoa-quang-trach/","Xã Cảnh Hóa")</f>
        <v>Xã Cảnh Hóa</v>
      </c>
    </row>
    <row r="5996" spans="1:7" x14ac:dyDescent="0.25">
      <c r="A5996" s="2">
        <v>5995</v>
      </c>
      <c r="B5996" s="3" t="s">
        <v>31</v>
      </c>
      <c r="C5996" s="4" t="str">
        <f t="shared" si="472"/>
        <v>Quảng Bình</v>
      </c>
      <c r="D5996" s="3" t="s">
        <v>395</v>
      </c>
      <c r="E5996" s="4" t="str">
        <f t="shared" si="473"/>
        <v>Huyện Quảng Trạch</v>
      </c>
      <c r="F5996" s="3" t="s">
        <v>6759</v>
      </c>
      <c r="G5996" s="4" t="str">
        <f>HYPERLINK("https://diaocthongthai.com/xa-lien-truong-quang-trach/","Xã Liên Trường")</f>
        <v>Xã Liên Trường</v>
      </c>
    </row>
    <row r="5997" spans="1:7" x14ac:dyDescent="0.25">
      <c r="A5997" s="2">
        <v>5996</v>
      </c>
      <c r="B5997" s="3" t="s">
        <v>31</v>
      </c>
      <c r="C5997" s="4" t="str">
        <f t="shared" si="472"/>
        <v>Quảng Bình</v>
      </c>
      <c r="D5997" s="3" t="s">
        <v>395</v>
      </c>
      <c r="E5997" s="4" t="str">
        <f t="shared" si="473"/>
        <v>Huyện Quảng Trạch</v>
      </c>
      <c r="F5997" s="3" t="s">
        <v>6760</v>
      </c>
      <c r="G5997" s="4" t="str">
        <f>HYPERLINK("https://diaocthongthai.com/xa-quang-phuong-quang-trach/","Xã Quảng Phương")</f>
        <v>Xã Quảng Phương</v>
      </c>
    </row>
    <row r="5998" spans="1:7" x14ac:dyDescent="0.25">
      <c r="A5998" s="2">
        <v>5997</v>
      </c>
      <c r="B5998" s="3" t="s">
        <v>31</v>
      </c>
      <c r="C5998" s="4" t="str">
        <f t="shared" ref="C5998:C6029" si="474">HYPERLINK("https://diaocthongthai.com/ban-do-quang-binh/","Quảng Bình")</f>
        <v>Quảng Bình</v>
      </c>
      <c r="D5998" s="3" t="s">
        <v>395</v>
      </c>
      <c r="E5998" s="4" t="str">
        <f t="shared" si="473"/>
        <v>Huyện Quảng Trạch</v>
      </c>
      <c r="F5998" s="3" t="s">
        <v>6761</v>
      </c>
      <c r="G5998" s="4" t="str">
        <f>HYPERLINK("https://diaocthongthai.com/xa-phu-hoa-quang-trach/","Xã Phù Hóa")</f>
        <v>Xã Phù Hóa</v>
      </c>
    </row>
    <row r="5999" spans="1:7" x14ac:dyDescent="0.25">
      <c r="A5999" s="2">
        <v>5998</v>
      </c>
      <c r="B5999" s="3" t="s">
        <v>31</v>
      </c>
      <c r="C5999" s="4" t="str">
        <f t="shared" si="474"/>
        <v>Quảng Bình</v>
      </c>
      <c r="D5999" s="3" t="s">
        <v>395</v>
      </c>
      <c r="E5999" s="4" t="str">
        <f t="shared" si="473"/>
        <v>Huyện Quảng Trạch</v>
      </c>
      <c r="F5999" s="3" t="s">
        <v>6762</v>
      </c>
      <c r="G5999" s="4" t="str">
        <f>HYPERLINK("https://diaocthongthai.com/xa-quang-thanh-quang-trach/","Xã Quảng Thanh")</f>
        <v>Xã Quảng Thanh</v>
      </c>
    </row>
    <row r="6000" spans="1:7" x14ac:dyDescent="0.25">
      <c r="A6000" s="2">
        <v>5999</v>
      </c>
      <c r="B6000" s="3" t="s">
        <v>31</v>
      </c>
      <c r="C6000" s="4" t="str">
        <f t="shared" si="474"/>
        <v>Quảng Bình</v>
      </c>
      <c r="D6000" s="3" t="s">
        <v>396</v>
      </c>
      <c r="E6000" s="4" t="str">
        <f t="shared" ref="E6000:E6027" si="475">HYPERLINK("https://diaocthongthai.com/ban-do-huyen-bo-trach-quang-binh/","Huyện Bố Trạch")</f>
        <v>Huyện Bố Trạch</v>
      </c>
      <c r="F6000" s="3" t="s">
        <v>6763</v>
      </c>
      <c r="G6000" s="4" t="str">
        <f>HYPERLINK("https://diaocthongthai.com/thi-tran-hoan-lao-bo-trach/","Thị trấn Hoàn Lão")</f>
        <v>Thị trấn Hoàn Lão</v>
      </c>
    </row>
    <row r="6001" spans="1:7" x14ac:dyDescent="0.25">
      <c r="A6001" s="2">
        <v>6000</v>
      </c>
      <c r="B6001" s="3" t="s">
        <v>31</v>
      </c>
      <c r="C6001" s="4" t="str">
        <f t="shared" si="474"/>
        <v>Quảng Bình</v>
      </c>
      <c r="D6001" s="3" t="s">
        <v>396</v>
      </c>
      <c r="E6001" s="4" t="str">
        <f t="shared" si="475"/>
        <v>Huyện Bố Trạch</v>
      </c>
      <c r="F6001" s="3" t="s">
        <v>6764</v>
      </c>
      <c r="G6001" s="4" t="str">
        <f>HYPERLINK("https://diaocthongthai.com/thi-tran-nong-truong-viet-trung-bo-trach/","Thị trấn NT Việt Trung")</f>
        <v>Thị trấn NT Việt Trung</v>
      </c>
    </row>
    <row r="6002" spans="1:7" x14ac:dyDescent="0.25">
      <c r="A6002" s="2">
        <v>6001</v>
      </c>
      <c r="B6002" s="3" t="s">
        <v>31</v>
      </c>
      <c r="C6002" s="4" t="str">
        <f t="shared" si="474"/>
        <v>Quảng Bình</v>
      </c>
      <c r="D6002" s="3" t="s">
        <v>396</v>
      </c>
      <c r="E6002" s="4" t="str">
        <f t="shared" si="475"/>
        <v>Huyện Bố Trạch</v>
      </c>
      <c r="F6002" s="3" t="s">
        <v>6765</v>
      </c>
      <c r="G6002" s="4" t="str">
        <f>HYPERLINK("https://diaocthongthai.com/xa-xuan-trach-bo-trach/","Xã Xuân Trạch")</f>
        <v>Xã Xuân Trạch</v>
      </c>
    </row>
    <row r="6003" spans="1:7" x14ac:dyDescent="0.25">
      <c r="A6003" s="2">
        <v>6002</v>
      </c>
      <c r="B6003" s="3" t="s">
        <v>31</v>
      </c>
      <c r="C6003" s="4" t="str">
        <f t="shared" si="474"/>
        <v>Quảng Bình</v>
      </c>
      <c r="D6003" s="3" t="s">
        <v>396</v>
      </c>
      <c r="E6003" s="4" t="str">
        <f t="shared" si="475"/>
        <v>Huyện Bố Trạch</v>
      </c>
      <c r="F6003" s="3" t="s">
        <v>6766</v>
      </c>
      <c r="G6003" s="4" t="str">
        <f>HYPERLINK("https://diaocthongthai.com/xa-my-trach-bo-trach/","Xã Mỹ Trạch")</f>
        <v>Xã Mỹ Trạch</v>
      </c>
    </row>
    <row r="6004" spans="1:7" x14ac:dyDescent="0.25">
      <c r="A6004" s="2">
        <v>6003</v>
      </c>
      <c r="B6004" s="3" t="s">
        <v>31</v>
      </c>
      <c r="C6004" s="4" t="str">
        <f t="shared" si="474"/>
        <v>Quảng Bình</v>
      </c>
      <c r="D6004" s="3" t="s">
        <v>396</v>
      </c>
      <c r="E6004" s="4" t="str">
        <f t="shared" si="475"/>
        <v>Huyện Bố Trạch</v>
      </c>
      <c r="F6004" s="3" t="s">
        <v>6767</v>
      </c>
      <c r="G6004" s="4" t="str">
        <f>HYPERLINK("https://diaocthongthai.com/xa-ha-trach-bo-trach/","Xã Hạ Trạch")</f>
        <v>Xã Hạ Trạch</v>
      </c>
    </row>
    <row r="6005" spans="1:7" x14ac:dyDescent="0.25">
      <c r="A6005" s="2">
        <v>6004</v>
      </c>
      <c r="B6005" s="3" t="s">
        <v>31</v>
      </c>
      <c r="C6005" s="4" t="str">
        <f t="shared" si="474"/>
        <v>Quảng Bình</v>
      </c>
      <c r="D6005" s="3" t="s">
        <v>396</v>
      </c>
      <c r="E6005" s="4" t="str">
        <f t="shared" si="475"/>
        <v>Huyện Bố Trạch</v>
      </c>
      <c r="F6005" s="3" t="s">
        <v>6768</v>
      </c>
      <c r="G6005" s="4" t="str">
        <f>HYPERLINK("https://diaocthongthai.com/xa-bac-trach-bo-trach/","Xã Bắc Trạch")</f>
        <v>Xã Bắc Trạch</v>
      </c>
    </row>
    <row r="6006" spans="1:7" x14ac:dyDescent="0.25">
      <c r="A6006" s="2">
        <v>6005</v>
      </c>
      <c r="B6006" s="3" t="s">
        <v>31</v>
      </c>
      <c r="C6006" s="4" t="str">
        <f t="shared" si="474"/>
        <v>Quảng Bình</v>
      </c>
      <c r="D6006" s="3" t="s">
        <v>396</v>
      </c>
      <c r="E6006" s="4" t="str">
        <f t="shared" si="475"/>
        <v>Huyện Bố Trạch</v>
      </c>
      <c r="F6006" s="3" t="s">
        <v>6769</v>
      </c>
      <c r="G6006" s="4" t="str">
        <f>HYPERLINK("https://diaocthongthai.com/xa-lam-trach-bo-trach/","Xã Lâm Trạch")</f>
        <v>Xã Lâm Trạch</v>
      </c>
    </row>
    <row r="6007" spans="1:7" x14ac:dyDescent="0.25">
      <c r="A6007" s="2">
        <v>6006</v>
      </c>
      <c r="B6007" s="3" t="s">
        <v>31</v>
      </c>
      <c r="C6007" s="4" t="str">
        <f t="shared" si="474"/>
        <v>Quảng Bình</v>
      </c>
      <c r="D6007" s="3" t="s">
        <v>396</v>
      </c>
      <c r="E6007" s="4" t="str">
        <f t="shared" si="475"/>
        <v>Huyện Bố Trạch</v>
      </c>
      <c r="F6007" s="3" t="s">
        <v>6770</v>
      </c>
      <c r="G6007" s="4" t="str">
        <f>HYPERLINK("https://diaocthongthai.com/xa-thanh-trach-bo-trach/","Xã Thanh Trạch")</f>
        <v>Xã Thanh Trạch</v>
      </c>
    </row>
    <row r="6008" spans="1:7" x14ac:dyDescent="0.25">
      <c r="A6008" s="2">
        <v>6007</v>
      </c>
      <c r="B6008" s="3" t="s">
        <v>31</v>
      </c>
      <c r="C6008" s="4" t="str">
        <f t="shared" si="474"/>
        <v>Quảng Bình</v>
      </c>
      <c r="D6008" s="3" t="s">
        <v>396</v>
      </c>
      <c r="E6008" s="4" t="str">
        <f t="shared" si="475"/>
        <v>Huyện Bố Trạch</v>
      </c>
      <c r="F6008" s="3" t="s">
        <v>6771</v>
      </c>
      <c r="G6008" s="4" t="str">
        <f>HYPERLINK("https://diaocthongthai.com/xa-lien-trach-bo-trach/","Xã Liên Trạch")</f>
        <v>Xã Liên Trạch</v>
      </c>
    </row>
    <row r="6009" spans="1:7" x14ac:dyDescent="0.25">
      <c r="A6009" s="2">
        <v>6008</v>
      </c>
      <c r="B6009" s="3" t="s">
        <v>31</v>
      </c>
      <c r="C6009" s="4" t="str">
        <f t="shared" si="474"/>
        <v>Quảng Bình</v>
      </c>
      <c r="D6009" s="3" t="s">
        <v>396</v>
      </c>
      <c r="E6009" s="4" t="str">
        <f t="shared" si="475"/>
        <v>Huyện Bố Trạch</v>
      </c>
      <c r="F6009" s="3" t="s">
        <v>6772</v>
      </c>
      <c r="G6009" s="4" t="str">
        <f>HYPERLINK("https://diaocthongthai.com/xa-phuc-trach-bo-trach/","Xã Phúc Trạch")</f>
        <v>Xã Phúc Trạch</v>
      </c>
    </row>
    <row r="6010" spans="1:7" x14ac:dyDescent="0.25">
      <c r="A6010" s="2">
        <v>6009</v>
      </c>
      <c r="B6010" s="3" t="s">
        <v>31</v>
      </c>
      <c r="C6010" s="4" t="str">
        <f t="shared" si="474"/>
        <v>Quảng Bình</v>
      </c>
      <c r="D6010" s="3" t="s">
        <v>396</v>
      </c>
      <c r="E6010" s="4" t="str">
        <f t="shared" si="475"/>
        <v>Huyện Bố Trạch</v>
      </c>
      <c r="F6010" s="3" t="s">
        <v>6773</v>
      </c>
      <c r="G6010" s="4" t="str">
        <f>HYPERLINK("https://diaocthongthai.com/xa-cu-nam-bo-trach/","Xã Cự Nẫm")</f>
        <v>Xã Cự Nẫm</v>
      </c>
    </row>
    <row r="6011" spans="1:7" x14ac:dyDescent="0.25">
      <c r="A6011" s="2">
        <v>6010</v>
      </c>
      <c r="B6011" s="3" t="s">
        <v>31</v>
      </c>
      <c r="C6011" s="4" t="str">
        <f t="shared" si="474"/>
        <v>Quảng Bình</v>
      </c>
      <c r="D6011" s="3" t="s">
        <v>396</v>
      </c>
      <c r="E6011" s="4" t="str">
        <f t="shared" si="475"/>
        <v>Huyện Bố Trạch</v>
      </c>
      <c r="F6011" s="3" t="s">
        <v>6774</v>
      </c>
      <c r="G6011" s="4" t="str">
        <f>HYPERLINK("https://diaocthongthai.com/xa-hai-phu-bo-trach/","Xã Hải Phú")</f>
        <v>Xã Hải Phú</v>
      </c>
    </row>
    <row r="6012" spans="1:7" x14ac:dyDescent="0.25">
      <c r="A6012" s="2">
        <v>6011</v>
      </c>
      <c r="B6012" s="3" t="s">
        <v>31</v>
      </c>
      <c r="C6012" s="4" t="str">
        <f t="shared" si="474"/>
        <v>Quảng Bình</v>
      </c>
      <c r="D6012" s="3" t="s">
        <v>396</v>
      </c>
      <c r="E6012" s="4" t="str">
        <f t="shared" si="475"/>
        <v>Huyện Bố Trạch</v>
      </c>
      <c r="F6012" s="3" t="s">
        <v>6775</v>
      </c>
      <c r="G6012" s="4" t="str">
        <f>HYPERLINK("https://diaocthongthai.com/xa-thuong-trach-bo-trach/","Xã Thượng Trạch")</f>
        <v>Xã Thượng Trạch</v>
      </c>
    </row>
    <row r="6013" spans="1:7" x14ac:dyDescent="0.25">
      <c r="A6013" s="2">
        <v>6012</v>
      </c>
      <c r="B6013" s="3" t="s">
        <v>31</v>
      </c>
      <c r="C6013" s="4" t="str">
        <f t="shared" si="474"/>
        <v>Quảng Bình</v>
      </c>
      <c r="D6013" s="3" t="s">
        <v>396</v>
      </c>
      <c r="E6013" s="4" t="str">
        <f t="shared" si="475"/>
        <v>Huyện Bố Trạch</v>
      </c>
      <c r="F6013" s="3" t="s">
        <v>6776</v>
      </c>
      <c r="G6013" s="4" t="str">
        <f>HYPERLINK("https://diaocthongthai.com/xa-son-loc-bo-trach/","Xã Sơn Lộc")</f>
        <v>Xã Sơn Lộc</v>
      </c>
    </row>
    <row r="6014" spans="1:7" x14ac:dyDescent="0.25">
      <c r="A6014" s="2">
        <v>6013</v>
      </c>
      <c r="B6014" s="3" t="s">
        <v>31</v>
      </c>
      <c r="C6014" s="4" t="str">
        <f t="shared" si="474"/>
        <v>Quảng Bình</v>
      </c>
      <c r="D6014" s="3" t="s">
        <v>396</v>
      </c>
      <c r="E6014" s="4" t="str">
        <f t="shared" si="475"/>
        <v>Huyện Bố Trạch</v>
      </c>
      <c r="F6014" s="3" t="s">
        <v>6777</v>
      </c>
      <c r="G6014" s="4" t="str">
        <f>HYPERLINK("https://diaocthongthai.com/xa-hung-trach-bo-trach/","Xã Hưng Trạch")</f>
        <v>Xã Hưng Trạch</v>
      </c>
    </row>
    <row r="6015" spans="1:7" x14ac:dyDescent="0.25">
      <c r="A6015" s="2">
        <v>6014</v>
      </c>
      <c r="B6015" s="3" t="s">
        <v>31</v>
      </c>
      <c r="C6015" s="4" t="str">
        <f t="shared" si="474"/>
        <v>Quảng Bình</v>
      </c>
      <c r="D6015" s="3" t="s">
        <v>396</v>
      </c>
      <c r="E6015" s="4" t="str">
        <f t="shared" si="475"/>
        <v>Huyện Bố Trạch</v>
      </c>
      <c r="F6015" s="3" t="s">
        <v>6778</v>
      </c>
      <c r="G6015" s="4" t="str">
        <f>HYPERLINK("https://diaocthongthai.com/xa-dong-trach-bo-trach/","Xã Đồng Trạch")</f>
        <v>Xã Đồng Trạch</v>
      </c>
    </row>
    <row r="6016" spans="1:7" x14ac:dyDescent="0.25">
      <c r="A6016" s="2">
        <v>6015</v>
      </c>
      <c r="B6016" s="3" t="s">
        <v>31</v>
      </c>
      <c r="C6016" s="4" t="str">
        <f t="shared" si="474"/>
        <v>Quảng Bình</v>
      </c>
      <c r="D6016" s="3" t="s">
        <v>396</v>
      </c>
      <c r="E6016" s="4" t="str">
        <f t="shared" si="475"/>
        <v>Huyện Bố Trạch</v>
      </c>
      <c r="F6016" s="3" t="s">
        <v>6779</v>
      </c>
      <c r="G6016" s="4" t="str">
        <f>HYPERLINK("https://diaocthongthai.com/xa-duc-trach-bo-trach/","Xã Đức Trạch")</f>
        <v>Xã Đức Trạch</v>
      </c>
    </row>
    <row r="6017" spans="1:7" x14ac:dyDescent="0.25">
      <c r="A6017" s="2">
        <v>6016</v>
      </c>
      <c r="B6017" s="3" t="s">
        <v>31</v>
      </c>
      <c r="C6017" s="4" t="str">
        <f t="shared" si="474"/>
        <v>Quảng Bình</v>
      </c>
      <c r="D6017" s="3" t="s">
        <v>396</v>
      </c>
      <c r="E6017" s="4" t="str">
        <f t="shared" si="475"/>
        <v>Huyện Bố Trạch</v>
      </c>
      <c r="F6017" s="3" t="s">
        <v>6780</v>
      </c>
      <c r="G6017" s="4" t="str">
        <f>HYPERLINK("https://diaocthongthai.com/thi-tran-phong-nha-bo-trach/","Thị trấn Phong Nha")</f>
        <v>Thị trấn Phong Nha</v>
      </c>
    </row>
    <row r="6018" spans="1:7" x14ac:dyDescent="0.25">
      <c r="A6018" s="2">
        <v>6017</v>
      </c>
      <c r="B6018" s="3" t="s">
        <v>31</v>
      </c>
      <c r="C6018" s="4" t="str">
        <f t="shared" si="474"/>
        <v>Quảng Bình</v>
      </c>
      <c r="D6018" s="3" t="s">
        <v>396</v>
      </c>
      <c r="E6018" s="4" t="str">
        <f t="shared" si="475"/>
        <v>Huyện Bố Trạch</v>
      </c>
      <c r="F6018" s="3" t="s">
        <v>6781</v>
      </c>
      <c r="G6018" s="4" t="str">
        <f>HYPERLINK("https://diaocthongthai.com/xa-van-trach-bo-trach/","Xã Vạn Trạch")</f>
        <v>Xã Vạn Trạch</v>
      </c>
    </row>
    <row r="6019" spans="1:7" x14ac:dyDescent="0.25">
      <c r="A6019" s="2">
        <v>6018</v>
      </c>
      <c r="B6019" s="3" t="s">
        <v>31</v>
      </c>
      <c r="C6019" s="4" t="str">
        <f t="shared" si="474"/>
        <v>Quảng Bình</v>
      </c>
      <c r="D6019" s="3" t="s">
        <v>396</v>
      </c>
      <c r="E6019" s="4" t="str">
        <f t="shared" si="475"/>
        <v>Huyện Bố Trạch</v>
      </c>
      <c r="F6019" s="3" t="s">
        <v>6782</v>
      </c>
      <c r="G6019" s="4" t="str">
        <f>HYPERLINK("https://diaocthongthai.com/xa-phu-dinh-bo-trach/","Xã Phú Định")</f>
        <v>Xã Phú Định</v>
      </c>
    </row>
    <row r="6020" spans="1:7" x14ac:dyDescent="0.25">
      <c r="A6020" s="2">
        <v>6019</v>
      </c>
      <c r="B6020" s="3" t="s">
        <v>31</v>
      </c>
      <c r="C6020" s="4" t="str">
        <f t="shared" si="474"/>
        <v>Quảng Bình</v>
      </c>
      <c r="D6020" s="3" t="s">
        <v>396</v>
      </c>
      <c r="E6020" s="4" t="str">
        <f t="shared" si="475"/>
        <v>Huyện Bố Trạch</v>
      </c>
      <c r="F6020" s="3" t="s">
        <v>6783</v>
      </c>
      <c r="G6020" s="4" t="str">
        <f>HYPERLINK("https://diaocthongthai.com/xa-trung-trach-bo-trach/","Xã Trung Trạch")</f>
        <v>Xã Trung Trạch</v>
      </c>
    </row>
    <row r="6021" spans="1:7" x14ac:dyDescent="0.25">
      <c r="A6021" s="2">
        <v>6020</v>
      </c>
      <c r="B6021" s="3" t="s">
        <v>31</v>
      </c>
      <c r="C6021" s="4" t="str">
        <f t="shared" si="474"/>
        <v>Quảng Bình</v>
      </c>
      <c r="D6021" s="3" t="s">
        <v>396</v>
      </c>
      <c r="E6021" s="4" t="str">
        <f t="shared" si="475"/>
        <v>Huyện Bố Trạch</v>
      </c>
      <c r="F6021" s="3" t="s">
        <v>6784</v>
      </c>
      <c r="G6021" s="4" t="str">
        <f>HYPERLINK("https://diaocthongthai.com/xa-tay-trach-bo-trach/","Xã Tây Trạch")</f>
        <v>Xã Tây Trạch</v>
      </c>
    </row>
    <row r="6022" spans="1:7" x14ac:dyDescent="0.25">
      <c r="A6022" s="2">
        <v>6021</v>
      </c>
      <c r="B6022" s="3" t="s">
        <v>31</v>
      </c>
      <c r="C6022" s="4" t="str">
        <f t="shared" si="474"/>
        <v>Quảng Bình</v>
      </c>
      <c r="D6022" s="3" t="s">
        <v>396</v>
      </c>
      <c r="E6022" s="4" t="str">
        <f t="shared" si="475"/>
        <v>Huyện Bố Trạch</v>
      </c>
      <c r="F6022" s="3" t="s">
        <v>6785</v>
      </c>
      <c r="G6022" s="4" t="str">
        <f>HYPERLINK("https://diaocthongthai.com/xa-hoa-trach-bo-trach/","Xã Hòa Trạch")</f>
        <v>Xã Hòa Trạch</v>
      </c>
    </row>
    <row r="6023" spans="1:7" x14ac:dyDescent="0.25">
      <c r="A6023" s="2">
        <v>6022</v>
      </c>
      <c r="B6023" s="3" t="s">
        <v>31</v>
      </c>
      <c r="C6023" s="4" t="str">
        <f t="shared" si="474"/>
        <v>Quảng Bình</v>
      </c>
      <c r="D6023" s="3" t="s">
        <v>396</v>
      </c>
      <c r="E6023" s="4" t="str">
        <f t="shared" si="475"/>
        <v>Huyện Bố Trạch</v>
      </c>
      <c r="F6023" s="3" t="s">
        <v>6786</v>
      </c>
      <c r="G6023" s="4" t="str">
        <f>HYPERLINK("https://diaocthongthai.com/xa-dai-trach-bo-trach/","Xã Đại Trạch")</f>
        <v>Xã Đại Trạch</v>
      </c>
    </row>
    <row r="6024" spans="1:7" x14ac:dyDescent="0.25">
      <c r="A6024" s="2">
        <v>6023</v>
      </c>
      <c r="B6024" s="3" t="s">
        <v>31</v>
      </c>
      <c r="C6024" s="4" t="str">
        <f t="shared" si="474"/>
        <v>Quảng Bình</v>
      </c>
      <c r="D6024" s="3" t="s">
        <v>396</v>
      </c>
      <c r="E6024" s="4" t="str">
        <f t="shared" si="475"/>
        <v>Huyện Bố Trạch</v>
      </c>
      <c r="F6024" s="3" t="s">
        <v>6787</v>
      </c>
      <c r="G6024" s="4" t="str">
        <f>HYPERLINK("https://diaocthongthai.com/xa-nhan-trach-bo-trach/","Xã Nhân Trạch")</f>
        <v>Xã Nhân Trạch</v>
      </c>
    </row>
    <row r="6025" spans="1:7" x14ac:dyDescent="0.25">
      <c r="A6025" s="2">
        <v>6024</v>
      </c>
      <c r="B6025" s="3" t="s">
        <v>31</v>
      </c>
      <c r="C6025" s="4" t="str">
        <f t="shared" si="474"/>
        <v>Quảng Bình</v>
      </c>
      <c r="D6025" s="3" t="s">
        <v>396</v>
      </c>
      <c r="E6025" s="4" t="str">
        <f t="shared" si="475"/>
        <v>Huyện Bố Trạch</v>
      </c>
      <c r="F6025" s="3" t="s">
        <v>6788</v>
      </c>
      <c r="G6025" s="4" t="str">
        <f>HYPERLINK("https://diaocthongthai.com/xa-tan-trach-bo-trach/","Xã Tân Trạch")</f>
        <v>Xã Tân Trạch</v>
      </c>
    </row>
    <row r="6026" spans="1:7" x14ac:dyDescent="0.25">
      <c r="A6026" s="2">
        <v>6025</v>
      </c>
      <c r="B6026" s="3" t="s">
        <v>31</v>
      </c>
      <c r="C6026" s="4" t="str">
        <f t="shared" si="474"/>
        <v>Quảng Bình</v>
      </c>
      <c r="D6026" s="3" t="s">
        <v>396</v>
      </c>
      <c r="E6026" s="4" t="str">
        <f t="shared" si="475"/>
        <v>Huyện Bố Trạch</v>
      </c>
      <c r="F6026" s="3" t="s">
        <v>6789</v>
      </c>
      <c r="G6026" s="4" t="str">
        <f>HYPERLINK("https://diaocthongthai.com/xa-nam-trach-bo-trach/","Xã Nam Trạch")</f>
        <v>Xã Nam Trạch</v>
      </c>
    </row>
    <row r="6027" spans="1:7" x14ac:dyDescent="0.25">
      <c r="A6027" s="2">
        <v>6026</v>
      </c>
      <c r="B6027" s="3" t="s">
        <v>31</v>
      </c>
      <c r="C6027" s="4" t="str">
        <f t="shared" si="474"/>
        <v>Quảng Bình</v>
      </c>
      <c r="D6027" s="3" t="s">
        <v>396</v>
      </c>
      <c r="E6027" s="4" t="str">
        <f t="shared" si="475"/>
        <v>Huyện Bố Trạch</v>
      </c>
      <c r="F6027" s="3" t="s">
        <v>6790</v>
      </c>
      <c r="G6027" s="4" t="str">
        <f>HYPERLINK("https://diaocthongthai.com/xa-ly-trach-bo-trach/","Xã Lý Trạch")</f>
        <v>Xã Lý Trạch</v>
      </c>
    </row>
    <row r="6028" spans="1:7" x14ac:dyDescent="0.25">
      <c r="A6028" s="2">
        <v>6027</v>
      </c>
      <c r="B6028" s="3" t="s">
        <v>31</v>
      </c>
      <c r="C6028" s="4" t="str">
        <f t="shared" si="474"/>
        <v>Quảng Bình</v>
      </c>
      <c r="D6028" s="3" t="s">
        <v>397</v>
      </c>
      <c r="E6028" s="4" t="str">
        <f t="shared" ref="E6028:E6042" si="476">HYPERLINK("https://diaocthongthai.com/ban-do-huyen-quang-ninh-quang-binh/","Huyện Quảng Ninh")</f>
        <v>Huyện Quảng Ninh</v>
      </c>
      <c r="F6028" s="3" t="s">
        <v>6791</v>
      </c>
      <c r="G6028" s="4" t="str">
        <f>HYPERLINK("https://diaocthongthai.com/thi-tran-quan-hau-quang-ninh/","Thị trấn Quán Hàu")</f>
        <v>Thị trấn Quán Hàu</v>
      </c>
    </row>
    <row r="6029" spans="1:7" x14ac:dyDescent="0.25">
      <c r="A6029" s="2">
        <v>6028</v>
      </c>
      <c r="B6029" s="3" t="s">
        <v>31</v>
      </c>
      <c r="C6029" s="4" t="str">
        <f t="shared" si="474"/>
        <v>Quảng Bình</v>
      </c>
      <c r="D6029" s="3" t="s">
        <v>397</v>
      </c>
      <c r="E6029" s="4" t="str">
        <f t="shared" si="476"/>
        <v>Huyện Quảng Ninh</v>
      </c>
      <c r="F6029" s="3" t="s">
        <v>6792</v>
      </c>
      <c r="G6029" s="4" t="str">
        <f>HYPERLINK("https://diaocthongthai.com/xa-truong-son-quang-ninh/","Xã Trường Sơn")</f>
        <v>Xã Trường Sơn</v>
      </c>
    </row>
    <row r="6030" spans="1:7" x14ac:dyDescent="0.25">
      <c r="A6030" s="2">
        <v>6029</v>
      </c>
      <c r="B6030" s="3" t="s">
        <v>31</v>
      </c>
      <c r="C6030" s="4" t="str">
        <f t="shared" ref="C6030:C6061" si="477">HYPERLINK("https://diaocthongthai.com/ban-do-quang-binh/","Quảng Bình")</f>
        <v>Quảng Bình</v>
      </c>
      <c r="D6030" s="3" t="s">
        <v>397</v>
      </c>
      <c r="E6030" s="4" t="str">
        <f t="shared" si="476"/>
        <v>Huyện Quảng Ninh</v>
      </c>
      <c r="F6030" s="3" t="s">
        <v>6793</v>
      </c>
      <c r="G6030" s="4" t="str">
        <f>HYPERLINK("https://diaocthongthai.com/xa-luong-ninh-quang-ninh/","Xã Lương Ninh")</f>
        <v>Xã Lương Ninh</v>
      </c>
    </row>
    <row r="6031" spans="1:7" x14ac:dyDescent="0.25">
      <c r="A6031" s="2">
        <v>6030</v>
      </c>
      <c r="B6031" s="3" t="s">
        <v>31</v>
      </c>
      <c r="C6031" s="4" t="str">
        <f t="shared" si="477"/>
        <v>Quảng Bình</v>
      </c>
      <c r="D6031" s="3" t="s">
        <v>397</v>
      </c>
      <c r="E6031" s="4" t="str">
        <f t="shared" si="476"/>
        <v>Huyện Quảng Ninh</v>
      </c>
      <c r="F6031" s="3" t="s">
        <v>6794</v>
      </c>
      <c r="G6031" s="4" t="str">
        <f>HYPERLINK("https://diaocthongthai.com/xa-vinh-ninh-quang-ninh/","Xã Vĩnh Ninh")</f>
        <v>Xã Vĩnh Ninh</v>
      </c>
    </row>
    <row r="6032" spans="1:7" x14ac:dyDescent="0.25">
      <c r="A6032" s="2">
        <v>6031</v>
      </c>
      <c r="B6032" s="3" t="s">
        <v>31</v>
      </c>
      <c r="C6032" s="4" t="str">
        <f t="shared" si="477"/>
        <v>Quảng Bình</v>
      </c>
      <c r="D6032" s="3" t="s">
        <v>397</v>
      </c>
      <c r="E6032" s="4" t="str">
        <f t="shared" si="476"/>
        <v>Huyện Quảng Ninh</v>
      </c>
      <c r="F6032" s="3" t="s">
        <v>6795</v>
      </c>
      <c r="G6032" s="4" t="str">
        <f>HYPERLINK("https://diaocthongthai.com/xa-vo-ninh-quang-ninh/","Xã Võ Ninh")</f>
        <v>Xã Võ Ninh</v>
      </c>
    </row>
    <row r="6033" spans="1:7" x14ac:dyDescent="0.25">
      <c r="A6033" s="2">
        <v>6032</v>
      </c>
      <c r="B6033" s="3" t="s">
        <v>31</v>
      </c>
      <c r="C6033" s="4" t="str">
        <f t="shared" si="477"/>
        <v>Quảng Bình</v>
      </c>
      <c r="D6033" s="3" t="s">
        <v>397</v>
      </c>
      <c r="E6033" s="4" t="str">
        <f t="shared" si="476"/>
        <v>Huyện Quảng Ninh</v>
      </c>
      <c r="F6033" s="3" t="s">
        <v>6796</v>
      </c>
      <c r="G6033" s="4" t="str">
        <f>HYPERLINK("https://diaocthongthai.com/xa-hai-ninh-quang-ninh/","Xã Hải Ninh")</f>
        <v>Xã Hải Ninh</v>
      </c>
    </row>
    <row r="6034" spans="1:7" x14ac:dyDescent="0.25">
      <c r="A6034" s="2">
        <v>6033</v>
      </c>
      <c r="B6034" s="3" t="s">
        <v>31</v>
      </c>
      <c r="C6034" s="4" t="str">
        <f t="shared" si="477"/>
        <v>Quảng Bình</v>
      </c>
      <c r="D6034" s="3" t="s">
        <v>397</v>
      </c>
      <c r="E6034" s="4" t="str">
        <f t="shared" si="476"/>
        <v>Huyện Quảng Ninh</v>
      </c>
      <c r="F6034" s="3" t="s">
        <v>6797</v>
      </c>
      <c r="G6034" s="4" t="str">
        <f>HYPERLINK("https://diaocthongthai.com/xa-ham-ninh-quang-ninh/","Xã Hàm Ninh")</f>
        <v>Xã Hàm Ninh</v>
      </c>
    </row>
    <row r="6035" spans="1:7" x14ac:dyDescent="0.25">
      <c r="A6035" s="2">
        <v>6034</v>
      </c>
      <c r="B6035" s="3" t="s">
        <v>31</v>
      </c>
      <c r="C6035" s="4" t="str">
        <f t="shared" si="477"/>
        <v>Quảng Bình</v>
      </c>
      <c r="D6035" s="3" t="s">
        <v>397</v>
      </c>
      <c r="E6035" s="4" t="str">
        <f t="shared" si="476"/>
        <v>Huyện Quảng Ninh</v>
      </c>
      <c r="F6035" s="3" t="s">
        <v>6798</v>
      </c>
      <c r="G6035" s="4" t="str">
        <f>HYPERLINK("https://diaocthongthai.com/xa-duy-ninh-quang-ninh/","Xã Duy Ninh")</f>
        <v>Xã Duy Ninh</v>
      </c>
    </row>
    <row r="6036" spans="1:7" x14ac:dyDescent="0.25">
      <c r="A6036" s="2">
        <v>6035</v>
      </c>
      <c r="B6036" s="3" t="s">
        <v>31</v>
      </c>
      <c r="C6036" s="4" t="str">
        <f t="shared" si="477"/>
        <v>Quảng Bình</v>
      </c>
      <c r="D6036" s="3" t="s">
        <v>397</v>
      </c>
      <c r="E6036" s="4" t="str">
        <f t="shared" si="476"/>
        <v>Huyện Quảng Ninh</v>
      </c>
      <c r="F6036" s="3" t="s">
        <v>6799</v>
      </c>
      <c r="G6036" s="4" t="str">
        <f>HYPERLINK("https://diaocthongthai.com/xa-gia-ninh-quang-ninh/","Xã Gia Ninh")</f>
        <v>Xã Gia Ninh</v>
      </c>
    </row>
    <row r="6037" spans="1:7" x14ac:dyDescent="0.25">
      <c r="A6037" s="2">
        <v>6036</v>
      </c>
      <c r="B6037" s="3" t="s">
        <v>31</v>
      </c>
      <c r="C6037" s="4" t="str">
        <f t="shared" si="477"/>
        <v>Quảng Bình</v>
      </c>
      <c r="D6037" s="3" t="s">
        <v>397</v>
      </c>
      <c r="E6037" s="4" t="str">
        <f t="shared" si="476"/>
        <v>Huyện Quảng Ninh</v>
      </c>
      <c r="F6037" s="3" t="s">
        <v>6800</v>
      </c>
      <c r="G6037" s="4" t="str">
        <f>HYPERLINK("https://diaocthongthai.com/xa-truong-xuan-quang-ninh/","Xã Trường Xuân")</f>
        <v>Xã Trường Xuân</v>
      </c>
    </row>
    <row r="6038" spans="1:7" x14ac:dyDescent="0.25">
      <c r="A6038" s="2">
        <v>6037</v>
      </c>
      <c r="B6038" s="3" t="s">
        <v>31</v>
      </c>
      <c r="C6038" s="4" t="str">
        <f t="shared" si="477"/>
        <v>Quảng Bình</v>
      </c>
      <c r="D6038" s="3" t="s">
        <v>397</v>
      </c>
      <c r="E6038" s="4" t="str">
        <f t="shared" si="476"/>
        <v>Huyện Quảng Ninh</v>
      </c>
      <c r="F6038" s="3" t="s">
        <v>6801</v>
      </c>
      <c r="G6038" s="4" t="str">
        <f>HYPERLINK("https://diaocthongthai.com/xa-hien-ninh-quang-ninh/","Xã Hiền Ninh")</f>
        <v>Xã Hiền Ninh</v>
      </c>
    </row>
    <row r="6039" spans="1:7" x14ac:dyDescent="0.25">
      <c r="A6039" s="2">
        <v>6038</v>
      </c>
      <c r="B6039" s="3" t="s">
        <v>31</v>
      </c>
      <c r="C6039" s="4" t="str">
        <f t="shared" si="477"/>
        <v>Quảng Bình</v>
      </c>
      <c r="D6039" s="3" t="s">
        <v>397</v>
      </c>
      <c r="E6039" s="4" t="str">
        <f t="shared" si="476"/>
        <v>Huyện Quảng Ninh</v>
      </c>
      <c r="F6039" s="3" t="s">
        <v>6802</v>
      </c>
      <c r="G6039" s="4" t="str">
        <f>HYPERLINK("https://diaocthongthai.com/xa-tan-ninh-quang-ninh/","Xã Tân Ninh")</f>
        <v>Xã Tân Ninh</v>
      </c>
    </row>
    <row r="6040" spans="1:7" x14ac:dyDescent="0.25">
      <c r="A6040" s="2">
        <v>6039</v>
      </c>
      <c r="B6040" s="3" t="s">
        <v>31</v>
      </c>
      <c r="C6040" s="4" t="str">
        <f t="shared" si="477"/>
        <v>Quảng Bình</v>
      </c>
      <c r="D6040" s="3" t="s">
        <v>397</v>
      </c>
      <c r="E6040" s="4" t="str">
        <f t="shared" si="476"/>
        <v>Huyện Quảng Ninh</v>
      </c>
      <c r="F6040" s="3" t="s">
        <v>6803</v>
      </c>
      <c r="G6040" s="4" t="str">
        <f>HYPERLINK("https://diaocthongthai.com/xa-xuan-ninh-quang-ninh/","Xã Xuân Ninh")</f>
        <v>Xã Xuân Ninh</v>
      </c>
    </row>
    <row r="6041" spans="1:7" x14ac:dyDescent="0.25">
      <c r="A6041" s="2">
        <v>6040</v>
      </c>
      <c r="B6041" s="3" t="s">
        <v>31</v>
      </c>
      <c r="C6041" s="4" t="str">
        <f t="shared" si="477"/>
        <v>Quảng Bình</v>
      </c>
      <c r="D6041" s="3" t="s">
        <v>397</v>
      </c>
      <c r="E6041" s="4" t="str">
        <f t="shared" si="476"/>
        <v>Huyện Quảng Ninh</v>
      </c>
      <c r="F6041" s="3" t="s">
        <v>6804</v>
      </c>
      <c r="G6041" s="4" t="str">
        <f>HYPERLINK("https://diaocthongthai.com/xa-an-ninh-quang-ninh/","Xã An Ninh")</f>
        <v>Xã An Ninh</v>
      </c>
    </row>
    <row r="6042" spans="1:7" x14ac:dyDescent="0.25">
      <c r="A6042" s="2">
        <v>6041</v>
      </c>
      <c r="B6042" s="3" t="s">
        <v>31</v>
      </c>
      <c r="C6042" s="4" t="str">
        <f t="shared" si="477"/>
        <v>Quảng Bình</v>
      </c>
      <c r="D6042" s="3" t="s">
        <v>397</v>
      </c>
      <c r="E6042" s="4" t="str">
        <f t="shared" si="476"/>
        <v>Huyện Quảng Ninh</v>
      </c>
      <c r="F6042" s="3" t="s">
        <v>6805</v>
      </c>
      <c r="G6042" s="4" t="str">
        <f>HYPERLINK("https://diaocthongthai.com/xa-van-ninh-quang-ninh/","Xã Vạn Ninh")</f>
        <v>Xã Vạn Ninh</v>
      </c>
    </row>
    <row r="6043" spans="1:7" x14ac:dyDescent="0.25">
      <c r="A6043" s="2">
        <v>6042</v>
      </c>
      <c r="B6043" s="3" t="s">
        <v>31</v>
      </c>
      <c r="C6043" s="4" t="str">
        <f t="shared" si="477"/>
        <v>Quảng Bình</v>
      </c>
      <c r="D6043" s="3" t="s">
        <v>398</v>
      </c>
      <c r="E6043" s="4" t="str">
        <f t="shared" ref="E6043:E6068" si="478">HYPERLINK("https://diaocthongthai.com/ban-do-huyen-le-thuy-quang-binh/","Huyện Lệ Thủy")</f>
        <v>Huyện Lệ Thủy</v>
      </c>
      <c r="F6043" s="3" t="s">
        <v>6806</v>
      </c>
      <c r="G6043" s="4" t="str">
        <f>HYPERLINK("https://diaocthongthai.com/thi-tran-nong-truong-le-ninh-le-thuy/","Thị trấn NT Lệ Ninh")</f>
        <v>Thị trấn NT Lệ Ninh</v>
      </c>
    </row>
    <row r="6044" spans="1:7" x14ac:dyDescent="0.25">
      <c r="A6044" s="2">
        <v>6043</v>
      </c>
      <c r="B6044" s="3" t="s">
        <v>31</v>
      </c>
      <c r="C6044" s="4" t="str">
        <f t="shared" si="477"/>
        <v>Quảng Bình</v>
      </c>
      <c r="D6044" s="3" t="s">
        <v>398</v>
      </c>
      <c r="E6044" s="4" t="str">
        <f t="shared" si="478"/>
        <v>Huyện Lệ Thủy</v>
      </c>
      <c r="F6044" s="3" t="s">
        <v>6807</v>
      </c>
      <c r="G6044" s="4" t="str">
        <f>HYPERLINK("https://diaocthongthai.com/thi-tran-kien-giang-le-thuy/","Thị trấn Kiến Giang")</f>
        <v>Thị trấn Kiến Giang</v>
      </c>
    </row>
    <row r="6045" spans="1:7" x14ac:dyDescent="0.25">
      <c r="A6045" s="2">
        <v>6044</v>
      </c>
      <c r="B6045" s="3" t="s">
        <v>31</v>
      </c>
      <c r="C6045" s="4" t="str">
        <f t="shared" si="477"/>
        <v>Quảng Bình</v>
      </c>
      <c r="D6045" s="3" t="s">
        <v>398</v>
      </c>
      <c r="E6045" s="4" t="str">
        <f t="shared" si="478"/>
        <v>Huyện Lệ Thủy</v>
      </c>
      <c r="F6045" s="3" t="s">
        <v>6808</v>
      </c>
      <c r="G6045" s="4" t="str">
        <f>HYPERLINK("https://diaocthongthai.com/xa-hong-thuy-le-thuy/","Xã Hồng Thủy")</f>
        <v>Xã Hồng Thủy</v>
      </c>
    </row>
    <row r="6046" spans="1:7" x14ac:dyDescent="0.25">
      <c r="A6046" s="2">
        <v>6045</v>
      </c>
      <c r="B6046" s="3" t="s">
        <v>31</v>
      </c>
      <c r="C6046" s="4" t="str">
        <f t="shared" si="477"/>
        <v>Quảng Bình</v>
      </c>
      <c r="D6046" s="3" t="s">
        <v>398</v>
      </c>
      <c r="E6046" s="4" t="str">
        <f t="shared" si="478"/>
        <v>Huyện Lệ Thủy</v>
      </c>
      <c r="F6046" s="3" t="s">
        <v>6809</v>
      </c>
      <c r="G6046" s="4" t="str">
        <f>HYPERLINK("https://diaocthongthai.com/xa-ngu-thuy-bac-le-thuy/","Xã Ngư Thủy Bắc")</f>
        <v>Xã Ngư Thủy Bắc</v>
      </c>
    </row>
    <row r="6047" spans="1:7" x14ac:dyDescent="0.25">
      <c r="A6047" s="2">
        <v>6046</v>
      </c>
      <c r="B6047" s="3" t="s">
        <v>31</v>
      </c>
      <c r="C6047" s="4" t="str">
        <f t="shared" si="477"/>
        <v>Quảng Bình</v>
      </c>
      <c r="D6047" s="3" t="s">
        <v>398</v>
      </c>
      <c r="E6047" s="4" t="str">
        <f t="shared" si="478"/>
        <v>Huyện Lệ Thủy</v>
      </c>
      <c r="F6047" s="3" t="s">
        <v>6810</v>
      </c>
      <c r="G6047" s="4" t="str">
        <f>HYPERLINK("https://diaocthongthai.com/xa-hoa-thuy-le-thuy/","Xã Hoa Thủy")</f>
        <v>Xã Hoa Thủy</v>
      </c>
    </row>
    <row r="6048" spans="1:7" x14ac:dyDescent="0.25">
      <c r="A6048" s="2">
        <v>6047</v>
      </c>
      <c r="B6048" s="3" t="s">
        <v>31</v>
      </c>
      <c r="C6048" s="4" t="str">
        <f t="shared" si="477"/>
        <v>Quảng Bình</v>
      </c>
      <c r="D6048" s="3" t="s">
        <v>398</v>
      </c>
      <c r="E6048" s="4" t="str">
        <f t="shared" si="478"/>
        <v>Huyện Lệ Thủy</v>
      </c>
      <c r="F6048" s="3" t="s">
        <v>6811</v>
      </c>
      <c r="G6048" s="4" t="str">
        <f>HYPERLINK("https://diaocthongthai.com/xa-thanh-thuy-le-thuy/","Xã Thanh Thủy")</f>
        <v>Xã Thanh Thủy</v>
      </c>
    </row>
    <row r="6049" spans="1:7" x14ac:dyDescent="0.25">
      <c r="A6049" s="2">
        <v>6048</v>
      </c>
      <c r="B6049" s="3" t="s">
        <v>31</v>
      </c>
      <c r="C6049" s="4" t="str">
        <f t="shared" si="477"/>
        <v>Quảng Bình</v>
      </c>
      <c r="D6049" s="3" t="s">
        <v>398</v>
      </c>
      <c r="E6049" s="4" t="str">
        <f t="shared" si="478"/>
        <v>Huyện Lệ Thủy</v>
      </c>
      <c r="F6049" s="3" t="s">
        <v>6812</v>
      </c>
      <c r="G6049" s="4" t="str">
        <f>HYPERLINK("https://diaocthongthai.com/xa-an-thuy-le-thuy/","Xã An Thủy")</f>
        <v>Xã An Thủy</v>
      </c>
    </row>
    <row r="6050" spans="1:7" x14ac:dyDescent="0.25">
      <c r="A6050" s="2">
        <v>6049</v>
      </c>
      <c r="B6050" s="3" t="s">
        <v>31</v>
      </c>
      <c r="C6050" s="4" t="str">
        <f t="shared" si="477"/>
        <v>Quảng Bình</v>
      </c>
      <c r="D6050" s="3" t="s">
        <v>398</v>
      </c>
      <c r="E6050" s="4" t="str">
        <f t="shared" si="478"/>
        <v>Huyện Lệ Thủy</v>
      </c>
      <c r="F6050" s="3" t="s">
        <v>6813</v>
      </c>
      <c r="G6050" s="4" t="str">
        <f>HYPERLINK("https://diaocthongthai.com/xa-phong-thuy-le-thuy/","Xã Phong Thủy")</f>
        <v>Xã Phong Thủy</v>
      </c>
    </row>
    <row r="6051" spans="1:7" x14ac:dyDescent="0.25">
      <c r="A6051" s="2">
        <v>6050</v>
      </c>
      <c r="B6051" s="3" t="s">
        <v>31</v>
      </c>
      <c r="C6051" s="4" t="str">
        <f t="shared" si="477"/>
        <v>Quảng Bình</v>
      </c>
      <c r="D6051" s="3" t="s">
        <v>398</v>
      </c>
      <c r="E6051" s="4" t="str">
        <f t="shared" si="478"/>
        <v>Huyện Lệ Thủy</v>
      </c>
      <c r="F6051" s="3" t="s">
        <v>6814</v>
      </c>
      <c r="G6051" s="4" t="str">
        <f>HYPERLINK("https://diaocthongthai.com/xa-cam-thuy-le-thuy/","Xã Cam Thủy")</f>
        <v>Xã Cam Thủy</v>
      </c>
    </row>
    <row r="6052" spans="1:7" x14ac:dyDescent="0.25">
      <c r="A6052" s="2">
        <v>6051</v>
      </c>
      <c r="B6052" s="3" t="s">
        <v>31</v>
      </c>
      <c r="C6052" s="4" t="str">
        <f t="shared" si="477"/>
        <v>Quảng Bình</v>
      </c>
      <c r="D6052" s="3" t="s">
        <v>398</v>
      </c>
      <c r="E6052" s="4" t="str">
        <f t="shared" si="478"/>
        <v>Huyện Lệ Thủy</v>
      </c>
      <c r="F6052" s="3" t="s">
        <v>6815</v>
      </c>
      <c r="G6052" s="4" t="str">
        <f>HYPERLINK("https://diaocthongthai.com/xa-ngan-thuy-le-thuy/","Xã Ngân Thủy")</f>
        <v>Xã Ngân Thủy</v>
      </c>
    </row>
    <row r="6053" spans="1:7" x14ac:dyDescent="0.25">
      <c r="A6053" s="2">
        <v>6052</v>
      </c>
      <c r="B6053" s="3" t="s">
        <v>31</v>
      </c>
      <c r="C6053" s="4" t="str">
        <f t="shared" si="477"/>
        <v>Quảng Bình</v>
      </c>
      <c r="D6053" s="3" t="s">
        <v>398</v>
      </c>
      <c r="E6053" s="4" t="str">
        <f t="shared" si="478"/>
        <v>Huyện Lệ Thủy</v>
      </c>
      <c r="F6053" s="3" t="s">
        <v>6816</v>
      </c>
      <c r="G6053" s="4" t="str">
        <f>HYPERLINK("https://diaocthongthai.com/xa-son-thuy-le-thuy/","Xã Sơn Thủy")</f>
        <v>Xã Sơn Thủy</v>
      </c>
    </row>
    <row r="6054" spans="1:7" x14ac:dyDescent="0.25">
      <c r="A6054" s="2">
        <v>6053</v>
      </c>
      <c r="B6054" s="3" t="s">
        <v>31</v>
      </c>
      <c r="C6054" s="4" t="str">
        <f t="shared" si="477"/>
        <v>Quảng Bình</v>
      </c>
      <c r="D6054" s="3" t="s">
        <v>398</v>
      </c>
      <c r="E6054" s="4" t="str">
        <f t="shared" si="478"/>
        <v>Huyện Lệ Thủy</v>
      </c>
      <c r="F6054" s="3" t="s">
        <v>6817</v>
      </c>
      <c r="G6054" s="4" t="str">
        <f>HYPERLINK("https://diaocthongthai.com/xa-loc-thuy-le-thuy/","Xã Lộc Thủy")</f>
        <v>Xã Lộc Thủy</v>
      </c>
    </row>
    <row r="6055" spans="1:7" x14ac:dyDescent="0.25">
      <c r="A6055" s="2">
        <v>6054</v>
      </c>
      <c r="B6055" s="3" t="s">
        <v>31</v>
      </c>
      <c r="C6055" s="4" t="str">
        <f t="shared" si="477"/>
        <v>Quảng Bình</v>
      </c>
      <c r="D6055" s="3" t="s">
        <v>398</v>
      </c>
      <c r="E6055" s="4" t="str">
        <f t="shared" si="478"/>
        <v>Huyện Lệ Thủy</v>
      </c>
      <c r="F6055" s="3" t="s">
        <v>6818</v>
      </c>
      <c r="G6055" s="4" t="str">
        <f>HYPERLINK("https://diaocthongthai.com/xa-lien-thuy-le-thuy/","Xã Liên Thủy")</f>
        <v>Xã Liên Thủy</v>
      </c>
    </row>
    <row r="6056" spans="1:7" x14ac:dyDescent="0.25">
      <c r="A6056" s="2">
        <v>6055</v>
      </c>
      <c r="B6056" s="3" t="s">
        <v>31</v>
      </c>
      <c r="C6056" s="4" t="str">
        <f t="shared" si="477"/>
        <v>Quảng Bình</v>
      </c>
      <c r="D6056" s="3" t="s">
        <v>398</v>
      </c>
      <c r="E6056" s="4" t="str">
        <f t="shared" si="478"/>
        <v>Huyện Lệ Thủy</v>
      </c>
      <c r="F6056" s="3" t="s">
        <v>6819</v>
      </c>
      <c r="G6056" s="4" t="str">
        <f>HYPERLINK("https://diaocthongthai.com/xa-hung-thuy-le-thuy/","Xã Hưng Thủy")</f>
        <v>Xã Hưng Thủy</v>
      </c>
    </row>
    <row r="6057" spans="1:7" x14ac:dyDescent="0.25">
      <c r="A6057" s="2">
        <v>6056</v>
      </c>
      <c r="B6057" s="3" t="s">
        <v>31</v>
      </c>
      <c r="C6057" s="4" t="str">
        <f t="shared" si="477"/>
        <v>Quảng Bình</v>
      </c>
      <c r="D6057" s="3" t="s">
        <v>398</v>
      </c>
      <c r="E6057" s="4" t="str">
        <f t="shared" si="478"/>
        <v>Huyện Lệ Thủy</v>
      </c>
      <c r="F6057" s="3" t="s">
        <v>6820</v>
      </c>
      <c r="G6057" s="4" t="str">
        <f>HYPERLINK("https://diaocthongthai.com/xa-duong-thuy-le-thuy/","Xã Dương Thủy")</f>
        <v>Xã Dương Thủy</v>
      </c>
    </row>
    <row r="6058" spans="1:7" x14ac:dyDescent="0.25">
      <c r="A6058" s="2">
        <v>6057</v>
      </c>
      <c r="B6058" s="3" t="s">
        <v>31</v>
      </c>
      <c r="C6058" s="4" t="str">
        <f t="shared" si="477"/>
        <v>Quảng Bình</v>
      </c>
      <c r="D6058" s="3" t="s">
        <v>398</v>
      </c>
      <c r="E6058" s="4" t="str">
        <f t="shared" si="478"/>
        <v>Huyện Lệ Thủy</v>
      </c>
      <c r="F6058" s="3" t="s">
        <v>6821</v>
      </c>
      <c r="G6058" s="4" t="str">
        <f>HYPERLINK("https://diaocthongthai.com/xa-tan-thuy-le-thuy/","Xã Tân Thủy")</f>
        <v>Xã Tân Thủy</v>
      </c>
    </row>
    <row r="6059" spans="1:7" x14ac:dyDescent="0.25">
      <c r="A6059" s="2">
        <v>6058</v>
      </c>
      <c r="B6059" s="3" t="s">
        <v>31</v>
      </c>
      <c r="C6059" s="4" t="str">
        <f t="shared" si="477"/>
        <v>Quảng Bình</v>
      </c>
      <c r="D6059" s="3" t="s">
        <v>398</v>
      </c>
      <c r="E6059" s="4" t="str">
        <f t="shared" si="478"/>
        <v>Huyện Lệ Thủy</v>
      </c>
      <c r="F6059" s="3" t="s">
        <v>6822</v>
      </c>
      <c r="G6059" s="4" t="str">
        <f>HYPERLINK("https://diaocthongthai.com/xa-phu-thuy-le-thuy/","Xã Phú Thủy")</f>
        <v>Xã Phú Thủy</v>
      </c>
    </row>
    <row r="6060" spans="1:7" x14ac:dyDescent="0.25">
      <c r="A6060" s="2">
        <v>6059</v>
      </c>
      <c r="B6060" s="3" t="s">
        <v>31</v>
      </c>
      <c r="C6060" s="4" t="str">
        <f t="shared" si="477"/>
        <v>Quảng Bình</v>
      </c>
      <c r="D6060" s="3" t="s">
        <v>398</v>
      </c>
      <c r="E6060" s="4" t="str">
        <f t="shared" si="478"/>
        <v>Huyện Lệ Thủy</v>
      </c>
      <c r="F6060" s="3" t="s">
        <v>6823</v>
      </c>
      <c r="G6060" s="4" t="str">
        <f>HYPERLINK("https://diaocthongthai.com/xa-xuan-thuy-le-thuy/","Xã Xuân Thủy")</f>
        <v>Xã Xuân Thủy</v>
      </c>
    </row>
    <row r="6061" spans="1:7" x14ac:dyDescent="0.25">
      <c r="A6061" s="2">
        <v>6060</v>
      </c>
      <c r="B6061" s="3" t="s">
        <v>31</v>
      </c>
      <c r="C6061" s="4" t="str">
        <f t="shared" si="477"/>
        <v>Quảng Bình</v>
      </c>
      <c r="D6061" s="3" t="s">
        <v>398</v>
      </c>
      <c r="E6061" s="4" t="str">
        <f t="shared" si="478"/>
        <v>Huyện Lệ Thủy</v>
      </c>
      <c r="F6061" s="3" t="s">
        <v>6824</v>
      </c>
      <c r="G6061" s="4" t="str">
        <f>HYPERLINK("https://diaocthongthai.com/xa-my-thuy-le-thuy/","Xã Mỹ Thủy")</f>
        <v>Xã Mỹ Thủy</v>
      </c>
    </row>
    <row r="6062" spans="1:7" x14ac:dyDescent="0.25">
      <c r="A6062" s="2">
        <v>6061</v>
      </c>
      <c r="B6062" s="3" t="s">
        <v>31</v>
      </c>
      <c r="C6062" s="4" t="str">
        <f t="shared" ref="C6062:C6084" si="479">HYPERLINK("https://diaocthongthai.com/ban-do-quang-binh/","Quảng Bình")</f>
        <v>Quảng Bình</v>
      </c>
      <c r="D6062" s="3" t="s">
        <v>398</v>
      </c>
      <c r="E6062" s="4" t="str">
        <f t="shared" si="478"/>
        <v>Huyện Lệ Thủy</v>
      </c>
      <c r="F6062" s="3" t="s">
        <v>6825</v>
      </c>
      <c r="G6062" s="4" t="str">
        <f>HYPERLINK("https://diaocthongthai.com/xa-ngu-thuy-le-thuy/","Xã Ngư Thủy ")</f>
        <v xml:space="preserve">Xã Ngư Thủy </v>
      </c>
    </row>
    <row r="6063" spans="1:7" x14ac:dyDescent="0.25">
      <c r="A6063" s="2">
        <v>6062</v>
      </c>
      <c r="B6063" s="3" t="s">
        <v>31</v>
      </c>
      <c r="C6063" s="4" t="str">
        <f t="shared" si="479"/>
        <v>Quảng Bình</v>
      </c>
      <c r="D6063" s="3" t="s">
        <v>398</v>
      </c>
      <c r="E6063" s="4" t="str">
        <f t="shared" si="478"/>
        <v>Huyện Lệ Thủy</v>
      </c>
      <c r="F6063" s="3" t="s">
        <v>6826</v>
      </c>
      <c r="G6063" s="4" t="str">
        <f>HYPERLINK("https://diaocthongthai.com/xa-mai-thuy-le-thuy/","Xã Mai Thủy")</f>
        <v>Xã Mai Thủy</v>
      </c>
    </row>
    <row r="6064" spans="1:7" x14ac:dyDescent="0.25">
      <c r="A6064" s="2">
        <v>6063</v>
      </c>
      <c r="B6064" s="3" t="s">
        <v>31</v>
      </c>
      <c r="C6064" s="4" t="str">
        <f t="shared" si="479"/>
        <v>Quảng Bình</v>
      </c>
      <c r="D6064" s="3" t="s">
        <v>398</v>
      </c>
      <c r="E6064" s="4" t="str">
        <f t="shared" si="478"/>
        <v>Huyện Lệ Thủy</v>
      </c>
      <c r="F6064" s="3" t="s">
        <v>6827</v>
      </c>
      <c r="G6064" s="4" t="str">
        <f>HYPERLINK("https://diaocthongthai.com/xa-sen-thuy-le-thuy/","Xã Sen Thủy")</f>
        <v>Xã Sen Thủy</v>
      </c>
    </row>
    <row r="6065" spans="1:7" x14ac:dyDescent="0.25">
      <c r="A6065" s="2">
        <v>6064</v>
      </c>
      <c r="B6065" s="3" t="s">
        <v>31</v>
      </c>
      <c r="C6065" s="4" t="str">
        <f t="shared" si="479"/>
        <v>Quảng Bình</v>
      </c>
      <c r="D6065" s="3" t="s">
        <v>398</v>
      </c>
      <c r="E6065" s="4" t="str">
        <f t="shared" si="478"/>
        <v>Huyện Lệ Thủy</v>
      </c>
      <c r="F6065" s="3" t="s">
        <v>6828</v>
      </c>
      <c r="G6065" s="4" t="str">
        <f>HYPERLINK("https://diaocthongthai.com/xa-thai-thuy-le-thuy/","Xã Thái Thủy")</f>
        <v>Xã Thái Thủy</v>
      </c>
    </row>
    <row r="6066" spans="1:7" x14ac:dyDescent="0.25">
      <c r="A6066" s="2">
        <v>6065</v>
      </c>
      <c r="B6066" s="3" t="s">
        <v>31</v>
      </c>
      <c r="C6066" s="4" t="str">
        <f t="shared" si="479"/>
        <v>Quảng Bình</v>
      </c>
      <c r="D6066" s="3" t="s">
        <v>398</v>
      </c>
      <c r="E6066" s="4" t="str">
        <f t="shared" si="478"/>
        <v>Huyện Lệ Thủy</v>
      </c>
      <c r="F6066" s="3" t="s">
        <v>6829</v>
      </c>
      <c r="G6066" s="4" t="str">
        <f>HYPERLINK("https://diaocthongthai.com/xa-kim-thuy-le-thuy/","Xã Kim Thủy")</f>
        <v>Xã Kim Thủy</v>
      </c>
    </row>
    <row r="6067" spans="1:7" x14ac:dyDescent="0.25">
      <c r="A6067" s="2">
        <v>6066</v>
      </c>
      <c r="B6067" s="3" t="s">
        <v>31</v>
      </c>
      <c r="C6067" s="4" t="str">
        <f t="shared" si="479"/>
        <v>Quảng Bình</v>
      </c>
      <c r="D6067" s="3" t="s">
        <v>398</v>
      </c>
      <c r="E6067" s="4" t="str">
        <f t="shared" si="478"/>
        <v>Huyện Lệ Thủy</v>
      </c>
      <c r="F6067" s="3" t="s">
        <v>6830</v>
      </c>
      <c r="G6067" s="4" t="str">
        <f>HYPERLINK("https://diaocthongthai.com/xa-truong-thuy-le-thuy/","Xã Trường Thủy")</f>
        <v>Xã Trường Thủy</v>
      </c>
    </row>
    <row r="6068" spans="1:7" x14ac:dyDescent="0.25">
      <c r="A6068" s="2">
        <v>6067</v>
      </c>
      <c r="B6068" s="3" t="s">
        <v>31</v>
      </c>
      <c r="C6068" s="4" t="str">
        <f t="shared" si="479"/>
        <v>Quảng Bình</v>
      </c>
      <c r="D6068" s="3" t="s">
        <v>398</v>
      </c>
      <c r="E6068" s="4" t="str">
        <f t="shared" si="478"/>
        <v>Huyện Lệ Thủy</v>
      </c>
      <c r="F6068" s="3" t="s">
        <v>6831</v>
      </c>
      <c r="G6068" s="4" t="str">
        <f>HYPERLINK("https://diaocthongthai.com/xa-lam-thuy-le-thuy/","Xã Lâm Thủy")</f>
        <v>Xã Lâm Thủy</v>
      </c>
    </row>
    <row r="6069" spans="1:7" x14ac:dyDescent="0.25">
      <c r="A6069" s="2">
        <v>6068</v>
      </c>
      <c r="B6069" s="3" t="s">
        <v>31</v>
      </c>
      <c r="C6069" s="4" t="str">
        <f t="shared" si="479"/>
        <v>Quảng Bình</v>
      </c>
      <c r="D6069" s="3" t="s">
        <v>399</v>
      </c>
      <c r="E6069" s="4" t="str">
        <f t="shared" ref="E6069:E6084" si="480">HYPERLINK("https://diaocthongthai.com/ban-do-thi-xa-ba-don-quang-binh/","Thị xã Ba Đồn")</f>
        <v>Thị xã Ba Đồn</v>
      </c>
      <c r="F6069" s="3" t="s">
        <v>6832</v>
      </c>
      <c r="G6069" s="4" t="str">
        <f>HYPERLINK("https://diaocthongthai.com/phuong-ba-don-ba-don/","Phường Ba Đồn")</f>
        <v>Phường Ba Đồn</v>
      </c>
    </row>
    <row r="6070" spans="1:7" x14ac:dyDescent="0.25">
      <c r="A6070" s="2">
        <v>6069</v>
      </c>
      <c r="B6070" s="3" t="s">
        <v>31</v>
      </c>
      <c r="C6070" s="4" t="str">
        <f t="shared" si="479"/>
        <v>Quảng Bình</v>
      </c>
      <c r="D6070" s="3" t="s">
        <v>399</v>
      </c>
      <c r="E6070" s="4" t="str">
        <f t="shared" si="480"/>
        <v>Thị xã Ba Đồn</v>
      </c>
      <c r="F6070" s="3" t="s">
        <v>6833</v>
      </c>
      <c r="G6070" s="4" t="str">
        <f>HYPERLINK("https://diaocthongthai.com/phuong-quang-long-ba-don/","Phường Quảng Long")</f>
        <v>Phường Quảng Long</v>
      </c>
    </row>
    <row r="6071" spans="1:7" x14ac:dyDescent="0.25">
      <c r="A6071" s="2">
        <v>6070</v>
      </c>
      <c r="B6071" s="3" t="s">
        <v>31</v>
      </c>
      <c r="C6071" s="4" t="str">
        <f t="shared" si="479"/>
        <v>Quảng Bình</v>
      </c>
      <c r="D6071" s="3" t="s">
        <v>399</v>
      </c>
      <c r="E6071" s="4" t="str">
        <f t="shared" si="480"/>
        <v>Thị xã Ba Đồn</v>
      </c>
      <c r="F6071" s="3" t="s">
        <v>6834</v>
      </c>
      <c r="G6071" s="4" t="str">
        <f>HYPERLINK("https://diaocthongthai.com/phuong-quang-tho-ba-don/","Phường Quảng Thọ")</f>
        <v>Phường Quảng Thọ</v>
      </c>
    </row>
    <row r="6072" spans="1:7" x14ac:dyDescent="0.25">
      <c r="A6072" s="2">
        <v>6071</v>
      </c>
      <c r="B6072" s="3" t="s">
        <v>31</v>
      </c>
      <c r="C6072" s="4" t="str">
        <f t="shared" si="479"/>
        <v>Quảng Bình</v>
      </c>
      <c r="D6072" s="3" t="s">
        <v>399</v>
      </c>
      <c r="E6072" s="4" t="str">
        <f t="shared" si="480"/>
        <v>Thị xã Ba Đồn</v>
      </c>
      <c r="F6072" s="3" t="s">
        <v>6835</v>
      </c>
      <c r="G6072" s="4" t="str">
        <f>HYPERLINK("https://diaocthongthai.com/xa-quang-tien-ba-don/","Xã Quảng Tiên")</f>
        <v>Xã Quảng Tiên</v>
      </c>
    </row>
    <row r="6073" spans="1:7" x14ac:dyDescent="0.25">
      <c r="A6073" s="2">
        <v>6072</v>
      </c>
      <c r="B6073" s="3" t="s">
        <v>31</v>
      </c>
      <c r="C6073" s="4" t="str">
        <f t="shared" si="479"/>
        <v>Quảng Bình</v>
      </c>
      <c r="D6073" s="3" t="s">
        <v>399</v>
      </c>
      <c r="E6073" s="4" t="str">
        <f t="shared" si="480"/>
        <v>Thị xã Ba Đồn</v>
      </c>
      <c r="F6073" s="3" t="s">
        <v>6836</v>
      </c>
      <c r="G6073" s="4" t="str">
        <f>HYPERLINK("https://diaocthongthai.com/xa-quang-trung-ba-don/","Xã Quảng Trung")</f>
        <v>Xã Quảng Trung</v>
      </c>
    </row>
    <row r="6074" spans="1:7" x14ac:dyDescent="0.25">
      <c r="A6074" s="2">
        <v>6073</v>
      </c>
      <c r="B6074" s="3" t="s">
        <v>31</v>
      </c>
      <c r="C6074" s="4" t="str">
        <f t="shared" si="479"/>
        <v>Quảng Bình</v>
      </c>
      <c r="D6074" s="3" t="s">
        <v>399</v>
      </c>
      <c r="E6074" s="4" t="str">
        <f t="shared" si="480"/>
        <v>Thị xã Ba Đồn</v>
      </c>
      <c r="F6074" s="3" t="s">
        <v>6837</v>
      </c>
      <c r="G6074" s="4" t="str">
        <f>HYPERLINK("https://diaocthongthai.com/phuong-quang-phong-ba-don/","Phường Quảng Phong")</f>
        <v>Phường Quảng Phong</v>
      </c>
    </row>
    <row r="6075" spans="1:7" x14ac:dyDescent="0.25">
      <c r="A6075" s="2">
        <v>6074</v>
      </c>
      <c r="B6075" s="3" t="s">
        <v>31</v>
      </c>
      <c r="C6075" s="4" t="str">
        <f t="shared" si="479"/>
        <v>Quảng Bình</v>
      </c>
      <c r="D6075" s="3" t="s">
        <v>399</v>
      </c>
      <c r="E6075" s="4" t="str">
        <f t="shared" si="480"/>
        <v>Thị xã Ba Đồn</v>
      </c>
      <c r="F6075" s="3" t="s">
        <v>6838</v>
      </c>
      <c r="G6075" s="4" t="str">
        <f>HYPERLINK("https://diaocthongthai.com/phuong-quang-thuan-ba-don/","Phường Quảng Thuận")</f>
        <v>Phường Quảng Thuận</v>
      </c>
    </row>
    <row r="6076" spans="1:7" x14ac:dyDescent="0.25">
      <c r="A6076" s="2">
        <v>6075</v>
      </c>
      <c r="B6076" s="3" t="s">
        <v>31</v>
      </c>
      <c r="C6076" s="4" t="str">
        <f t="shared" si="479"/>
        <v>Quảng Bình</v>
      </c>
      <c r="D6076" s="3" t="s">
        <v>399</v>
      </c>
      <c r="E6076" s="4" t="str">
        <f t="shared" si="480"/>
        <v>Thị xã Ba Đồn</v>
      </c>
      <c r="F6076" s="3" t="s">
        <v>6839</v>
      </c>
      <c r="G6076" s="4" t="str">
        <f>HYPERLINK("https://diaocthongthai.com/xa-quang-tan-ba-don/","Xã Quảng Tân")</f>
        <v>Xã Quảng Tân</v>
      </c>
    </row>
    <row r="6077" spans="1:7" x14ac:dyDescent="0.25">
      <c r="A6077" s="2">
        <v>6076</v>
      </c>
      <c r="B6077" s="3" t="s">
        <v>31</v>
      </c>
      <c r="C6077" s="4" t="str">
        <f t="shared" si="479"/>
        <v>Quảng Bình</v>
      </c>
      <c r="D6077" s="3" t="s">
        <v>399</v>
      </c>
      <c r="E6077" s="4" t="str">
        <f t="shared" si="480"/>
        <v>Thị xã Ba Đồn</v>
      </c>
      <c r="F6077" s="3" t="s">
        <v>6840</v>
      </c>
      <c r="G6077" s="4" t="str">
        <f>HYPERLINK("https://diaocthongthai.com/xa-quang-hai-ba-don/","Xã Quảng Hải")</f>
        <v>Xã Quảng Hải</v>
      </c>
    </row>
    <row r="6078" spans="1:7" x14ac:dyDescent="0.25">
      <c r="A6078" s="2">
        <v>6077</v>
      </c>
      <c r="B6078" s="3" t="s">
        <v>31</v>
      </c>
      <c r="C6078" s="4" t="str">
        <f t="shared" si="479"/>
        <v>Quảng Bình</v>
      </c>
      <c r="D6078" s="3" t="s">
        <v>399</v>
      </c>
      <c r="E6078" s="4" t="str">
        <f t="shared" si="480"/>
        <v>Thị xã Ba Đồn</v>
      </c>
      <c r="F6078" s="3" t="s">
        <v>6841</v>
      </c>
      <c r="G6078" s="4" t="str">
        <f>HYPERLINK("https://diaocthongthai.com/xa-quang-son-ba-don/","Xã Quảng Sơn")</f>
        <v>Xã Quảng Sơn</v>
      </c>
    </row>
    <row r="6079" spans="1:7" x14ac:dyDescent="0.25">
      <c r="A6079" s="2">
        <v>6078</v>
      </c>
      <c r="B6079" s="3" t="s">
        <v>31</v>
      </c>
      <c r="C6079" s="4" t="str">
        <f t="shared" si="479"/>
        <v>Quảng Bình</v>
      </c>
      <c r="D6079" s="3" t="s">
        <v>399</v>
      </c>
      <c r="E6079" s="4" t="str">
        <f t="shared" si="480"/>
        <v>Thị xã Ba Đồn</v>
      </c>
      <c r="F6079" s="3" t="s">
        <v>6842</v>
      </c>
      <c r="G6079" s="4" t="str">
        <f>HYPERLINK("https://diaocthongthai.com/xa-quang-loc-ba-don/","Xã Quảng Lộc")</f>
        <v>Xã Quảng Lộc</v>
      </c>
    </row>
    <row r="6080" spans="1:7" x14ac:dyDescent="0.25">
      <c r="A6080" s="2">
        <v>6079</v>
      </c>
      <c r="B6080" s="3" t="s">
        <v>31</v>
      </c>
      <c r="C6080" s="4" t="str">
        <f t="shared" si="479"/>
        <v>Quảng Bình</v>
      </c>
      <c r="D6080" s="3" t="s">
        <v>399</v>
      </c>
      <c r="E6080" s="4" t="str">
        <f t="shared" si="480"/>
        <v>Thị xã Ba Đồn</v>
      </c>
      <c r="F6080" s="3" t="s">
        <v>6843</v>
      </c>
      <c r="G6080" s="4" t="str">
        <f>HYPERLINK("https://diaocthongthai.com/xa-quang-thuy-ba-don/","Xã Quảng Thủy")</f>
        <v>Xã Quảng Thủy</v>
      </c>
    </row>
    <row r="6081" spans="1:7" x14ac:dyDescent="0.25">
      <c r="A6081" s="2">
        <v>6080</v>
      </c>
      <c r="B6081" s="3" t="s">
        <v>31</v>
      </c>
      <c r="C6081" s="4" t="str">
        <f t="shared" si="479"/>
        <v>Quảng Bình</v>
      </c>
      <c r="D6081" s="3" t="s">
        <v>399</v>
      </c>
      <c r="E6081" s="4" t="str">
        <f t="shared" si="480"/>
        <v>Thị xã Ba Đồn</v>
      </c>
      <c r="F6081" s="3" t="s">
        <v>6844</v>
      </c>
      <c r="G6081" s="4" t="str">
        <f>HYPERLINK("https://diaocthongthai.com/xa-quang-van-ba-don/","Xã Quảng Văn")</f>
        <v>Xã Quảng Văn</v>
      </c>
    </row>
    <row r="6082" spans="1:7" x14ac:dyDescent="0.25">
      <c r="A6082" s="2">
        <v>6081</v>
      </c>
      <c r="B6082" s="3" t="s">
        <v>31</v>
      </c>
      <c r="C6082" s="4" t="str">
        <f t="shared" si="479"/>
        <v>Quảng Bình</v>
      </c>
      <c r="D6082" s="3" t="s">
        <v>399</v>
      </c>
      <c r="E6082" s="4" t="str">
        <f t="shared" si="480"/>
        <v>Thị xã Ba Đồn</v>
      </c>
      <c r="F6082" s="3" t="s">
        <v>6845</v>
      </c>
      <c r="G6082" s="4" t="str">
        <f>HYPERLINK("https://diaocthongthai.com/phuong-quang-phuc-ba-don/","Phường Quảng Phúc")</f>
        <v>Phường Quảng Phúc</v>
      </c>
    </row>
    <row r="6083" spans="1:7" x14ac:dyDescent="0.25">
      <c r="A6083" s="2">
        <v>6082</v>
      </c>
      <c r="B6083" s="3" t="s">
        <v>31</v>
      </c>
      <c r="C6083" s="4" t="str">
        <f t="shared" si="479"/>
        <v>Quảng Bình</v>
      </c>
      <c r="D6083" s="3" t="s">
        <v>399</v>
      </c>
      <c r="E6083" s="4" t="str">
        <f t="shared" si="480"/>
        <v>Thị xã Ba Đồn</v>
      </c>
      <c r="F6083" s="3" t="s">
        <v>6846</v>
      </c>
      <c r="G6083" s="4" t="str">
        <f>HYPERLINK("https://diaocthongthai.com/xa-quang-hoa-ba-don/","Xã Quảng Hòa")</f>
        <v>Xã Quảng Hòa</v>
      </c>
    </row>
    <row r="6084" spans="1:7" x14ac:dyDescent="0.25">
      <c r="A6084" s="2">
        <v>6083</v>
      </c>
      <c r="B6084" s="3" t="s">
        <v>31</v>
      </c>
      <c r="C6084" s="4" t="str">
        <f t="shared" si="479"/>
        <v>Quảng Bình</v>
      </c>
      <c r="D6084" s="3" t="s">
        <v>399</v>
      </c>
      <c r="E6084" s="4" t="str">
        <f t="shared" si="480"/>
        <v>Thị xã Ba Đồn</v>
      </c>
      <c r="F6084" s="3" t="s">
        <v>6847</v>
      </c>
      <c r="G6084" s="4" t="str">
        <f>HYPERLINK("https://diaocthongthai.com/xa-quang-minh-ba-don/","Xã Quảng Minh")</f>
        <v>Xã Quảng Minh</v>
      </c>
    </row>
    <row r="6085" spans="1:7" x14ac:dyDescent="0.25">
      <c r="A6085" s="2">
        <v>6084</v>
      </c>
      <c r="B6085" s="3" t="s">
        <v>32</v>
      </c>
      <c r="C6085" s="4" t="str">
        <f t="shared" ref="C6085:C6116" si="481">HYPERLINK("https://diaocthongthai.com/ban-do-quang-tri/","Quảng Trị")</f>
        <v>Quảng Trị</v>
      </c>
      <c r="D6085" s="3" t="s">
        <v>400</v>
      </c>
      <c r="E6085" s="4" t="str">
        <f t="shared" ref="E6085:E6093" si="482">HYPERLINK("https://diaocthongthai.com/ban-do-tp-dong-ha-quang-tri/","Thành phố Đông Hà")</f>
        <v>Thành phố Đông Hà</v>
      </c>
      <c r="F6085" s="3" t="s">
        <v>6848</v>
      </c>
      <c r="G6085" s="4" t="str">
        <f>HYPERLINK("https://diaocthongthai.com/phuong-dong-giang-tp-dong-ha/","Phường Đông Giang")</f>
        <v>Phường Đông Giang</v>
      </c>
    </row>
    <row r="6086" spans="1:7" x14ac:dyDescent="0.25">
      <c r="A6086" s="2">
        <v>6085</v>
      </c>
      <c r="B6086" s="3" t="s">
        <v>32</v>
      </c>
      <c r="C6086" s="4" t="str">
        <f t="shared" si="481"/>
        <v>Quảng Trị</v>
      </c>
      <c r="D6086" s="3" t="s">
        <v>400</v>
      </c>
      <c r="E6086" s="4" t="str">
        <f t="shared" si="482"/>
        <v>Thành phố Đông Hà</v>
      </c>
      <c r="F6086" s="3" t="s">
        <v>6849</v>
      </c>
      <c r="G6086" s="4" t="str">
        <f>HYPERLINK("https://diaocthongthai.com/phuong-1-tp-dong-ha/","Phường 1")</f>
        <v>Phường 1</v>
      </c>
    </row>
    <row r="6087" spans="1:7" x14ac:dyDescent="0.25">
      <c r="A6087" s="2">
        <v>6086</v>
      </c>
      <c r="B6087" s="3" t="s">
        <v>32</v>
      </c>
      <c r="C6087" s="4" t="str">
        <f t="shared" si="481"/>
        <v>Quảng Trị</v>
      </c>
      <c r="D6087" s="3" t="s">
        <v>400</v>
      </c>
      <c r="E6087" s="4" t="str">
        <f t="shared" si="482"/>
        <v>Thành phố Đông Hà</v>
      </c>
      <c r="F6087" s="3" t="s">
        <v>6850</v>
      </c>
      <c r="G6087" s="4" t="str">
        <f>HYPERLINK("https://diaocthongthai.com/phuong-dong-le-tp-dong-ha/","Phường Đông Lễ")</f>
        <v>Phường Đông Lễ</v>
      </c>
    </row>
    <row r="6088" spans="1:7" x14ac:dyDescent="0.25">
      <c r="A6088" s="2">
        <v>6087</v>
      </c>
      <c r="B6088" s="3" t="s">
        <v>32</v>
      </c>
      <c r="C6088" s="4" t="str">
        <f t="shared" si="481"/>
        <v>Quảng Trị</v>
      </c>
      <c r="D6088" s="3" t="s">
        <v>400</v>
      </c>
      <c r="E6088" s="4" t="str">
        <f t="shared" si="482"/>
        <v>Thành phố Đông Hà</v>
      </c>
      <c r="F6088" s="3" t="s">
        <v>6851</v>
      </c>
      <c r="G6088" s="4" t="str">
        <f>HYPERLINK("https://diaocthongthai.com/phuong-dong-thanh-tp-dong-ha/","Phường Đông Thanh")</f>
        <v>Phường Đông Thanh</v>
      </c>
    </row>
    <row r="6089" spans="1:7" x14ac:dyDescent="0.25">
      <c r="A6089" s="2">
        <v>6088</v>
      </c>
      <c r="B6089" s="3" t="s">
        <v>32</v>
      </c>
      <c r="C6089" s="4" t="str">
        <f t="shared" si="481"/>
        <v>Quảng Trị</v>
      </c>
      <c r="D6089" s="3" t="s">
        <v>400</v>
      </c>
      <c r="E6089" s="4" t="str">
        <f t="shared" si="482"/>
        <v>Thành phố Đông Hà</v>
      </c>
      <c r="F6089" s="3" t="s">
        <v>6852</v>
      </c>
      <c r="G6089" s="4" t="str">
        <f>HYPERLINK("https://diaocthongthai.com/phuong-2-tp-dong-ha/","Phường 2")</f>
        <v>Phường 2</v>
      </c>
    </row>
    <row r="6090" spans="1:7" x14ac:dyDescent="0.25">
      <c r="A6090" s="2">
        <v>6089</v>
      </c>
      <c r="B6090" s="3" t="s">
        <v>32</v>
      </c>
      <c r="C6090" s="4" t="str">
        <f t="shared" si="481"/>
        <v>Quảng Trị</v>
      </c>
      <c r="D6090" s="3" t="s">
        <v>400</v>
      </c>
      <c r="E6090" s="4" t="str">
        <f t="shared" si="482"/>
        <v>Thành phố Đông Hà</v>
      </c>
      <c r="F6090" s="3" t="s">
        <v>6853</v>
      </c>
      <c r="G6090" s="4" t="str">
        <f>HYPERLINK("https://diaocthongthai.com/phuong-4-tp-dong-ha/","Phường 4")</f>
        <v>Phường 4</v>
      </c>
    </row>
    <row r="6091" spans="1:7" x14ac:dyDescent="0.25">
      <c r="A6091" s="2">
        <v>6090</v>
      </c>
      <c r="B6091" s="3" t="s">
        <v>32</v>
      </c>
      <c r="C6091" s="4" t="str">
        <f t="shared" si="481"/>
        <v>Quảng Trị</v>
      </c>
      <c r="D6091" s="3" t="s">
        <v>400</v>
      </c>
      <c r="E6091" s="4" t="str">
        <f t="shared" si="482"/>
        <v>Thành phố Đông Hà</v>
      </c>
      <c r="F6091" s="3" t="s">
        <v>6854</v>
      </c>
      <c r="G6091" s="4" t="str">
        <f>HYPERLINK("https://diaocthongthai.com/phuong-5-tp-dong-ha/","Phường 5")</f>
        <v>Phường 5</v>
      </c>
    </row>
    <row r="6092" spans="1:7" x14ac:dyDescent="0.25">
      <c r="A6092" s="2">
        <v>6091</v>
      </c>
      <c r="B6092" s="3" t="s">
        <v>32</v>
      </c>
      <c r="C6092" s="4" t="str">
        <f t="shared" si="481"/>
        <v>Quảng Trị</v>
      </c>
      <c r="D6092" s="3" t="s">
        <v>400</v>
      </c>
      <c r="E6092" s="4" t="str">
        <f t="shared" si="482"/>
        <v>Thành phố Đông Hà</v>
      </c>
      <c r="F6092" s="3" t="s">
        <v>6855</v>
      </c>
      <c r="G6092" s="4" t="str">
        <f>HYPERLINK("https://diaocthongthai.com/phuong-dong-luong-tp-dong-ha/","Phường Đông Lương")</f>
        <v>Phường Đông Lương</v>
      </c>
    </row>
    <row r="6093" spans="1:7" x14ac:dyDescent="0.25">
      <c r="A6093" s="2">
        <v>6092</v>
      </c>
      <c r="B6093" s="3" t="s">
        <v>32</v>
      </c>
      <c r="C6093" s="4" t="str">
        <f t="shared" si="481"/>
        <v>Quảng Trị</v>
      </c>
      <c r="D6093" s="3" t="s">
        <v>400</v>
      </c>
      <c r="E6093" s="4" t="str">
        <f t="shared" si="482"/>
        <v>Thành phố Đông Hà</v>
      </c>
      <c r="F6093" s="3" t="s">
        <v>6856</v>
      </c>
      <c r="G6093" s="4" t="str">
        <f>HYPERLINK("https://diaocthongthai.com/phuong-3-tp-dong-ha/","Phường 3")</f>
        <v>Phường 3</v>
      </c>
    </row>
    <row r="6094" spans="1:7" x14ac:dyDescent="0.25">
      <c r="A6094" s="2">
        <v>6093</v>
      </c>
      <c r="B6094" s="3" t="s">
        <v>32</v>
      </c>
      <c r="C6094" s="4" t="str">
        <f t="shared" si="481"/>
        <v>Quảng Trị</v>
      </c>
      <c r="D6094" s="3" t="s">
        <v>401</v>
      </c>
      <c r="E6094" s="4" t="str">
        <f>HYPERLINK("https://diaocthongthai.com/ban-do-thi-xa-quang-tri-quang-tri/","Thị xã Quảng Trị")</f>
        <v>Thị xã Quảng Trị</v>
      </c>
      <c r="F6094" s="3" t="s">
        <v>6857</v>
      </c>
      <c r="G6094" s="4" t="str">
        <f>HYPERLINK("https://diaocthongthai.com/phuong-1-quang-tri/","Phường 1")</f>
        <v>Phường 1</v>
      </c>
    </row>
    <row r="6095" spans="1:7" x14ac:dyDescent="0.25">
      <c r="A6095" s="2">
        <v>6094</v>
      </c>
      <c r="B6095" s="3" t="s">
        <v>32</v>
      </c>
      <c r="C6095" s="4" t="str">
        <f t="shared" si="481"/>
        <v>Quảng Trị</v>
      </c>
      <c r="D6095" s="3" t="s">
        <v>401</v>
      </c>
      <c r="E6095" s="4" t="str">
        <f>HYPERLINK("https://diaocthongthai.com/ban-do-thi-xa-quang-tri-quang-tri/","Thị xã Quảng Trị")</f>
        <v>Thị xã Quảng Trị</v>
      </c>
      <c r="F6095" s="3" t="s">
        <v>6858</v>
      </c>
      <c r="G6095" s="4" t="str">
        <f>HYPERLINK("https://diaocthongthai.com/phuong-an-don-quang-tri/","Phường An Đôn")</f>
        <v>Phường An Đôn</v>
      </c>
    </row>
    <row r="6096" spans="1:7" x14ac:dyDescent="0.25">
      <c r="A6096" s="2">
        <v>6095</v>
      </c>
      <c r="B6096" s="3" t="s">
        <v>32</v>
      </c>
      <c r="C6096" s="4" t="str">
        <f t="shared" si="481"/>
        <v>Quảng Trị</v>
      </c>
      <c r="D6096" s="3" t="s">
        <v>401</v>
      </c>
      <c r="E6096" s="4" t="str">
        <f>HYPERLINK("https://diaocthongthai.com/ban-do-thi-xa-quang-tri-quang-tri/","Thị xã Quảng Trị")</f>
        <v>Thị xã Quảng Trị</v>
      </c>
      <c r="F6096" s="3" t="s">
        <v>6859</v>
      </c>
      <c r="G6096" s="4" t="str">
        <f>HYPERLINK("https://diaocthongthai.com/phuong-2-quang-tri/","Phường 2")</f>
        <v>Phường 2</v>
      </c>
    </row>
    <row r="6097" spans="1:7" x14ac:dyDescent="0.25">
      <c r="A6097" s="2">
        <v>6096</v>
      </c>
      <c r="B6097" s="3" t="s">
        <v>32</v>
      </c>
      <c r="C6097" s="4" t="str">
        <f t="shared" si="481"/>
        <v>Quảng Trị</v>
      </c>
      <c r="D6097" s="3" t="s">
        <v>401</v>
      </c>
      <c r="E6097" s="4" t="str">
        <f>HYPERLINK("https://diaocthongthai.com/ban-do-thi-xa-quang-tri-quang-tri/","Thị xã Quảng Trị")</f>
        <v>Thị xã Quảng Trị</v>
      </c>
      <c r="F6097" s="3" t="s">
        <v>6860</v>
      </c>
      <c r="G6097" s="4" t="str">
        <f>HYPERLINK("https://diaocthongthai.com/phuong-3-quang-tri/","Phường 3")</f>
        <v>Phường 3</v>
      </c>
    </row>
    <row r="6098" spans="1:7" x14ac:dyDescent="0.25">
      <c r="A6098" s="2">
        <v>6097</v>
      </c>
      <c r="B6098" s="3" t="s">
        <v>32</v>
      </c>
      <c r="C6098" s="4" t="str">
        <f t="shared" si="481"/>
        <v>Quảng Trị</v>
      </c>
      <c r="D6098" s="3" t="s">
        <v>401</v>
      </c>
      <c r="E6098" s="4" t="str">
        <f>HYPERLINK("https://diaocthongthai.com/ban-do-thi-xa-quang-tri-quang-tri/","Thị xã Quảng Trị")</f>
        <v>Thị xã Quảng Trị</v>
      </c>
      <c r="F6098" s="3" t="s">
        <v>6861</v>
      </c>
      <c r="G6098" s="4" t="str">
        <f>HYPERLINK("https://diaocthongthai.com/xa-hai-le-quang-tri/","Xã Hải Lệ")</f>
        <v>Xã Hải Lệ</v>
      </c>
    </row>
    <row r="6099" spans="1:7" x14ac:dyDescent="0.25">
      <c r="A6099" s="2">
        <v>6098</v>
      </c>
      <c r="B6099" s="3" t="s">
        <v>32</v>
      </c>
      <c r="C6099" s="4" t="str">
        <f t="shared" si="481"/>
        <v>Quảng Trị</v>
      </c>
      <c r="D6099" s="3" t="s">
        <v>402</v>
      </c>
      <c r="E6099" s="4" t="str">
        <f t="shared" ref="E6099:E6116" si="483">HYPERLINK("https://diaocthongthai.com/ban-do-huyen-vinh-linh-quang-tri/","Huyện Vĩnh Linh")</f>
        <v>Huyện Vĩnh Linh</v>
      </c>
      <c r="F6099" s="3" t="s">
        <v>6862</v>
      </c>
      <c r="G6099" s="4" t="str">
        <f>HYPERLINK("https://diaocthongthai.com/thi-tran-ho-xa-vinh-linh/","Thị trấn Hồ Xá")</f>
        <v>Thị trấn Hồ Xá</v>
      </c>
    </row>
    <row r="6100" spans="1:7" x14ac:dyDescent="0.25">
      <c r="A6100" s="2">
        <v>6099</v>
      </c>
      <c r="B6100" s="3" t="s">
        <v>32</v>
      </c>
      <c r="C6100" s="4" t="str">
        <f t="shared" si="481"/>
        <v>Quảng Trị</v>
      </c>
      <c r="D6100" s="3" t="s">
        <v>402</v>
      </c>
      <c r="E6100" s="4" t="str">
        <f t="shared" si="483"/>
        <v>Huyện Vĩnh Linh</v>
      </c>
      <c r="F6100" s="3" t="s">
        <v>6863</v>
      </c>
      <c r="G6100" s="4" t="str">
        <f>HYPERLINK("https://diaocthongthai.com/thi-tran-ben-quan-vinh-linh/","Thị trấn Bến Quan")</f>
        <v>Thị trấn Bến Quan</v>
      </c>
    </row>
    <row r="6101" spans="1:7" x14ac:dyDescent="0.25">
      <c r="A6101" s="2">
        <v>6100</v>
      </c>
      <c r="B6101" s="3" t="s">
        <v>32</v>
      </c>
      <c r="C6101" s="4" t="str">
        <f t="shared" si="481"/>
        <v>Quảng Trị</v>
      </c>
      <c r="D6101" s="3" t="s">
        <v>402</v>
      </c>
      <c r="E6101" s="4" t="str">
        <f t="shared" si="483"/>
        <v>Huyện Vĩnh Linh</v>
      </c>
      <c r="F6101" s="3" t="s">
        <v>6864</v>
      </c>
      <c r="G6101" s="4" t="str">
        <f>HYPERLINK("https://diaocthongthai.com/xa-vinh-thai-vinh-linh/","Xã Vĩnh Thái")</f>
        <v>Xã Vĩnh Thái</v>
      </c>
    </row>
    <row r="6102" spans="1:7" x14ac:dyDescent="0.25">
      <c r="A6102" s="2">
        <v>6101</v>
      </c>
      <c r="B6102" s="3" t="s">
        <v>32</v>
      </c>
      <c r="C6102" s="4" t="str">
        <f t="shared" si="481"/>
        <v>Quảng Trị</v>
      </c>
      <c r="D6102" s="3" t="s">
        <v>402</v>
      </c>
      <c r="E6102" s="4" t="str">
        <f t="shared" si="483"/>
        <v>Huyện Vĩnh Linh</v>
      </c>
      <c r="F6102" s="3" t="s">
        <v>6865</v>
      </c>
      <c r="G6102" s="4" t="str">
        <f>HYPERLINK("https://diaocthongthai.com/xa-vinh-tu-vinh-linh/","Xã Vĩnh Tú")</f>
        <v>Xã Vĩnh Tú</v>
      </c>
    </row>
    <row r="6103" spans="1:7" x14ac:dyDescent="0.25">
      <c r="A6103" s="2">
        <v>6102</v>
      </c>
      <c r="B6103" s="3" t="s">
        <v>32</v>
      </c>
      <c r="C6103" s="4" t="str">
        <f t="shared" si="481"/>
        <v>Quảng Trị</v>
      </c>
      <c r="D6103" s="3" t="s">
        <v>402</v>
      </c>
      <c r="E6103" s="4" t="str">
        <f t="shared" si="483"/>
        <v>Huyện Vĩnh Linh</v>
      </c>
      <c r="F6103" s="3" t="s">
        <v>6866</v>
      </c>
      <c r="G6103" s="4" t="str">
        <f>HYPERLINK("https://diaocthongthai.com/xa-vinh-chap-vinh-linh/","Xã Vĩnh Chấp")</f>
        <v>Xã Vĩnh Chấp</v>
      </c>
    </row>
    <row r="6104" spans="1:7" x14ac:dyDescent="0.25">
      <c r="A6104" s="2">
        <v>6103</v>
      </c>
      <c r="B6104" s="3" t="s">
        <v>32</v>
      </c>
      <c r="C6104" s="4" t="str">
        <f t="shared" si="481"/>
        <v>Quảng Trị</v>
      </c>
      <c r="D6104" s="3" t="s">
        <v>402</v>
      </c>
      <c r="E6104" s="4" t="str">
        <f t="shared" si="483"/>
        <v>Huyện Vĩnh Linh</v>
      </c>
      <c r="F6104" s="3" t="s">
        <v>6867</v>
      </c>
      <c r="G6104" s="4" t="str">
        <f>HYPERLINK("https://diaocthongthai.com/xa-trung-nam-vinh-linh/","Xã Trung Nam")</f>
        <v>Xã Trung Nam</v>
      </c>
    </row>
    <row r="6105" spans="1:7" x14ac:dyDescent="0.25">
      <c r="A6105" s="2">
        <v>6104</v>
      </c>
      <c r="B6105" s="3" t="s">
        <v>32</v>
      </c>
      <c r="C6105" s="4" t="str">
        <f t="shared" si="481"/>
        <v>Quảng Trị</v>
      </c>
      <c r="D6105" s="3" t="s">
        <v>402</v>
      </c>
      <c r="E6105" s="4" t="str">
        <f t="shared" si="483"/>
        <v>Huyện Vĩnh Linh</v>
      </c>
      <c r="F6105" s="3" t="s">
        <v>6868</v>
      </c>
      <c r="G6105" s="4" t="str">
        <f>HYPERLINK("https://diaocthongthai.com/xa-kim-thach-vinh-linh/","Xã Kim Thạch")</f>
        <v>Xã Kim Thạch</v>
      </c>
    </row>
    <row r="6106" spans="1:7" x14ac:dyDescent="0.25">
      <c r="A6106" s="2">
        <v>6105</v>
      </c>
      <c r="B6106" s="3" t="s">
        <v>32</v>
      </c>
      <c r="C6106" s="4" t="str">
        <f t="shared" si="481"/>
        <v>Quảng Trị</v>
      </c>
      <c r="D6106" s="3" t="s">
        <v>402</v>
      </c>
      <c r="E6106" s="4" t="str">
        <f t="shared" si="483"/>
        <v>Huyện Vĩnh Linh</v>
      </c>
      <c r="F6106" s="3" t="s">
        <v>6869</v>
      </c>
      <c r="G6106" s="4" t="str">
        <f>HYPERLINK("https://diaocthongthai.com/xa-vinh-long-vinh-linh/","Xã Vĩnh Long")</f>
        <v>Xã Vĩnh Long</v>
      </c>
    </row>
    <row r="6107" spans="1:7" x14ac:dyDescent="0.25">
      <c r="A6107" s="2">
        <v>6106</v>
      </c>
      <c r="B6107" s="3" t="s">
        <v>32</v>
      </c>
      <c r="C6107" s="4" t="str">
        <f t="shared" si="481"/>
        <v>Quảng Trị</v>
      </c>
      <c r="D6107" s="3" t="s">
        <v>402</v>
      </c>
      <c r="E6107" s="4" t="str">
        <f t="shared" si="483"/>
        <v>Huyện Vĩnh Linh</v>
      </c>
      <c r="F6107" s="3" t="s">
        <v>6870</v>
      </c>
      <c r="G6107" s="4" t="str">
        <f>HYPERLINK("https://diaocthongthai.com/xa-vinh-khe-vinh-linh/","Xã Vĩnh Khê")</f>
        <v>Xã Vĩnh Khê</v>
      </c>
    </row>
    <row r="6108" spans="1:7" x14ac:dyDescent="0.25">
      <c r="A6108" s="2">
        <v>6107</v>
      </c>
      <c r="B6108" s="3" t="s">
        <v>32</v>
      </c>
      <c r="C6108" s="4" t="str">
        <f t="shared" si="481"/>
        <v>Quảng Trị</v>
      </c>
      <c r="D6108" s="3" t="s">
        <v>402</v>
      </c>
      <c r="E6108" s="4" t="str">
        <f t="shared" si="483"/>
        <v>Huyện Vĩnh Linh</v>
      </c>
      <c r="F6108" s="3" t="s">
        <v>6871</v>
      </c>
      <c r="G6108" s="4" t="str">
        <f>HYPERLINK("https://diaocthongthai.com/xa-vinh-hoa-vinh-linh/","Xã Vĩnh Hòa")</f>
        <v>Xã Vĩnh Hòa</v>
      </c>
    </row>
    <row r="6109" spans="1:7" x14ac:dyDescent="0.25">
      <c r="A6109" s="2">
        <v>6108</v>
      </c>
      <c r="B6109" s="3" t="s">
        <v>32</v>
      </c>
      <c r="C6109" s="4" t="str">
        <f t="shared" si="481"/>
        <v>Quảng Trị</v>
      </c>
      <c r="D6109" s="3" t="s">
        <v>402</v>
      </c>
      <c r="E6109" s="4" t="str">
        <f t="shared" si="483"/>
        <v>Huyện Vĩnh Linh</v>
      </c>
      <c r="F6109" s="3" t="s">
        <v>6872</v>
      </c>
      <c r="G6109" s="4" t="str">
        <f>HYPERLINK("https://diaocthongthai.com/xa-vinh-thuy-vinh-linh/","Xã Vĩnh Thủy")</f>
        <v>Xã Vĩnh Thủy</v>
      </c>
    </row>
    <row r="6110" spans="1:7" x14ac:dyDescent="0.25">
      <c r="A6110" s="2">
        <v>6109</v>
      </c>
      <c r="B6110" s="3" t="s">
        <v>32</v>
      </c>
      <c r="C6110" s="4" t="str">
        <f t="shared" si="481"/>
        <v>Quảng Trị</v>
      </c>
      <c r="D6110" s="3" t="s">
        <v>402</v>
      </c>
      <c r="E6110" s="4" t="str">
        <f t="shared" si="483"/>
        <v>Huyện Vĩnh Linh</v>
      </c>
      <c r="F6110" s="3" t="s">
        <v>6873</v>
      </c>
      <c r="G6110" s="4" t="str">
        <f>HYPERLINK("https://diaocthongthai.com/xa-vinh-lam-vinh-linh/","Xã Vĩnh Lâm")</f>
        <v>Xã Vĩnh Lâm</v>
      </c>
    </row>
    <row r="6111" spans="1:7" x14ac:dyDescent="0.25">
      <c r="A6111" s="2">
        <v>6110</v>
      </c>
      <c r="B6111" s="3" t="s">
        <v>32</v>
      </c>
      <c r="C6111" s="4" t="str">
        <f t="shared" si="481"/>
        <v>Quảng Trị</v>
      </c>
      <c r="D6111" s="3" t="s">
        <v>402</v>
      </c>
      <c r="E6111" s="4" t="str">
        <f t="shared" si="483"/>
        <v>Huyện Vĩnh Linh</v>
      </c>
      <c r="F6111" s="3" t="s">
        <v>6874</v>
      </c>
      <c r="G6111" s="4" t="str">
        <f>HYPERLINK("https://diaocthongthai.com/xa-hien-thanh-vinh-linh/","Xã Hiền Thành")</f>
        <v>Xã Hiền Thành</v>
      </c>
    </row>
    <row r="6112" spans="1:7" x14ac:dyDescent="0.25">
      <c r="A6112" s="2">
        <v>6111</v>
      </c>
      <c r="B6112" s="3" t="s">
        <v>32</v>
      </c>
      <c r="C6112" s="4" t="str">
        <f t="shared" si="481"/>
        <v>Quảng Trị</v>
      </c>
      <c r="D6112" s="3" t="s">
        <v>402</v>
      </c>
      <c r="E6112" s="4" t="str">
        <f t="shared" si="483"/>
        <v>Huyện Vĩnh Linh</v>
      </c>
      <c r="F6112" s="3" t="s">
        <v>6875</v>
      </c>
      <c r="G6112" s="4" t="str">
        <f>HYPERLINK("https://diaocthongthai.com/thi-tran-cua-tung-vinh-linh/","Thị trấn Cửa Tùng")</f>
        <v>Thị trấn Cửa Tùng</v>
      </c>
    </row>
    <row r="6113" spans="1:7" x14ac:dyDescent="0.25">
      <c r="A6113" s="2">
        <v>6112</v>
      </c>
      <c r="B6113" s="3" t="s">
        <v>32</v>
      </c>
      <c r="C6113" s="4" t="str">
        <f t="shared" si="481"/>
        <v>Quảng Trị</v>
      </c>
      <c r="D6113" s="3" t="s">
        <v>402</v>
      </c>
      <c r="E6113" s="4" t="str">
        <f t="shared" si="483"/>
        <v>Huyện Vĩnh Linh</v>
      </c>
      <c r="F6113" s="3" t="s">
        <v>6876</v>
      </c>
      <c r="G6113" s="4" t="str">
        <f>HYPERLINK("https://diaocthongthai.com/xa-vinh-ha-vinh-linh/","Xã Vĩnh Hà")</f>
        <v>Xã Vĩnh Hà</v>
      </c>
    </row>
    <row r="6114" spans="1:7" x14ac:dyDescent="0.25">
      <c r="A6114" s="2">
        <v>6113</v>
      </c>
      <c r="B6114" s="3" t="s">
        <v>32</v>
      </c>
      <c r="C6114" s="4" t="str">
        <f t="shared" si="481"/>
        <v>Quảng Trị</v>
      </c>
      <c r="D6114" s="3" t="s">
        <v>402</v>
      </c>
      <c r="E6114" s="4" t="str">
        <f t="shared" si="483"/>
        <v>Huyện Vĩnh Linh</v>
      </c>
      <c r="F6114" s="3" t="s">
        <v>6877</v>
      </c>
      <c r="G6114" s="4" t="str">
        <f>HYPERLINK("https://diaocthongthai.com/xa-vinh-son-vinh-linh/","Xã Vĩnh Sơn")</f>
        <v>Xã Vĩnh Sơn</v>
      </c>
    </row>
    <row r="6115" spans="1:7" x14ac:dyDescent="0.25">
      <c r="A6115" s="2">
        <v>6114</v>
      </c>
      <c r="B6115" s="3" t="s">
        <v>32</v>
      </c>
      <c r="C6115" s="4" t="str">
        <f t="shared" si="481"/>
        <v>Quảng Trị</v>
      </c>
      <c r="D6115" s="3" t="s">
        <v>402</v>
      </c>
      <c r="E6115" s="4" t="str">
        <f t="shared" si="483"/>
        <v>Huyện Vĩnh Linh</v>
      </c>
      <c r="F6115" s="3" t="s">
        <v>6878</v>
      </c>
      <c r="G6115" s="4" t="str">
        <f>HYPERLINK("https://diaocthongthai.com/xa-vinh-giang-vinh-linh/","Xã Vĩnh Giang")</f>
        <v>Xã Vĩnh Giang</v>
      </c>
    </row>
    <row r="6116" spans="1:7" x14ac:dyDescent="0.25">
      <c r="A6116" s="2">
        <v>6115</v>
      </c>
      <c r="B6116" s="3" t="s">
        <v>32</v>
      </c>
      <c r="C6116" s="4" t="str">
        <f t="shared" si="481"/>
        <v>Quảng Trị</v>
      </c>
      <c r="D6116" s="3" t="s">
        <v>402</v>
      </c>
      <c r="E6116" s="4" t="str">
        <f t="shared" si="483"/>
        <v>Huyện Vĩnh Linh</v>
      </c>
      <c r="F6116" s="3" t="s">
        <v>6879</v>
      </c>
      <c r="G6116" s="4" t="str">
        <f>HYPERLINK("https://diaocthongthai.com/xa-vinh-o-vinh-linh/","Xã Vĩnh Ô")</f>
        <v>Xã Vĩnh Ô</v>
      </c>
    </row>
    <row r="6117" spans="1:7" x14ac:dyDescent="0.25">
      <c r="A6117" s="2">
        <v>6116</v>
      </c>
      <c r="B6117" s="3" t="s">
        <v>32</v>
      </c>
      <c r="C6117" s="4" t="str">
        <f t="shared" ref="C6117:C6148" si="484">HYPERLINK("https://diaocthongthai.com/ban-do-quang-tri/","Quảng Trị")</f>
        <v>Quảng Trị</v>
      </c>
      <c r="D6117" s="3" t="s">
        <v>403</v>
      </c>
      <c r="E6117" s="4" t="str">
        <f t="shared" ref="E6117:E6137" si="485">HYPERLINK("https://diaocthongthai.com/ban-do-huyen-huong-hoa-quang-tri/","Huyện Hướng Hóa")</f>
        <v>Huyện Hướng Hóa</v>
      </c>
      <c r="F6117" s="3" t="s">
        <v>6880</v>
      </c>
      <c r="G6117" s="4" t="str">
        <f>HYPERLINK("https://diaocthongthai.com/thi-tran-khe-sanh-huong-hoa/","Thị trấn Khe Sanh")</f>
        <v>Thị trấn Khe Sanh</v>
      </c>
    </row>
    <row r="6118" spans="1:7" x14ac:dyDescent="0.25">
      <c r="A6118" s="2">
        <v>6117</v>
      </c>
      <c r="B6118" s="3" t="s">
        <v>32</v>
      </c>
      <c r="C6118" s="4" t="str">
        <f t="shared" si="484"/>
        <v>Quảng Trị</v>
      </c>
      <c r="D6118" s="3" t="s">
        <v>403</v>
      </c>
      <c r="E6118" s="4" t="str">
        <f t="shared" si="485"/>
        <v>Huyện Hướng Hóa</v>
      </c>
      <c r="F6118" s="3" t="s">
        <v>6881</v>
      </c>
      <c r="G6118" s="4" t="str">
        <f>HYPERLINK("https://diaocthongthai.com/thi-tran-lao-bao-huong-hoa/","Thị trấn Lao Bảo")</f>
        <v>Thị trấn Lao Bảo</v>
      </c>
    </row>
    <row r="6119" spans="1:7" x14ac:dyDescent="0.25">
      <c r="A6119" s="2">
        <v>6118</v>
      </c>
      <c r="B6119" s="3" t="s">
        <v>32</v>
      </c>
      <c r="C6119" s="4" t="str">
        <f t="shared" si="484"/>
        <v>Quảng Trị</v>
      </c>
      <c r="D6119" s="3" t="s">
        <v>403</v>
      </c>
      <c r="E6119" s="4" t="str">
        <f t="shared" si="485"/>
        <v>Huyện Hướng Hóa</v>
      </c>
      <c r="F6119" s="3" t="s">
        <v>6882</v>
      </c>
      <c r="G6119" s="4" t="str">
        <f>HYPERLINK("https://diaocthongthai.com/xa-huong-lap-huong-hoa/","Xã Hướng Lập")</f>
        <v>Xã Hướng Lập</v>
      </c>
    </row>
    <row r="6120" spans="1:7" x14ac:dyDescent="0.25">
      <c r="A6120" s="2">
        <v>6119</v>
      </c>
      <c r="B6120" s="3" t="s">
        <v>32</v>
      </c>
      <c r="C6120" s="4" t="str">
        <f t="shared" si="484"/>
        <v>Quảng Trị</v>
      </c>
      <c r="D6120" s="3" t="s">
        <v>403</v>
      </c>
      <c r="E6120" s="4" t="str">
        <f t="shared" si="485"/>
        <v>Huyện Hướng Hóa</v>
      </c>
      <c r="F6120" s="3" t="s">
        <v>6883</v>
      </c>
      <c r="G6120" s="4" t="str">
        <f>HYPERLINK("https://diaocthongthai.com/xa-huong-viet-huong-hoa/","Xã Hướng Việt")</f>
        <v>Xã Hướng Việt</v>
      </c>
    </row>
    <row r="6121" spans="1:7" x14ac:dyDescent="0.25">
      <c r="A6121" s="2">
        <v>6120</v>
      </c>
      <c r="B6121" s="3" t="s">
        <v>32</v>
      </c>
      <c r="C6121" s="4" t="str">
        <f t="shared" si="484"/>
        <v>Quảng Trị</v>
      </c>
      <c r="D6121" s="3" t="s">
        <v>403</v>
      </c>
      <c r="E6121" s="4" t="str">
        <f t="shared" si="485"/>
        <v>Huyện Hướng Hóa</v>
      </c>
      <c r="F6121" s="3" t="s">
        <v>6884</v>
      </c>
      <c r="G6121" s="4" t="str">
        <f>HYPERLINK("https://diaocthongthai.com/xa-huong-phung-huong-hoa/","Xã Hướng Phùng")</f>
        <v>Xã Hướng Phùng</v>
      </c>
    </row>
    <row r="6122" spans="1:7" x14ac:dyDescent="0.25">
      <c r="A6122" s="2">
        <v>6121</v>
      </c>
      <c r="B6122" s="3" t="s">
        <v>32</v>
      </c>
      <c r="C6122" s="4" t="str">
        <f t="shared" si="484"/>
        <v>Quảng Trị</v>
      </c>
      <c r="D6122" s="3" t="s">
        <v>403</v>
      </c>
      <c r="E6122" s="4" t="str">
        <f t="shared" si="485"/>
        <v>Huyện Hướng Hóa</v>
      </c>
      <c r="F6122" s="3" t="s">
        <v>6885</v>
      </c>
      <c r="G6122" s="4" t="str">
        <f>HYPERLINK("https://diaocthongthai.com/xa-huong-son-huong-hoa/","Xã Hướng Sơn")</f>
        <v>Xã Hướng Sơn</v>
      </c>
    </row>
    <row r="6123" spans="1:7" x14ac:dyDescent="0.25">
      <c r="A6123" s="2">
        <v>6122</v>
      </c>
      <c r="B6123" s="3" t="s">
        <v>32</v>
      </c>
      <c r="C6123" s="4" t="str">
        <f t="shared" si="484"/>
        <v>Quảng Trị</v>
      </c>
      <c r="D6123" s="3" t="s">
        <v>403</v>
      </c>
      <c r="E6123" s="4" t="str">
        <f t="shared" si="485"/>
        <v>Huyện Hướng Hóa</v>
      </c>
      <c r="F6123" s="3" t="s">
        <v>6886</v>
      </c>
      <c r="G6123" s="4" t="str">
        <f>HYPERLINK("https://diaocthongthai.com/xa-huong-linh-huong-hoa/","Xã Hướng Linh")</f>
        <v>Xã Hướng Linh</v>
      </c>
    </row>
    <row r="6124" spans="1:7" x14ac:dyDescent="0.25">
      <c r="A6124" s="2">
        <v>6123</v>
      </c>
      <c r="B6124" s="3" t="s">
        <v>32</v>
      </c>
      <c r="C6124" s="4" t="str">
        <f t="shared" si="484"/>
        <v>Quảng Trị</v>
      </c>
      <c r="D6124" s="3" t="s">
        <v>403</v>
      </c>
      <c r="E6124" s="4" t="str">
        <f t="shared" si="485"/>
        <v>Huyện Hướng Hóa</v>
      </c>
      <c r="F6124" s="3" t="s">
        <v>6887</v>
      </c>
      <c r="G6124" s="4" t="str">
        <f>HYPERLINK("https://diaocthongthai.com/xa-tan-hop-huong-hoa/","Xã Tân Hợp")</f>
        <v>Xã Tân Hợp</v>
      </c>
    </row>
    <row r="6125" spans="1:7" x14ac:dyDescent="0.25">
      <c r="A6125" s="2">
        <v>6124</v>
      </c>
      <c r="B6125" s="3" t="s">
        <v>32</v>
      </c>
      <c r="C6125" s="4" t="str">
        <f t="shared" si="484"/>
        <v>Quảng Trị</v>
      </c>
      <c r="D6125" s="3" t="s">
        <v>403</v>
      </c>
      <c r="E6125" s="4" t="str">
        <f t="shared" si="485"/>
        <v>Huyện Hướng Hóa</v>
      </c>
      <c r="F6125" s="3" t="s">
        <v>6888</v>
      </c>
      <c r="G6125" s="4" t="str">
        <f>HYPERLINK("https://diaocthongthai.com/xa-huong-tan-huong-hoa/","Xã Hướng Tân")</f>
        <v>Xã Hướng Tân</v>
      </c>
    </row>
    <row r="6126" spans="1:7" x14ac:dyDescent="0.25">
      <c r="A6126" s="2">
        <v>6125</v>
      </c>
      <c r="B6126" s="3" t="s">
        <v>32</v>
      </c>
      <c r="C6126" s="4" t="str">
        <f t="shared" si="484"/>
        <v>Quảng Trị</v>
      </c>
      <c r="D6126" s="3" t="s">
        <v>403</v>
      </c>
      <c r="E6126" s="4" t="str">
        <f t="shared" si="485"/>
        <v>Huyện Hướng Hóa</v>
      </c>
      <c r="F6126" s="3" t="s">
        <v>6889</v>
      </c>
      <c r="G6126" s="4" t="str">
        <f>HYPERLINK("https://diaocthongthai.com/xa-tan-thanh-huong-hoa/","Xã Tân Thành")</f>
        <v>Xã Tân Thành</v>
      </c>
    </row>
    <row r="6127" spans="1:7" x14ac:dyDescent="0.25">
      <c r="A6127" s="2">
        <v>6126</v>
      </c>
      <c r="B6127" s="3" t="s">
        <v>32</v>
      </c>
      <c r="C6127" s="4" t="str">
        <f t="shared" si="484"/>
        <v>Quảng Trị</v>
      </c>
      <c r="D6127" s="3" t="s">
        <v>403</v>
      </c>
      <c r="E6127" s="4" t="str">
        <f t="shared" si="485"/>
        <v>Huyện Hướng Hóa</v>
      </c>
      <c r="F6127" s="3" t="s">
        <v>6890</v>
      </c>
      <c r="G6127" s="4" t="str">
        <f>HYPERLINK("https://diaocthongthai.com/xa-tan-long-huong-hoa/","Xã Tân Long")</f>
        <v>Xã Tân Long</v>
      </c>
    </row>
    <row r="6128" spans="1:7" x14ac:dyDescent="0.25">
      <c r="A6128" s="2">
        <v>6127</v>
      </c>
      <c r="B6128" s="3" t="s">
        <v>32</v>
      </c>
      <c r="C6128" s="4" t="str">
        <f t="shared" si="484"/>
        <v>Quảng Trị</v>
      </c>
      <c r="D6128" s="3" t="s">
        <v>403</v>
      </c>
      <c r="E6128" s="4" t="str">
        <f t="shared" si="485"/>
        <v>Huyện Hướng Hóa</v>
      </c>
      <c r="F6128" s="3" t="s">
        <v>6891</v>
      </c>
      <c r="G6128" s="4" t="str">
        <f>HYPERLINK("https://diaocthongthai.com/xa-tan-lap-huong-hoa/","Xã Tân Lập")</f>
        <v>Xã Tân Lập</v>
      </c>
    </row>
    <row r="6129" spans="1:7" x14ac:dyDescent="0.25">
      <c r="A6129" s="2">
        <v>6128</v>
      </c>
      <c r="B6129" s="3" t="s">
        <v>32</v>
      </c>
      <c r="C6129" s="4" t="str">
        <f t="shared" si="484"/>
        <v>Quảng Trị</v>
      </c>
      <c r="D6129" s="3" t="s">
        <v>403</v>
      </c>
      <c r="E6129" s="4" t="str">
        <f t="shared" si="485"/>
        <v>Huyện Hướng Hóa</v>
      </c>
      <c r="F6129" s="3" t="s">
        <v>6892</v>
      </c>
      <c r="G6129" s="4" t="str">
        <f>HYPERLINK("https://diaocthongthai.com/xa-tan-lien-huong-hoa/","Xã Tân Liên")</f>
        <v>Xã Tân Liên</v>
      </c>
    </row>
    <row r="6130" spans="1:7" x14ac:dyDescent="0.25">
      <c r="A6130" s="2">
        <v>6129</v>
      </c>
      <c r="B6130" s="3" t="s">
        <v>32</v>
      </c>
      <c r="C6130" s="4" t="str">
        <f t="shared" si="484"/>
        <v>Quảng Trị</v>
      </c>
      <c r="D6130" s="3" t="s">
        <v>403</v>
      </c>
      <c r="E6130" s="4" t="str">
        <f t="shared" si="485"/>
        <v>Huyện Hướng Hóa</v>
      </c>
      <c r="F6130" s="3" t="s">
        <v>6893</v>
      </c>
      <c r="G6130" s="4" t="str">
        <f>HYPERLINK("https://diaocthongthai.com/xa-huc-huong-hoa/","Xã Húc")</f>
        <v>Xã Húc</v>
      </c>
    </row>
    <row r="6131" spans="1:7" x14ac:dyDescent="0.25">
      <c r="A6131" s="2">
        <v>6130</v>
      </c>
      <c r="B6131" s="3" t="s">
        <v>32</v>
      </c>
      <c r="C6131" s="4" t="str">
        <f t="shared" si="484"/>
        <v>Quảng Trị</v>
      </c>
      <c r="D6131" s="3" t="s">
        <v>403</v>
      </c>
      <c r="E6131" s="4" t="str">
        <f t="shared" si="485"/>
        <v>Huyện Hướng Hóa</v>
      </c>
      <c r="F6131" s="3" t="s">
        <v>6894</v>
      </c>
      <c r="G6131" s="4" t="str">
        <f>HYPERLINK("https://diaocthongthai.com/xa-thuan-huong-hoa/","Xã Thuận")</f>
        <v>Xã Thuận</v>
      </c>
    </row>
    <row r="6132" spans="1:7" x14ac:dyDescent="0.25">
      <c r="A6132" s="2">
        <v>6131</v>
      </c>
      <c r="B6132" s="3" t="s">
        <v>32</v>
      </c>
      <c r="C6132" s="4" t="str">
        <f t="shared" si="484"/>
        <v>Quảng Trị</v>
      </c>
      <c r="D6132" s="3" t="s">
        <v>403</v>
      </c>
      <c r="E6132" s="4" t="str">
        <f t="shared" si="485"/>
        <v>Huyện Hướng Hóa</v>
      </c>
      <c r="F6132" s="3" t="s">
        <v>6895</v>
      </c>
      <c r="G6132" s="4" t="str">
        <f>HYPERLINK("https://diaocthongthai.com/xa-huong-loc-huong-hoa/","Xã Hướng Lộc")</f>
        <v>Xã Hướng Lộc</v>
      </c>
    </row>
    <row r="6133" spans="1:7" x14ac:dyDescent="0.25">
      <c r="A6133" s="2">
        <v>6132</v>
      </c>
      <c r="B6133" s="3" t="s">
        <v>32</v>
      </c>
      <c r="C6133" s="4" t="str">
        <f t="shared" si="484"/>
        <v>Quảng Trị</v>
      </c>
      <c r="D6133" s="3" t="s">
        <v>403</v>
      </c>
      <c r="E6133" s="4" t="str">
        <f t="shared" si="485"/>
        <v>Huyện Hướng Hóa</v>
      </c>
      <c r="F6133" s="3" t="s">
        <v>6896</v>
      </c>
      <c r="G6133" s="4" t="str">
        <f>HYPERLINK("https://diaocthongthai.com/xa-ba-tang-huong-hoa/","Xã Ba Tầng")</f>
        <v>Xã Ba Tầng</v>
      </c>
    </row>
    <row r="6134" spans="1:7" x14ac:dyDescent="0.25">
      <c r="A6134" s="2">
        <v>6133</v>
      </c>
      <c r="B6134" s="3" t="s">
        <v>32</v>
      </c>
      <c r="C6134" s="4" t="str">
        <f t="shared" si="484"/>
        <v>Quảng Trị</v>
      </c>
      <c r="D6134" s="3" t="s">
        <v>403</v>
      </c>
      <c r="E6134" s="4" t="str">
        <f t="shared" si="485"/>
        <v>Huyện Hướng Hóa</v>
      </c>
      <c r="F6134" s="3" t="s">
        <v>6897</v>
      </c>
      <c r="G6134" s="4" t="str">
        <f>HYPERLINK("https://diaocthongthai.com/xa-thanh-huong-hoa/","Xã Thanh")</f>
        <v>Xã Thanh</v>
      </c>
    </row>
    <row r="6135" spans="1:7" x14ac:dyDescent="0.25">
      <c r="A6135" s="2">
        <v>6134</v>
      </c>
      <c r="B6135" s="3" t="s">
        <v>32</v>
      </c>
      <c r="C6135" s="4" t="str">
        <f t="shared" si="484"/>
        <v>Quảng Trị</v>
      </c>
      <c r="D6135" s="3" t="s">
        <v>403</v>
      </c>
      <c r="E6135" s="4" t="str">
        <f t="shared" si="485"/>
        <v>Huyện Hướng Hóa</v>
      </c>
      <c r="F6135" s="3" t="s">
        <v>6898</v>
      </c>
      <c r="G6135" s="4" t="str">
        <f>HYPERLINK("https://diaocthongthai.com/xa-a-doi-huong-hoa/","Xã  A Dơi")</f>
        <v>Xã  A Dơi</v>
      </c>
    </row>
    <row r="6136" spans="1:7" x14ac:dyDescent="0.25">
      <c r="A6136" s="2">
        <v>6135</v>
      </c>
      <c r="B6136" s="3" t="s">
        <v>32</v>
      </c>
      <c r="C6136" s="4" t="str">
        <f t="shared" si="484"/>
        <v>Quảng Trị</v>
      </c>
      <c r="D6136" s="3" t="s">
        <v>403</v>
      </c>
      <c r="E6136" s="4" t="str">
        <f t="shared" si="485"/>
        <v>Huyện Hướng Hóa</v>
      </c>
      <c r="F6136" s="3" t="s">
        <v>6899</v>
      </c>
      <c r="G6136" s="4" t="str">
        <f>HYPERLINK("https://diaocthongthai.com/xa-lia-huong-hoa/","Xã Lìa")</f>
        <v>Xã Lìa</v>
      </c>
    </row>
    <row r="6137" spans="1:7" x14ac:dyDescent="0.25">
      <c r="A6137" s="2">
        <v>6136</v>
      </c>
      <c r="B6137" s="3" t="s">
        <v>32</v>
      </c>
      <c r="C6137" s="4" t="str">
        <f t="shared" si="484"/>
        <v>Quảng Trị</v>
      </c>
      <c r="D6137" s="3" t="s">
        <v>403</v>
      </c>
      <c r="E6137" s="4" t="str">
        <f t="shared" si="485"/>
        <v>Huyện Hướng Hóa</v>
      </c>
      <c r="F6137" s="3" t="s">
        <v>6900</v>
      </c>
      <c r="G6137" s="4" t="str">
        <f>HYPERLINK("https://diaocthongthai.com/xa-xy-huong-hoa/","Xã Xy")</f>
        <v>Xã Xy</v>
      </c>
    </row>
    <row r="6138" spans="1:7" x14ac:dyDescent="0.25">
      <c r="A6138" s="2">
        <v>6137</v>
      </c>
      <c r="B6138" s="3" t="s">
        <v>32</v>
      </c>
      <c r="C6138" s="4" t="str">
        <f t="shared" si="484"/>
        <v>Quảng Trị</v>
      </c>
      <c r="D6138" s="3" t="s">
        <v>404</v>
      </c>
      <c r="E6138" s="4" t="str">
        <f t="shared" ref="E6138:E6154" si="486">HYPERLINK("https://diaocthongthai.com/ban-do-huyen-gio-linh-quang-tri/","Huyện Gio Linh")</f>
        <v>Huyện Gio Linh</v>
      </c>
      <c r="F6138" s="3" t="s">
        <v>6901</v>
      </c>
      <c r="G6138" s="4" t="str">
        <f>HYPERLINK("https://diaocthongthai.com/thi-tran-gio-linh-gio-linh/","Thị trấn Gio Linh")</f>
        <v>Thị trấn Gio Linh</v>
      </c>
    </row>
    <row r="6139" spans="1:7" x14ac:dyDescent="0.25">
      <c r="A6139" s="2">
        <v>6138</v>
      </c>
      <c r="B6139" s="3" t="s">
        <v>32</v>
      </c>
      <c r="C6139" s="4" t="str">
        <f t="shared" si="484"/>
        <v>Quảng Trị</v>
      </c>
      <c r="D6139" s="3" t="s">
        <v>404</v>
      </c>
      <c r="E6139" s="4" t="str">
        <f t="shared" si="486"/>
        <v>Huyện Gio Linh</v>
      </c>
      <c r="F6139" s="3" t="s">
        <v>6902</v>
      </c>
      <c r="G6139" s="4" t="str">
        <f>HYPERLINK("https://diaocthongthai.com/thi-tran-cua-viet-gio-linh/","Thị trấn Cửa Việt")</f>
        <v>Thị trấn Cửa Việt</v>
      </c>
    </row>
    <row r="6140" spans="1:7" x14ac:dyDescent="0.25">
      <c r="A6140" s="2">
        <v>6139</v>
      </c>
      <c r="B6140" s="3" t="s">
        <v>32</v>
      </c>
      <c r="C6140" s="4" t="str">
        <f t="shared" si="484"/>
        <v>Quảng Trị</v>
      </c>
      <c r="D6140" s="3" t="s">
        <v>404</v>
      </c>
      <c r="E6140" s="4" t="str">
        <f t="shared" si="486"/>
        <v>Huyện Gio Linh</v>
      </c>
      <c r="F6140" s="3" t="s">
        <v>6903</v>
      </c>
      <c r="G6140" s="4" t="str">
        <f>HYPERLINK("https://diaocthongthai.com/xa-trung-giang-gio-linh/","Xã Trung Giang")</f>
        <v>Xã Trung Giang</v>
      </c>
    </row>
    <row r="6141" spans="1:7" x14ac:dyDescent="0.25">
      <c r="A6141" s="2">
        <v>6140</v>
      </c>
      <c r="B6141" s="3" t="s">
        <v>32</v>
      </c>
      <c r="C6141" s="4" t="str">
        <f t="shared" si="484"/>
        <v>Quảng Trị</v>
      </c>
      <c r="D6141" s="3" t="s">
        <v>404</v>
      </c>
      <c r="E6141" s="4" t="str">
        <f t="shared" si="486"/>
        <v>Huyện Gio Linh</v>
      </c>
      <c r="F6141" s="3" t="s">
        <v>6904</v>
      </c>
      <c r="G6141" s="4" t="str">
        <f>HYPERLINK("https://diaocthongthai.com/xa-trung-hai-gio-linh/","Xã Trung Hải")</f>
        <v>Xã Trung Hải</v>
      </c>
    </row>
    <row r="6142" spans="1:7" x14ac:dyDescent="0.25">
      <c r="A6142" s="2">
        <v>6141</v>
      </c>
      <c r="B6142" s="3" t="s">
        <v>32</v>
      </c>
      <c r="C6142" s="4" t="str">
        <f t="shared" si="484"/>
        <v>Quảng Trị</v>
      </c>
      <c r="D6142" s="3" t="s">
        <v>404</v>
      </c>
      <c r="E6142" s="4" t="str">
        <f t="shared" si="486"/>
        <v>Huyện Gio Linh</v>
      </c>
      <c r="F6142" s="3" t="s">
        <v>6905</v>
      </c>
      <c r="G6142" s="4" t="str">
        <f>HYPERLINK("https://diaocthongthai.com/xa-trung-son-gio-linh/","Xã Trung Sơn")</f>
        <v>Xã Trung Sơn</v>
      </c>
    </row>
    <row r="6143" spans="1:7" x14ac:dyDescent="0.25">
      <c r="A6143" s="2">
        <v>6142</v>
      </c>
      <c r="B6143" s="3" t="s">
        <v>32</v>
      </c>
      <c r="C6143" s="4" t="str">
        <f t="shared" si="484"/>
        <v>Quảng Trị</v>
      </c>
      <c r="D6143" s="3" t="s">
        <v>404</v>
      </c>
      <c r="E6143" s="4" t="str">
        <f t="shared" si="486"/>
        <v>Huyện Gio Linh</v>
      </c>
      <c r="F6143" s="3" t="s">
        <v>6906</v>
      </c>
      <c r="G6143" s="4" t="str">
        <f>HYPERLINK("https://diaocthongthai.com/xa-phong-binh-gio-linh/","Xã Phong Bình")</f>
        <v>Xã Phong Bình</v>
      </c>
    </row>
    <row r="6144" spans="1:7" x14ac:dyDescent="0.25">
      <c r="A6144" s="2">
        <v>6143</v>
      </c>
      <c r="B6144" s="3" t="s">
        <v>32</v>
      </c>
      <c r="C6144" s="4" t="str">
        <f t="shared" si="484"/>
        <v>Quảng Trị</v>
      </c>
      <c r="D6144" s="3" t="s">
        <v>404</v>
      </c>
      <c r="E6144" s="4" t="str">
        <f t="shared" si="486"/>
        <v>Huyện Gio Linh</v>
      </c>
      <c r="F6144" s="3" t="s">
        <v>6907</v>
      </c>
      <c r="G6144" s="4" t="str">
        <f>HYPERLINK("https://diaocthongthai.com/xa-gio-my-gio-linh/","Xã Gio Mỹ")</f>
        <v>Xã Gio Mỹ</v>
      </c>
    </row>
    <row r="6145" spans="1:7" x14ac:dyDescent="0.25">
      <c r="A6145" s="2">
        <v>6144</v>
      </c>
      <c r="B6145" s="3" t="s">
        <v>32</v>
      </c>
      <c r="C6145" s="4" t="str">
        <f t="shared" si="484"/>
        <v>Quảng Trị</v>
      </c>
      <c r="D6145" s="3" t="s">
        <v>404</v>
      </c>
      <c r="E6145" s="4" t="str">
        <f t="shared" si="486"/>
        <v>Huyện Gio Linh</v>
      </c>
      <c r="F6145" s="3" t="s">
        <v>6908</v>
      </c>
      <c r="G6145" s="4" t="str">
        <f>HYPERLINK("https://diaocthongthai.com/xa-gio-hai-gio-linh/","Xã Gio Hải")</f>
        <v>Xã Gio Hải</v>
      </c>
    </row>
    <row r="6146" spans="1:7" x14ac:dyDescent="0.25">
      <c r="A6146" s="2">
        <v>6145</v>
      </c>
      <c r="B6146" s="3" t="s">
        <v>32</v>
      </c>
      <c r="C6146" s="4" t="str">
        <f t="shared" si="484"/>
        <v>Quảng Trị</v>
      </c>
      <c r="D6146" s="3" t="s">
        <v>404</v>
      </c>
      <c r="E6146" s="4" t="str">
        <f t="shared" si="486"/>
        <v>Huyện Gio Linh</v>
      </c>
      <c r="F6146" s="3" t="s">
        <v>6909</v>
      </c>
      <c r="G6146" s="4" t="str">
        <f>HYPERLINK("https://diaocthongthai.com/xa-gio-an-gio-linh/","Xã Gio An")</f>
        <v>Xã Gio An</v>
      </c>
    </row>
    <row r="6147" spans="1:7" x14ac:dyDescent="0.25">
      <c r="A6147" s="2">
        <v>6146</v>
      </c>
      <c r="B6147" s="3" t="s">
        <v>32</v>
      </c>
      <c r="C6147" s="4" t="str">
        <f t="shared" si="484"/>
        <v>Quảng Trị</v>
      </c>
      <c r="D6147" s="3" t="s">
        <v>404</v>
      </c>
      <c r="E6147" s="4" t="str">
        <f t="shared" si="486"/>
        <v>Huyện Gio Linh</v>
      </c>
      <c r="F6147" s="3" t="s">
        <v>6910</v>
      </c>
      <c r="G6147" s="4" t="str">
        <f>HYPERLINK("https://diaocthongthai.com/xa-gio-chau-gio-linh/","Xã Gio Châu")</f>
        <v>Xã Gio Châu</v>
      </c>
    </row>
    <row r="6148" spans="1:7" x14ac:dyDescent="0.25">
      <c r="A6148" s="2">
        <v>6147</v>
      </c>
      <c r="B6148" s="3" t="s">
        <v>32</v>
      </c>
      <c r="C6148" s="4" t="str">
        <f t="shared" si="484"/>
        <v>Quảng Trị</v>
      </c>
      <c r="D6148" s="3" t="s">
        <v>404</v>
      </c>
      <c r="E6148" s="4" t="str">
        <f t="shared" si="486"/>
        <v>Huyện Gio Linh</v>
      </c>
      <c r="F6148" s="3" t="s">
        <v>6911</v>
      </c>
      <c r="G6148" s="4" t="str">
        <f>HYPERLINK("https://diaocthongthai.com/xa-gio-viet-gio-linh/","Xã Gio Việt")</f>
        <v>Xã Gio Việt</v>
      </c>
    </row>
    <row r="6149" spans="1:7" x14ac:dyDescent="0.25">
      <c r="A6149" s="2">
        <v>6148</v>
      </c>
      <c r="B6149" s="3" t="s">
        <v>32</v>
      </c>
      <c r="C6149" s="4" t="str">
        <f t="shared" ref="C6149:C6180" si="487">HYPERLINK("https://diaocthongthai.com/ban-do-quang-tri/","Quảng Trị")</f>
        <v>Quảng Trị</v>
      </c>
      <c r="D6149" s="3" t="s">
        <v>404</v>
      </c>
      <c r="E6149" s="4" t="str">
        <f t="shared" si="486"/>
        <v>Huyện Gio Linh</v>
      </c>
      <c r="F6149" s="3" t="s">
        <v>6912</v>
      </c>
      <c r="G6149" s="4" t="str">
        <f>HYPERLINK("https://diaocthongthai.com/xa-linh-truong-gio-linh/","Xã Linh Trường")</f>
        <v>Xã Linh Trường</v>
      </c>
    </row>
    <row r="6150" spans="1:7" x14ac:dyDescent="0.25">
      <c r="A6150" s="2">
        <v>6149</v>
      </c>
      <c r="B6150" s="3" t="s">
        <v>32</v>
      </c>
      <c r="C6150" s="4" t="str">
        <f t="shared" si="487"/>
        <v>Quảng Trị</v>
      </c>
      <c r="D6150" s="3" t="s">
        <v>404</v>
      </c>
      <c r="E6150" s="4" t="str">
        <f t="shared" si="486"/>
        <v>Huyện Gio Linh</v>
      </c>
      <c r="F6150" s="3" t="s">
        <v>6913</v>
      </c>
      <c r="G6150" s="4" t="str">
        <f>HYPERLINK("https://diaocthongthai.com/xa-gio-son-gio-linh/","Xã Gio Sơn")</f>
        <v>Xã Gio Sơn</v>
      </c>
    </row>
    <row r="6151" spans="1:7" x14ac:dyDescent="0.25">
      <c r="A6151" s="2">
        <v>6150</v>
      </c>
      <c r="B6151" s="3" t="s">
        <v>32</v>
      </c>
      <c r="C6151" s="4" t="str">
        <f t="shared" si="487"/>
        <v>Quảng Trị</v>
      </c>
      <c r="D6151" s="3" t="s">
        <v>404</v>
      </c>
      <c r="E6151" s="4" t="str">
        <f t="shared" si="486"/>
        <v>Huyện Gio Linh</v>
      </c>
      <c r="F6151" s="3" t="s">
        <v>6914</v>
      </c>
      <c r="G6151" s="4" t="str">
        <f>HYPERLINK("https://diaocthongthai.com/xa-gio-mai-gio-linh/","Xã Gio Mai")</f>
        <v>Xã Gio Mai</v>
      </c>
    </row>
    <row r="6152" spans="1:7" x14ac:dyDescent="0.25">
      <c r="A6152" s="2">
        <v>6151</v>
      </c>
      <c r="B6152" s="3" t="s">
        <v>32</v>
      </c>
      <c r="C6152" s="4" t="str">
        <f t="shared" si="487"/>
        <v>Quảng Trị</v>
      </c>
      <c r="D6152" s="3" t="s">
        <v>404</v>
      </c>
      <c r="E6152" s="4" t="str">
        <f t="shared" si="486"/>
        <v>Huyện Gio Linh</v>
      </c>
      <c r="F6152" s="3" t="s">
        <v>6915</v>
      </c>
      <c r="G6152" s="4" t="str">
        <f>HYPERLINK("https://diaocthongthai.com/xa-hai-thai-gio-linh/","Xã Hải Thái")</f>
        <v>Xã Hải Thái</v>
      </c>
    </row>
    <row r="6153" spans="1:7" x14ac:dyDescent="0.25">
      <c r="A6153" s="2">
        <v>6152</v>
      </c>
      <c r="B6153" s="3" t="s">
        <v>32</v>
      </c>
      <c r="C6153" s="4" t="str">
        <f t="shared" si="487"/>
        <v>Quảng Trị</v>
      </c>
      <c r="D6153" s="3" t="s">
        <v>404</v>
      </c>
      <c r="E6153" s="4" t="str">
        <f t="shared" si="486"/>
        <v>Huyện Gio Linh</v>
      </c>
      <c r="F6153" s="3" t="s">
        <v>6916</v>
      </c>
      <c r="G6153" s="4" t="str">
        <f>HYPERLINK("https://diaocthongthai.com/xa-linh-hai-gio-linh/","Xã Linh Hải")</f>
        <v>Xã Linh Hải</v>
      </c>
    </row>
    <row r="6154" spans="1:7" x14ac:dyDescent="0.25">
      <c r="A6154" s="2">
        <v>6153</v>
      </c>
      <c r="B6154" s="3" t="s">
        <v>32</v>
      </c>
      <c r="C6154" s="4" t="str">
        <f t="shared" si="487"/>
        <v>Quảng Trị</v>
      </c>
      <c r="D6154" s="3" t="s">
        <v>404</v>
      </c>
      <c r="E6154" s="4" t="str">
        <f t="shared" si="486"/>
        <v>Huyện Gio Linh</v>
      </c>
      <c r="F6154" s="3" t="s">
        <v>6917</v>
      </c>
      <c r="G6154" s="4" t="str">
        <f>HYPERLINK("https://diaocthongthai.com/xa-gio-quang-gio-linh/","Xã Gio Quang")</f>
        <v>Xã Gio Quang</v>
      </c>
    </row>
    <row r="6155" spans="1:7" x14ac:dyDescent="0.25">
      <c r="A6155" s="2">
        <v>6154</v>
      </c>
      <c r="B6155" s="3" t="s">
        <v>32</v>
      </c>
      <c r="C6155" s="4" t="str">
        <f t="shared" si="487"/>
        <v>Quảng Trị</v>
      </c>
      <c r="D6155" s="3" t="s">
        <v>405</v>
      </c>
      <c r="E6155" s="4" t="str">
        <f t="shared" ref="E6155:E6167" si="488">HYPERLINK("https://diaocthongthai.com/ban-do-huyen-da-krong-quang-tri/","Huyện Đa Krông")</f>
        <v>Huyện Đa Krông</v>
      </c>
      <c r="F6155" s="3" t="s">
        <v>6918</v>
      </c>
      <c r="G6155" s="4" t="str">
        <f>HYPERLINK("https://diaocthongthai.com/thi-tran-krong-klang-dakrong/","Thị trấn Krông Klang")</f>
        <v>Thị trấn Krông Klang</v>
      </c>
    </row>
    <row r="6156" spans="1:7" x14ac:dyDescent="0.25">
      <c r="A6156" s="2">
        <v>6155</v>
      </c>
      <c r="B6156" s="3" t="s">
        <v>32</v>
      </c>
      <c r="C6156" s="4" t="str">
        <f t="shared" si="487"/>
        <v>Quảng Trị</v>
      </c>
      <c r="D6156" s="3" t="s">
        <v>405</v>
      </c>
      <c r="E6156" s="4" t="str">
        <f t="shared" si="488"/>
        <v>Huyện Đa Krông</v>
      </c>
      <c r="F6156" s="3" t="s">
        <v>6919</v>
      </c>
      <c r="G6156" s="4" t="str">
        <f>HYPERLINK("https://diaocthongthai.com/xa-mo-o-dakrong/","Xã Mò Ó")</f>
        <v>Xã Mò Ó</v>
      </c>
    </row>
    <row r="6157" spans="1:7" x14ac:dyDescent="0.25">
      <c r="A6157" s="2">
        <v>6156</v>
      </c>
      <c r="B6157" s="3" t="s">
        <v>32</v>
      </c>
      <c r="C6157" s="4" t="str">
        <f t="shared" si="487"/>
        <v>Quảng Trị</v>
      </c>
      <c r="D6157" s="3" t="s">
        <v>405</v>
      </c>
      <c r="E6157" s="4" t="str">
        <f t="shared" si="488"/>
        <v>Huyện Đa Krông</v>
      </c>
      <c r="F6157" s="3" t="s">
        <v>6920</v>
      </c>
      <c r="G6157" s="4" t="str">
        <f>HYPERLINK("https://diaocthongthai.com/xa-huong-hiep-dakrong/","Xã Hướng Hiệp")</f>
        <v>Xã Hướng Hiệp</v>
      </c>
    </row>
    <row r="6158" spans="1:7" x14ac:dyDescent="0.25">
      <c r="A6158" s="2">
        <v>6157</v>
      </c>
      <c r="B6158" s="3" t="s">
        <v>32</v>
      </c>
      <c r="C6158" s="4" t="str">
        <f t="shared" si="487"/>
        <v>Quảng Trị</v>
      </c>
      <c r="D6158" s="3" t="s">
        <v>405</v>
      </c>
      <c r="E6158" s="4" t="str">
        <f t="shared" si="488"/>
        <v>Huyện Đa Krông</v>
      </c>
      <c r="F6158" s="3" t="s">
        <v>6921</v>
      </c>
      <c r="G6158" s="4" t="str">
        <f>HYPERLINK("https://diaocthongthai.com/xa-dakrong-dakrong/","Xã Đa Krông")</f>
        <v>Xã Đa Krông</v>
      </c>
    </row>
    <row r="6159" spans="1:7" x14ac:dyDescent="0.25">
      <c r="A6159" s="2">
        <v>6158</v>
      </c>
      <c r="B6159" s="3" t="s">
        <v>32</v>
      </c>
      <c r="C6159" s="4" t="str">
        <f t="shared" si="487"/>
        <v>Quảng Trị</v>
      </c>
      <c r="D6159" s="3" t="s">
        <v>405</v>
      </c>
      <c r="E6159" s="4" t="str">
        <f t="shared" si="488"/>
        <v>Huyện Đa Krông</v>
      </c>
      <c r="F6159" s="3" t="s">
        <v>6922</v>
      </c>
      <c r="G6159" s="4" t="str">
        <f>HYPERLINK("https://diaocthongthai.com/xa-trieu-nguyen-dakrong/","Xã Triệu Nguyên")</f>
        <v>Xã Triệu Nguyên</v>
      </c>
    </row>
    <row r="6160" spans="1:7" x14ac:dyDescent="0.25">
      <c r="A6160" s="2">
        <v>6159</v>
      </c>
      <c r="B6160" s="3" t="s">
        <v>32</v>
      </c>
      <c r="C6160" s="4" t="str">
        <f t="shared" si="487"/>
        <v>Quảng Trị</v>
      </c>
      <c r="D6160" s="3" t="s">
        <v>405</v>
      </c>
      <c r="E6160" s="4" t="str">
        <f t="shared" si="488"/>
        <v>Huyện Đa Krông</v>
      </c>
      <c r="F6160" s="3" t="s">
        <v>6923</v>
      </c>
      <c r="G6160" s="4" t="str">
        <f>HYPERLINK("https://diaocthongthai.com/xa-ba-long-dakrong/","Xã Ba Lòng")</f>
        <v>Xã Ba Lòng</v>
      </c>
    </row>
    <row r="6161" spans="1:7" x14ac:dyDescent="0.25">
      <c r="A6161" s="2">
        <v>6160</v>
      </c>
      <c r="B6161" s="3" t="s">
        <v>32</v>
      </c>
      <c r="C6161" s="4" t="str">
        <f t="shared" si="487"/>
        <v>Quảng Trị</v>
      </c>
      <c r="D6161" s="3" t="s">
        <v>405</v>
      </c>
      <c r="E6161" s="4" t="str">
        <f t="shared" si="488"/>
        <v>Huyện Đa Krông</v>
      </c>
      <c r="F6161" s="3" t="s">
        <v>6924</v>
      </c>
      <c r="G6161" s="4" t="str">
        <f>HYPERLINK("https://diaocthongthai.com/xa-ba-nang-dakrong/","Xã Ba Nang")</f>
        <v>Xã Ba Nang</v>
      </c>
    </row>
    <row r="6162" spans="1:7" x14ac:dyDescent="0.25">
      <c r="A6162" s="2">
        <v>6161</v>
      </c>
      <c r="B6162" s="3" t="s">
        <v>32</v>
      </c>
      <c r="C6162" s="4" t="str">
        <f t="shared" si="487"/>
        <v>Quảng Trị</v>
      </c>
      <c r="D6162" s="3" t="s">
        <v>405</v>
      </c>
      <c r="E6162" s="4" t="str">
        <f t="shared" si="488"/>
        <v>Huyện Đa Krông</v>
      </c>
      <c r="F6162" s="3" t="s">
        <v>6925</v>
      </c>
      <c r="G6162" s="4" t="str">
        <f>HYPERLINK("https://diaocthongthai.com/xa-ta-long-dakrong/","Xã Tà Long")</f>
        <v>Xã Tà Long</v>
      </c>
    </row>
    <row r="6163" spans="1:7" x14ac:dyDescent="0.25">
      <c r="A6163" s="2">
        <v>6162</v>
      </c>
      <c r="B6163" s="3" t="s">
        <v>32</v>
      </c>
      <c r="C6163" s="4" t="str">
        <f t="shared" si="487"/>
        <v>Quảng Trị</v>
      </c>
      <c r="D6163" s="3" t="s">
        <v>405</v>
      </c>
      <c r="E6163" s="4" t="str">
        <f t="shared" si="488"/>
        <v>Huyện Đa Krông</v>
      </c>
      <c r="F6163" s="3" t="s">
        <v>6926</v>
      </c>
      <c r="G6163" s="4" t="str">
        <f>HYPERLINK("https://diaocthongthai.com/xa-huc-nghi-dakrong/","Xã Húc Nghì")</f>
        <v>Xã Húc Nghì</v>
      </c>
    </row>
    <row r="6164" spans="1:7" x14ac:dyDescent="0.25">
      <c r="A6164" s="2">
        <v>6163</v>
      </c>
      <c r="B6164" s="3" t="s">
        <v>32</v>
      </c>
      <c r="C6164" s="4" t="str">
        <f t="shared" si="487"/>
        <v>Quảng Trị</v>
      </c>
      <c r="D6164" s="3" t="s">
        <v>405</v>
      </c>
      <c r="E6164" s="4" t="str">
        <f t="shared" si="488"/>
        <v>Huyện Đa Krông</v>
      </c>
      <c r="F6164" s="3" t="s">
        <v>6927</v>
      </c>
      <c r="G6164" s="4" t="str">
        <f>HYPERLINK("https://diaocthongthai.com/xa-a-vao-dakrong/","Xã A Vao")</f>
        <v>Xã A Vao</v>
      </c>
    </row>
    <row r="6165" spans="1:7" x14ac:dyDescent="0.25">
      <c r="A6165" s="2">
        <v>6164</v>
      </c>
      <c r="B6165" s="3" t="s">
        <v>32</v>
      </c>
      <c r="C6165" s="4" t="str">
        <f t="shared" si="487"/>
        <v>Quảng Trị</v>
      </c>
      <c r="D6165" s="3" t="s">
        <v>405</v>
      </c>
      <c r="E6165" s="4" t="str">
        <f t="shared" si="488"/>
        <v>Huyện Đa Krông</v>
      </c>
      <c r="F6165" s="3" t="s">
        <v>6928</v>
      </c>
      <c r="G6165" s="4" t="str">
        <f>HYPERLINK("https://diaocthongthai.com/xa-ta-rut-dakrong/","Xã Tà Rụt")</f>
        <v>Xã Tà Rụt</v>
      </c>
    </row>
    <row r="6166" spans="1:7" x14ac:dyDescent="0.25">
      <c r="A6166" s="2">
        <v>6165</v>
      </c>
      <c r="B6166" s="3" t="s">
        <v>32</v>
      </c>
      <c r="C6166" s="4" t="str">
        <f t="shared" si="487"/>
        <v>Quảng Trị</v>
      </c>
      <c r="D6166" s="3" t="s">
        <v>405</v>
      </c>
      <c r="E6166" s="4" t="str">
        <f t="shared" si="488"/>
        <v>Huyện Đa Krông</v>
      </c>
      <c r="F6166" s="3" t="s">
        <v>6929</v>
      </c>
      <c r="G6166" s="4" t="str">
        <f>HYPERLINK("https://diaocthongthai.com/xa-a-bung-dakrong/","Xã A Bung")</f>
        <v>Xã A Bung</v>
      </c>
    </row>
    <row r="6167" spans="1:7" x14ac:dyDescent="0.25">
      <c r="A6167" s="2">
        <v>6166</v>
      </c>
      <c r="B6167" s="3" t="s">
        <v>32</v>
      </c>
      <c r="C6167" s="4" t="str">
        <f t="shared" si="487"/>
        <v>Quảng Trị</v>
      </c>
      <c r="D6167" s="3" t="s">
        <v>405</v>
      </c>
      <c r="E6167" s="4" t="str">
        <f t="shared" si="488"/>
        <v>Huyện Đa Krông</v>
      </c>
      <c r="F6167" s="3" t="s">
        <v>6930</v>
      </c>
      <c r="G6167" s="4" t="str">
        <f>HYPERLINK("https://diaocthongthai.com/xa-a-ngo-dakrong/","Xã A Ngo")</f>
        <v>Xã A Ngo</v>
      </c>
    </row>
    <row r="6168" spans="1:7" x14ac:dyDescent="0.25">
      <c r="A6168" s="2">
        <v>6167</v>
      </c>
      <c r="B6168" s="3" t="s">
        <v>32</v>
      </c>
      <c r="C6168" s="4" t="str">
        <f t="shared" si="487"/>
        <v>Quảng Trị</v>
      </c>
      <c r="D6168" s="3" t="s">
        <v>406</v>
      </c>
      <c r="E6168" s="4" t="str">
        <f t="shared" ref="E6168:E6175" si="489">HYPERLINK("https://diaocthongthai.com/ban-do-huyen-cam-lo-quang-tri/","Huyện Cam Lộ")</f>
        <v>Huyện Cam Lộ</v>
      </c>
      <c r="F6168" s="3" t="s">
        <v>6931</v>
      </c>
      <c r="G6168" s="4" t="str">
        <f>HYPERLINK("https://diaocthongthai.com/thi-tran-cam-lo-cam-lo/","Thị trấn Cam Lộ")</f>
        <v>Thị trấn Cam Lộ</v>
      </c>
    </row>
    <row r="6169" spans="1:7" x14ac:dyDescent="0.25">
      <c r="A6169" s="2">
        <v>6168</v>
      </c>
      <c r="B6169" s="3" t="s">
        <v>32</v>
      </c>
      <c r="C6169" s="4" t="str">
        <f t="shared" si="487"/>
        <v>Quảng Trị</v>
      </c>
      <c r="D6169" s="3" t="s">
        <v>406</v>
      </c>
      <c r="E6169" s="4" t="str">
        <f t="shared" si="489"/>
        <v>Huyện Cam Lộ</v>
      </c>
      <c r="F6169" s="3" t="s">
        <v>6932</v>
      </c>
      <c r="G6169" s="4" t="str">
        <f>HYPERLINK("https://diaocthongthai.com/xa-cam-tuyen-cam-lo/","Xã Cam Tuyền")</f>
        <v>Xã Cam Tuyền</v>
      </c>
    </row>
    <row r="6170" spans="1:7" x14ac:dyDescent="0.25">
      <c r="A6170" s="2">
        <v>6169</v>
      </c>
      <c r="B6170" s="3" t="s">
        <v>32</v>
      </c>
      <c r="C6170" s="4" t="str">
        <f t="shared" si="487"/>
        <v>Quảng Trị</v>
      </c>
      <c r="D6170" s="3" t="s">
        <v>406</v>
      </c>
      <c r="E6170" s="4" t="str">
        <f t="shared" si="489"/>
        <v>Huyện Cam Lộ</v>
      </c>
      <c r="F6170" s="3" t="s">
        <v>6933</v>
      </c>
      <c r="G6170" s="4" t="str">
        <f>HYPERLINK("https://diaocthongthai.com/xa-thanh-an-cam-lo/","Xã Thanh An")</f>
        <v>Xã Thanh An</v>
      </c>
    </row>
    <row r="6171" spans="1:7" x14ac:dyDescent="0.25">
      <c r="A6171" s="2">
        <v>6170</v>
      </c>
      <c r="B6171" s="3" t="s">
        <v>32</v>
      </c>
      <c r="C6171" s="4" t="str">
        <f t="shared" si="487"/>
        <v>Quảng Trị</v>
      </c>
      <c r="D6171" s="3" t="s">
        <v>406</v>
      </c>
      <c r="E6171" s="4" t="str">
        <f t="shared" si="489"/>
        <v>Huyện Cam Lộ</v>
      </c>
      <c r="F6171" s="3" t="s">
        <v>6934</v>
      </c>
      <c r="G6171" s="4" t="str">
        <f>HYPERLINK("https://diaocthongthai.com/xa-cam-thuy-cam-lo/","Xã Cam Thủy")</f>
        <v>Xã Cam Thủy</v>
      </c>
    </row>
    <row r="6172" spans="1:7" x14ac:dyDescent="0.25">
      <c r="A6172" s="2">
        <v>6171</v>
      </c>
      <c r="B6172" s="3" t="s">
        <v>32</v>
      </c>
      <c r="C6172" s="4" t="str">
        <f t="shared" si="487"/>
        <v>Quảng Trị</v>
      </c>
      <c r="D6172" s="3" t="s">
        <v>406</v>
      </c>
      <c r="E6172" s="4" t="str">
        <f t="shared" si="489"/>
        <v>Huyện Cam Lộ</v>
      </c>
      <c r="F6172" s="3" t="s">
        <v>6935</v>
      </c>
      <c r="G6172" s="4" t="str">
        <f>HYPERLINK("https://diaocthongthai.com/xa-cam-thanh-1-cam-lo/","Xã Cam Thành")</f>
        <v>Xã Cam Thành</v>
      </c>
    </row>
    <row r="6173" spans="1:7" x14ac:dyDescent="0.25">
      <c r="A6173" s="2">
        <v>6172</v>
      </c>
      <c r="B6173" s="3" t="s">
        <v>32</v>
      </c>
      <c r="C6173" s="4" t="str">
        <f t="shared" si="487"/>
        <v>Quảng Trị</v>
      </c>
      <c r="D6173" s="3" t="s">
        <v>406</v>
      </c>
      <c r="E6173" s="4" t="str">
        <f t="shared" si="489"/>
        <v>Huyện Cam Lộ</v>
      </c>
      <c r="F6173" s="3" t="s">
        <v>6936</v>
      </c>
      <c r="G6173" s="4" t="str">
        <f>HYPERLINK("https://diaocthongthai.com/xa-cam-hieu-cam-lo/","Xã Cam Hiếu")</f>
        <v>Xã Cam Hiếu</v>
      </c>
    </row>
    <row r="6174" spans="1:7" x14ac:dyDescent="0.25">
      <c r="A6174" s="2">
        <v>6173</v>
      </c>
      <c r="B6174" s="3" t="s">
        <v>32</v>
      </c>
      <c r="C6174" s="4" t="str">
        <f t="shared" si="487"/>
        <v>Quảng Trị</v>
      </c>
      <c r="D6174" s="3" t="s">
        <v>406</v>
      </c>
      <c r="E6174" s="4" t="str">
        <f t="shared" si="489"/>
        <v>Huyện Cam Lộ</v>
      </c>
      <c r="F6174" s="3" t="s">
        <v>6937</v>
      </c>
      <c r="G6174" s="4" t="str">
        <f>HYPERLINK("https://diaocthongthai.com/xa-cam-chinh-cam-lo/","Xã Cam Chính")</f>
        <v>Xã Cam Chính</v>
      </c>
    </row>
    <row r="6175" spans="1:7" x14ac:dyDescent="0.25">
      <c r="A6175" s="2">
        <v>6174</v>
      </c>
      <c r="B6175" s="3" t="s">
        <v>32</v>
      </c>
      <c r="C6175" s="4" t="str">
        <f t="shared" si="487"/>
        <v>Quảng Trị</v>
      </c>
      <c r="D6175" s="3" t="s">
        <v>406</v>
      </c>
      <c r="E6175" s="4" t="str">
        <f t="shared" si="489"/>
        <v>Huyện Cam Lộ</v>
      </c>
      <c r="F6175" s="3" t="s">
        <v>6938</v>
      </c>
      <c r="G6175" s="4" t="str">
        <f>HYPERLINK("https://diaocthongthai.com/xa-cam-nghia-cam-lo/","Xã Cam Nghĩa")</f>
        <v>Xã Cam Nghĩa</v>
      </c>
    </row>
    <row r="6176" spans="1:7" x14ac:dyDescent="0.25">
      <c r="A6176" s="2">
        <v>6175</v>
      </c>
      <c r="B6176" s="3" t="s">
        <v>32</v>
      </c>
      <c r="C6176" s="4" t="str">
        <f t="shared" si="487"/>
        <v>Quảng Trị</v>
      </c>
      <c r="D6176" s="3" t="s">
        <v>407</v>
      </c>
      <c r="E6176" s="4" t="str">
        <f t="shared" ref="E6176:E6193" si="490">HYPERLINK("https://diaocthongthai.com/ban-do-huyen-trieu-phong-quang-tri/","Huyện Triệu Phong")</f>
        <v>Huyện Triệu Phong</v>
      </c>
      <c r="F6176" s="3" t="s">
        <v>6939</v>
      </c>
      <c r="G6176" s="4" t="str">
        <f>HYPERLINK("https://diaocthongthai.com/thi-tran-ai-tu-trieu-phong/","Thị Trấn Ái Tử")</f>
        <v>Thị Trấn Ái Tử</v>
      </c>
    </row>
    <row r="6177" spans="1:7" x14ac:dyDescent="0.25">
      <c r="A6177" s="2">
        <v>6176</v>
      </c>
      <c r="B6177" s="3" t="s">
        <v>32</v>
      </c>
      <c r="C6177" s="4" t="str">
        <f t="shared" si="487"/>
        <v>Quảng Trị</v>
      </c>
      <c r="D6177" s="3" t="s">
        <v>407</v>
      </c>
      <c r="E6177" s="4" t="str">
        <f t="shared" si="490"/>
        <v>Huyện Triệu Phong</v>
      </c>
      <c r="F6177" s="3" t="s">
        <v>6940</v>
      </c>
      <c r="G6177" s="4" t="str">
        <f>HYPERLINK("https://diaocthongthai.com/xa-trieu-an-trieu-phong/","Xã Triệu An")</f>
        <v>Xã Triệu An</v>
      </c>
    </row>
    <row r="6178" spans="1:7" x14ac:dyDescent="0.25">
      <c r="A6178" s="2">
        <v>6177</v>
      </c>
      <c r="B6178" s="3" t="s">
        <v>32</v>
      </c>
      <c r="C6178" s="4" t="str">
        <f t="shared" si="487"/>
        <v>Quảng Trị</v>
      </c>
      <c r="D6178" s="3" t="s">
        <v>407</v>
      </c>
      <c r="E6178" s="4" t="str">
        <f t="shared" si="490"/>
        <v>Huyện Triệu Phong</v>
      </c>
      <c r="F6178" s="3" t="s">
        <v>6941</v>
      </c>
      <c r="G6178" s="4" t="str">
        <f>HYPERLINK("https://diaocthongthai.com/xa-trieu-van-trieu-phong/","Xã Triệu Vân")</f>
        <v>Xã Triệu Vân</v>
      </c>
    </row>
    <row r="6179" spans="1:7" x14ac:dyDescent="0.25">
      <c r="A6179" s="2">
        <v>6178</v>
      </c>
      <c r="B6179" s="3" t="s">
        <v>32</v>
      </c>
      <c r="C6179" s="4" t="str">
        <f t="shared" si="487"/>
        <v>Quảng Trị</v>
      </c>
      <c r="D6179" s="3" t="s">
        <v>407</v>
      </c>
      <c r="E6179" s="4" t="str">
        <f t="shared" si="490"/>
        <v>Huyện Triệu Phong</v>
      </c>
      <c r="F6179" s="3" t="s">
        <v>6942</v>
      </c>
      <c r="G6179" s="4" t="str">
        <f>HYPERLINK("https://diaocthongthai.com/xa-trieu-phuoc-trieu-phong/","Xã Triệu Phước")</f>
        <v>Xã Triệu Phước</v>
      </c>
    </row>
    <row r="6180" spans="1:7" x14ac:dyDescent="0.25">
      <c r="A6180" s="2">
        <v>6179</v>
      </c>
      <c r="B6180" s="3" t="s">
        <v>32</v>
      </c>
      <c r="C6180" s="4" t="str">
        <f t="shared" si="487"/>
        <v>Quảng Trị</v>
      </c>
      <c r="D6180" s="3" t="s">
        <v>407</v>
      </c>
      <c r="E6180" s="4" t="str">
        <f t="shared" si="490"/>
        <v>Huyện Triệu Phong</v>
      </c>
      <c r="F6180" s="3" t="s">
        <v>6943</v>
      </c>
      <c r="G6180" s="4" t="str">
        <f>HYPERLINK("https://diaocthongthai.com/xa-trieu-do-trieu-phong/","Xã Triệu Độ")</f>
        <v>Xã Triệu Độ</v>
      </c>
    </row>
    <row r="6181" spans="1:7" x14ac:dyDescent="0.25">
      <c r="A6181" s="2">
        <v>6180</v>
      </c>
      <c r="B6181" s="3" t="s">
        <v>32</v>
      </c>
      <c r="C6181" s="4" t="str">
        <f t="shared" ref="C6181:C6210" si="491">HYPERLINK("https://diaocthongthai.com/ban-do-quang-tri/","Quảng Trị")</f>
        <v>Quảng Trị</v>
      </c>
      <c r="D6181" s="3" t="s">
        <v>407</v>
      </c>
      <c r="E6181" s="4" t="str">
        <f t="shared" si="490"/>
        <v>Huyện Triệu Phong</v>
      </c>
      <c r="F6181" s="3" t="s">
        <v>6944</v>
      </c>
      <c r="G6181" s="4" t="str">
        <f>HYPERLINK("https://diaocthongthai.com/xa-trieu-trach-trieu-phong/","Xã Triệu Trạch")</f>
        <v>Xã Triệu Trạch</v>
      </c>
    </row>
    <row r="6182" spans="1:7" x14ac:dyDescent="0.25">
      <c r="A6182" s="2">
        <v>6181</v>
      </c>
      <c r="B6182" s="3" t="s">
        <v>32</v>
      </c>
      <c r="C6182" s="4" t="str">
        <f t="shared" si="491"/>
        <v>Quảng Trị</v>
      </c>
      <c r="D6182" s="3" t="s">
        <v>407</v>
      </c>
      <c r="E6182" s="4" t="str">
        <f t="shared" si="490"/>
        <v>Huyện Triệu Phong</v>
      </c>
      <c r="F6182" s="3" t="s">
        <v>6945</v>
      </c>
      <c r="G6182" s="4" t="str">
        <f>HYPERLINK("https://diaocthongthai.com/xa-trieu-thuan-trieu-phong/","Xã Triệu Thuận")</f>
        <v>Xã Triệu Thuận</v>
      </c>
    </row>
    <row r="6183" spans="1:7" x14ac:dyDescent="0.25">
      <c r="A6183" s="2">
        <v>6182</v>
      </c>
      <c r="B6183" s="3" t="s">
        <v>32</v>
      </c>
      <c r="C6183" s="4" t="str">
        <f t="shared" si="491"/>
        <v>Quảng Trị</v>
      </c>
      <c r="D6183" s="3" t="s">
        <v>407</v>
      </c>
      <c r="E6183" s="4" t="str">
        <f t="shared" si="490"/>
        <v>Huyện Triệu Phong</v>
      </c>
      <c r="F6183" s="3" t="s">
        <v>6946</v>
      </c>
      <c r="G6183" s="4" t="str">
        <f>HYPERLINK("https://diaocthongthai.com/xa-trieu-dai-trieu-phong/","Xã Triệu Đại")</f>
        <v>Xã Triệu Đại</v>
      </c>
    </row>
    <row r="6184" spans="1:7" x14ac:dyDescent="0.25">
      <c r="A6184" s="2">
        <v>6183</v>
      </c>
      <c r="B6184" s="3" t="s">
        <v>32</v>
      </c>
      <c r="C6184" s="4" t="str">
        <f t="shared" si="491"/>
        <v>Quảng Trị</v>
      </c>
      <c r="D6184" s="3" t="s">
        <v>407</v>
      </c>
      <c r="E6184" s="4" t="str">
        <f t="shared" si="490"/>
        <v>Huyện Triệu Phong</v>
      </c>
      <c r="F6184" s="3" t="s">
        <v>6947</v>
      </c>
      <c r="G6184" s="4" t="str">
        <f>HYPERLINK("https://diaocthongthai.com/xa-trieu-hoa-trieu-phong/","Xã Triệu Hòa")</f>
        <v>Xã Triệu Hòa</v>
      </c>
    </row>
    <row r="6185" spans="1:7" x14ac:dyDescent="0.25">
      <c r="A6185" s="2">
        <v>6184</v>
      </c>
      <c r="B6185" s="3" t="s">
        <v>32</v>
      </c>
      <c r="C6185" s="4" t="str">
        <f t="shared" si="491"/>
        <v>Quảng Trị</v>
      </c>
      <c r="D6185" s="3" t="s">
        <v>407</v>
      </c>
      <c r="E6185" s="4" t="str">
        <f t="shared" si="490"/>
        <v>Huyện Triệu Phong</v>
      </c>
      <c r="F6185" s="3" t="s">
        <v>6948</v>
      </c>
      <c r="G6185" s="4" t="str">
        <f>HYPERLINK("https://diaocthongthai.com/xa-trieu-lang-trieu-phong/","Xã Triệu Lăng")</f>
        <v>Xã Triệu Lăng</v>
      </c>
    </row>
    <row r="6186" spans="1:7" x14ac:dyDescent="0.25">
      <c r="A6186" s="2">
        <v>6185</v>
      </c>
      <c r="B6186" s="3" t="s">
        <v>32</v>
      </c>
      <c r="C6186" s="4" t="str">
        <f t="shared" si="491"/>
        <v>Quảng Trị</v>
      </c>
      <c r="D6186" s="3" t="s">
        <v>407</v>
      </c>
      <c r="E6186" s="4" t="str">
        <f t="shared" si="490"/>
        <v>Huyện Triệu Phong</v>
      </c>
      <c r="F6186" s="3" t="s">
        <v>6949</v>
      </c>
      <c r="G6186" s="4" t="str">
        <f>HYPERLINK("https://diaocthongthai.com/xa-trieu-son-trieu-phong/","Xã Triệu Sơn")</f>
        <v>Xã Triệu Sơn</v>
      </c>
    </row>
    <row r="6187" spans="1:7" x14ac:dyDescent="0.25">
      <c r="A6187" s="2">
        <v>6186</v>
      </c>
      <c r="B6187" s="3" t="s">
        <v>32</v>
      </c>
      <c r="C6187" s="4" t="str">
        <f t="shared" si="491"/>
        <v>Quảng Trị</v>
      </c>
      <c r="D6187" s="3" t="s">
        <v>407</v>
      </c>
      <c r="E6187" s="4" t="str">
        <f t="shared" si="490"/>
        <v>Huyện Triệu Phong</v>
      </c>
      <c r="F6187" s="3" t="s">
        <v>6950</v>
      </c>
      <c r="G6187" s="4" t="str">
        <f>HYPERLINK("https://diaocthongthai.com/xa-trieu-long-trieu-phong/","Xã Triệu Long")</f>
        <v>Xã Triệu Long</v>
      </c>
    </row>
    <row r="6188" spans="1:7" x14ac:dyDescent="0.25">
      <c r="A6188" s="2">
        <v>6187</v>
      </c>
      <c r="B6188" s="3" t="s">
        <v>32</v>
      </c>
      <c r="C6188" s="4" t="str">
        <f t="shared" si="491"/>
        <v>Quảng Trị</v>
      </c>
      <c r="D6188" s="3" t="s">
        <v>407</v>
      </c>
      <c r="E6188" s="4" t="str">
        <f t="shared" si="490"/>
        <v>Huyện Triệu Phong</v>
      </c>
      <c r="F6188" s="3" t="s">
        <v>6951</v>
      </c>
      <c r="G6188" s="4" t="str">
        <f>HYPERLINK("https://diaocthongthai.com/xa-trieu-tai-trieu-phong/","Xã Triệu Tài")</f>
        <v>Xã Triệu Tài</v>
      </c>
    </row>
    <row r="6189" spans="1:7" x14ac:dyDescent="0.25">
      <c r="A6189" s="2">
        <v>6188</v>
      </c>
      <c r="B6189" s="3" t="s">
        <v>32</v>
      </c>
      <c r="C6189" s="4" t="str">
        <f t="shared" si="491"/>
        <v>Quảng Trị</v>
      </c>
      <c r="D6189" s="3" t="s">
        <v>407</v>
      </c>
      <c r="E6189" s="4" t="str">
        <f t="shared" si="490"/>
        <v>Huyện Triệu Phong</v>
      </c>
      <c r="F6189" s="3" t="s">
        <v>6952</v>
      </c>
      <c r="G6189" s="4" t="str">
        <f>HYPERLINK("https://diaocthongthai.com/xa-trieu-trung-trieu-phong/","Xã Triệu Trung")</f>
        <v>Xã Triệu Trung</v>
      </c>
    </row>
    <row r="6190" spans="1:7" x14ac:dyDescent="0.25">
      <c r="A6190" s="2">
        <v>6189</v>
      </c>
      <c r="B6190" s="3" t="s">
        <v>32</v>
      </c>
      <c r="C6190" s="4" t="str">
        <f t="shared" si="491"/>
        <v>Quảng Trị</v>
      </c>
      <c r="D6190" s="3" t="s">
        <v>407</v>
      </c>
      <c r="E6190" s="4" t="str">
        <f t="shared" si="490"/>
        <v>Huyện Triệu Phong</v>
      </c>
      <c r="F6190" s="3" t="s">
        <v>6953</v>
      </c>
      <c r="G6190" s="4" t="str">
        <f>HYPERLINK("https://diaocthongthai.com/xa-trieu-ai-trieu-phong/","Xã Triệu Ái")</f>
        <v>Xã Triệu Ái</v>
      </c>
    </row>
    <row r="6191" spans="1:7" x14ac:dyDescent="0.25">
      <c r="A6191" s="2">
        <v>6190</v>
      </c>
      <c r="B6191" s="3" t="s">
        <v>32</v>
      </c>
      <c r="C6191" s="4" t="str">
        <f t="shared" si="491"/>
        <v>Quảng Trị</v>
      </c>
      <c r="D6191" s="3" t="s">
        <v>407</v>
      </c>
      <c r="E6191" s="4" t="str">
        <f t="shared" si="490"/>
        <v>Huyện Triệu Phong</v>
      </c>
      <c r="F6191" s="3" t="s">
        <v>6954</v>
      </c>
      <c r="G6191" s="4" t="str">
        <f>HYPERLINK("https://diaocthongthai.com/xa-trieu-thuong-trieu-phong/","Xã Triệu Thượng")</f>
        <v>Xã Triệu Thượng</v>
      </c>
    </row>
    <row r="6192" spans="1:7" x14ac:dyDescent="0.25">
      <c r="A6192" s="2">
        <v>6191</v>
      </c>
      <c r="B6192" s="3" t="s">
        <v>32</v>
      </c>
      <c r="C6192" s="4" t="str">
        <f t="shared" si="491"/>
        <v>Quảng Trị</v>
      </c>
      <c r="D6192" s="3" t="s">
        <v>407</v>
      </c>
      <c r="E6192" s="4" t="str">
        <f t="shared" si="490"/>
        <v>Huyện Triệu Phong</v>
      </c>
      <c r="F6192" s="3" t="s">
        <v>6955</v>
      </c>
      <c r="G6192" s="4" t="str">
        <f>HYPERLINK("https://diaocthongthai.com/xa-trieu-giang-trieu-phong/","Xã Triệu Giang")</f>
        <v>Xã Triệu Giang</v>
      </c>
    </row>
    <row r="6193" spans="1:7" x14ac:dyDescent="0.25">
      <c r="A6193" s="2">
        <v>6192</v>
      </c>
      <c r="B6193" s="3" t="s">
        <v>32</v>
      </c>
      <c r="C6193" s="4" t="str">
        <f t="shared" si="491"/>
        <v>Quảng Trị</v>
      </c>
      <c r="D6193" s="3" t="s">
        <v>407</v>
      </c>
      <c r="E6193" s="4" t="str">
        <f t="shared" si="490"/>
        <v>Huyện Triệu Phong</v>
      </c>
      <c r="F6193" s="3" t="s">
        <v>6956</v>
      </c>
      <c r="G6193" s="4" t="str">
        <f>HYPERLINK("https://diaocthongthai.com/xa-trieu-thanh-trieu-phong/","Xã Triệu Thành")</f>
        <v>Xã Triệu Thành</v>
      </c>
    </row>
    <row r="6194" spans="1:7" x14ac:dyDescent="0.25">
      <c r="A6194" s="2">
        <v>6193</v>
      </c>
      <c r="B6194" s="3" t="s">
        <v>32</v>
      </c>
      <c r="C6194" s="4" t="str">
        <f t="shared" si="491"/>
        <v>Quảng Trị</v>
      </c>
      <c r="D6194" s="3" t="s">
        <v>408</v>
      </c>
      <c r="E6194" s="4" t="str">
        <f t="shared" ref="E6194:E6209" si="492">HYPERLINK("https://diaocthongthai.com/ban-do-huyen-hai-lang-quang-tri/","Huyện Hải Lăng")</f>
        <v>Huyện Hải Lăng</v>
      </c>
      <c r="F6194" s="3" t="s">
        <v>6957</v>
      </c>
      <c r="G6194" s="4" t="str">
        <f>HYPERLINK("https://diaocthongthai.com/thi-tran-dien-sanh-hai-lang/","Thị trấn Diên Sanh")</f>
        <v>Thị trấn Diên Sanh</v>
      </c>
    </row>
    <row r="6195" spans="1:7" x14ac:dyDescent="0.25">
      <c r="A6195" s="2">
        <v>6194</v>
      </c>
      <c r="B6195" s="3" t="s">
        <v>32</v>
      </c>
      <c r="C6195" s="4" t="str">
        <f t="shared" si="491"/>
        <v>Quảng Trị</v>
      </c>
      <c r="D6195" s="3" t="s">
        <v>408</v>
      </c>
      <c r="E6195" s="4" t="str">
        <f t="shared" si="492"/>
        <v>Huyện Hải Lăng</v>
      </c>
      <c r="F6195" s="3" t="s">
        <v>6958</v>
      </c>
      <c r="G6195" s="4" t="str">
        <f>HYPERLINK("https://diaocthongthai.com/xa-hai-an-hai-lang/","Xã Hải An")</f>
        <v>Xã Hải An</v>
      </c>
    </row>
    <row r="6196" spans="1:7" x14ac:dyDescent="0.25">
      <c r="A6196" s="2">
        <v>6195</v>
      </c>
      <c r="B6196" s="3" t="s">
        <v>32</v>
      </c>
      <c r="C6196" s="4" t="str">
        <f t="shared" si="491"/>
        <v>Quảng Trị</v>
      </c>
      <c r="D6196" s="3" t="s">
        <v>408</v>
      </c>
      <c r="E6196" s="4" t="str">
        <f t="shared" si="492"/>
        <v>Huyện Hải Lăng</v>
      </c>
      <c r="F6196" s="3" t="s">
        <v>6959</v>
      </c>
      <c r="G6196" s="4" t="str">
        <f>HYPERLINK("https://diaocthongthai.com/xa-hai-ba-hai-lang/","Xã Hải Ba")</f>
        <v>Xã Hải Ba</v>
      </c>
    </row>
    <row r="6197" spans="1:7" x14ac:dyDescent="0.25">
      <c r="A6197" s="2">
        <v>6196</v>
      </c>
      <c r="B6197" s="3" t="s">
        <v>32</v>
      </c>
      <c r="C6197" s="4" t="str">
        <f t="shared" si="491"/>
        <v>Quảng Trị</v>
      </c>
      <c r="D6197" s="3" t="s">
        <v>408</v>
      </c>
      <c r="E6197" s="4" t="str">
        <f t="shared" si="492"/>
        <v>Huyện Hải Lăng</v>
      </c>
      <c r="F6197" s="3" t="s">
        <v>6960</v>
      </c>
      <c r="G6197" s="4" t="str">
        <f>HYPERLINK("https://diaocthongthai.com/xa-hai-quy-hai-lang/","Xã Hải Quy")</f>
        <v>Xã Hải Quy</v>
      </c>
    </row>
    <row r="6198" spans="1:7" x14ac:dyDescent="0.25">
      <c r="A6198" s="2">
        <v>6197</v>
      </c>
      <c r="B6198" s="3" t="s">
        <v>32</v>
      </c>
      <c r="C6198" s="4" t="str">
        <f t="shared" si="491"/>
        <v>Quảng Trị</v>
      </c>
      <c r="D6198" s="3" t="s">
        <v>408</v>
      </c>
      <c r="E6198" s="4" t="str">
        <f t="shared" si="492"/>
        <v>Huyện Hải Lăng</v>
      </c>
      <c r="F6198" s="3" t="s">
        <v>6961</v>
      </c>
      <c r="G6198" s="4" t="str">
        <f>HYPERLINK("https://diaocthongthai.com/xa-hai-que-hai-lang/","Xã Hải Quế")</f>
        <v>Xã Hải Quế</v>
      </c>
    </row>
    <row r="6199" spans="1:7" x14ac:dyDescent="0.25">
      <c r="A6199" s="2">
        <v>6198</v>
      </c>
      <c r="B6199" s="3" t="s">
        <v>32</v>
      </c>
      <c r="C6199" s="4" t="str">
        <f t="shared" si="491"/>
        <v>Quảng Trị</v>
      </c>
      <c r="D6199" s="3" t="s">
        <v>408</v>
      </c>
      <c r="E6199" s="4" t="str">
        <f t="shared" si="492"/>
        <v>Huyện Hải Lăng</v>
      </c>
      <c r="F6199" s="3" t="s">
        <v>6962</v>
      </c>
      <c r="G6199" s="4" t="str">
        <f>HYPERLINK("https://diaocthongthai.com/xa-hai-hung-hai-lang/","Xã Hải Hưng")</f>
        <v>Xã Hải Hưng</v>
      </c>
    </row>
    <row r="6200" spans="1:7" x14ac:dyDescent="0.25">
      <c r="A6200" s="2">
        <v>6199</v>
      </c>
      <c r="B6200" s="3" t="s">
        <v>32</v>
      </c>
      <c r="C6200" s="4" t="str">
        <f t="shared" si="491"/>
        <v>Quảng Trị</v>
      </c>
      <c r="D6200" s="3" t="s">
        <v>408</v>
      </c>
      <c r="E6200" s="4" t="str">
        <f t="shared" si="492"/>
        <v>Huyện Hải Lăng</v>
      </c>
      <c r="F6200" s="3" t="s">
        <v>6963</v>
      </c>
      <c r="G6200" s="4" t="str">
        <f>HYPERLINK("https://diaocthongthai.com/xa-hai-phu-hai-lang/","Xã Hải Phú")</f>
        <v>Xã Hải Phú</v>
      </c>
    </row>
    <row r="6201" spans="1:7" x14ac:dyDescent="0.25">
      <c r="A6201" s="2">
        <v>6200</v>
      </c>
      <c r="B6201" s="3" t="s">
        <v>32</v>
      </c>
      <c r="C6201" s="4" t="str">
        <f t="shared" si="491"/>
        <v>Quảng Trị</v>
      </c>
      <c r="D6201" s="3" t="s">
        <v>408</v>
      </c>
      <c r="E6201" s="4" t="str">
        <f t="shared" si="492"/>
        <v>Huyện Hải Lăng</v>
      </c>
      <c r="F6201" s="3" t="s">
        <v>6964</v>
      </c>
      <c r="G6201" s="4" t="str">
        <f>HYPERLINK("https://diaocthongthai.com/xa-hai-thuong-hai-lang/","Xã Hải Thượng")</f>
        <v>Xã Hải Thượng</v>
      </c>
    </row>
    <row r="6202" spans="1:7" x14ac:dyDescent="0.25">
      <c r="A6202" s="2">
        <v>6201</v>
      </c>
      <c r="B6202" s="3" t="s">
        <v>32</v>
      </c>
      <c r="C6202" s="4" t="str">
        <f t="shared" si="491"/>
        <v>Quảng Trị</v>
      </c>
      <c r="D6202" s="3" t="s">
        <v>408</v>
      </c>
      <c r="E6202" s="4" t="str">
        <f t="shared" si="492"/>
        <v>Huyện Hải Lăng</v>
      </c>
      <c r="F6202" s="3" t="s">
        <v>6965</v>
      </c>
      <c r="G6202" s="4" t="str">
        <f>HYPERLINK("https://diaocthongthai.com/xa-hai-duong-hai-lang/","Xã Hải Dương")</f>
        <v>Xã Hải Dương</v>
      </c>
    </row>
    <row r="6203" spans="1:7" x14ac:dyDescent="0.25">
      <c r="A6203" s="2">
        <v>6202</v>
      </c>
      <c r="B6203" s="3" t="s">
        <v>32</v>
      </c>
      <c r="C6203" s="4" t="str">
        <f t="shared" si="491"/>
        <v>Quảng Trị</v>
      </c>
      <c r="D6203" s="3" t="s">
        <v>408</v>
      </c>
      <c r="E6203" s="4" t="str">
        <f t="shared" si="492"/>
        <v>Huyện Hải Lăng</v>
      </c>
      <c r="F6203" s="3" t="s">
        <v>6966</v>
      </c>
      <c r="G6203" s="4" t="str">
        <f>HYPERLINK("https://diaocthongthai.com/xa-hai-dinh-hai-lang/","Xã Hải Định")</f>
        <v>Xã Hải Định</v>
      </c>
    </row>
    <row r="6204" spans="1:7" x14ac:dyDescent="0.25">
      <c r="A6204" s="2">
        <v>6203</v>
      </c>
      <c r="B6204" s="3" t="s">
        <v>32</v>
      </c>
      <c r="C6204" s="4" t="str">
        <f t="shared" si="491"/>
        <v>Quảng Trị</v>
      </c>
      <c r="D6204" s="3" t="s">
        <v>408</v>
      </c>
      <c r="E6204" s="4" t="str">
        <f t="shared" si="492"/>
        <v>Huyện Hải Lăng</v>
      </c>
      <c r="F6204" s="3" t="s">
        <v>6967</v>
      </c>
      <c r="G6204" s="4" t="str">
        <f>HYPERLINK("https://diaocthongthai.com/xa-hai-lam-hai-lang/","Xã Hải Lâm")</f>
        <v>Xã Hải Lâm</v>
      </c>
    </row>
    <row r="6205" spans="1:7" x14ac:dyDescent="0.25">
      <c r="A6205" s="2">
        <v>6204</v>
      </c>
      <c r="B6205" s="3" t="s">
        <v>32</v>
      </c>
      <c r="C6205" s="4" t="str">
        <f t="shared" si="491"/>
        <v>Quảng Trị</v>
      </c>
      <c r="D6205" s="3" t="s">
        <v>408</v>
      </c>
      <c r="E6205" s="4" t="str">
        <f t="shared" si="492"/>
        <v>Huyện Hải Lăng</v>
      </c>
      <c r="F6205" s="3" t="s">
        <v>6968</v>
      </c>
      <c r="G6205" s="4" t="str">
        <f>HYPERLINK("https://diaocthongthai.com/xa-hai-phong-hai-lang/","Xã Hải Phong")</f>
        <v>Xã Hải Phong</v>
      </c>
    </row>
    <row r="6206" spans="1:7" x14ac:dyDescent="0.25">
      <c r="A6206" s="2">
        <v>6205</v>
      </c>
      <c r="B6206" s="3" t="s">
        <v>32</v>
      </c>
      <c r="C6206" s="4" t="str">
        <f t="shared" si="491"/>
        <v>Quảng Trị</v>
      </c>
      <c r="D6206" s="3" t="s">
        <v>408</v>
      </c>
      <c r="E6206" s="4" t="str">
        <f t="shared" si="492"/>
        <v>Huyện Hải Lăng</v>
      </c>
      <c r="F6206" s="3" t="s">
        <v>6969</v>
      </c>
      <c r="G6206" s="4" t="str">
        <f>HYPERLINK("https://diaocthongthai.com/xa-hai-truong-hai-lang/","Xã Hải Trường")</f>
        <v>Xã Hải Trường</v>
      </c>
    </row>
    <row r="6207" spans="1:7" x14ac:dyDescent="0.25">
      <c r="A6207" s="2">
        <v>6206</v>
      </c>
      <c r="B6207" s="3" t="s">
        <v>32</v>
      </c>
      <c r="C6207" s="4" t="str">
        <f t="shared" si="491"/>
        <v>Quảng Trị</v>
      </c>
      <c r="D6207" s="3" t="s">
        <v>408</v>
      </c>
      <c r="E6207" s="4" t="str">
        <f t="shared" si="492"/>
        <v>Huyện Hải Lăng</v>
      </c>
      <c r="F6207" s="3" t="s">
        <v>6970</v>
      </c>
      <c r="G6207" s="4" t="str">
        <f>HYPERLINK("https://diaocthongthai.com/xa-hai-son-hai-lang/","Xã Hải Sơn")</f>
        <v>Xã Hải Sơn</v>
      </c>
    </row>
    <row r="6208" spans="1:7" x14ac:dyDescent="0.25">
      <c r="A6208" s="2">
        <v>6207</v>
      </c>
      <c r="B6208" s="3" t="s">
        <v>32</v>
      </c>
      <c r="C6208" s="4" t="str">
        <f t="shared" si="491"/>
        <v>Quảng Trị</v>
      </c>
      <c r="D6208" s="3" t="s">
        <v>408</v>
      </c>
      <c r="E6208" s="4" t="str">
        <f t="shared" si="492"/>
        <v>Huyện Hải Lăng</v>
      </c>
      <c r="F6208" s="3" t="s">
        <v>6971</v>
      </c>
      <c r="G6208" s="4" t="str">
        <f>HYPERLINK("https://diaocthongthai.com/xa-hai-chanh-hai-lang/","Xã Hải Chánh")</f>
        <v>Xã Hải Chánh</v>
      </c>
    </row>
    <row r="6209" spans="1:7" x14ac:dyDescent="0.25">
      <c r="A6209" s="2">
        <v>6208</v>
      </c>
      <c r="B6209" s="3" t="s">
        <v>32</v>
      </c>
      <c r="C6209" s="4" t="str">
        <f t="shared" si="491"/>
        <v>Quảng Trị</v>
      </c>
      <c r="D6209" s="3" t="s">
        <v>408</v>
      </c>
      <c r="E6209" s="4" t="str">
        <f t="shared" si="492"/>
        <v>Huyện Hải Lăng</v>
      </c>
      <c r="F6209" s="3" t="s">
        <v>6972</v>
      </c>
      <c r="G6209" s="4" t="str">
        <f>HYPERLINK("https://diaocthongthai.com/xa-hai-khe-hai-lang/","Xã Hải Khê")</f>
        <v>Xã Hải Khê</v>
      </c>
    </row>
    <row r="6210" spans="1:7" x14ac:dyDescent="0.25">
      <c r="A6210" s="2">
        <v>6209</v>
      </c>
      <c r="B6210" s="3" t="s">
        <v>32</v>
      </c>
      <c r="C6210" s="4" t="str">
        <f t="shared" si="491"/>
        <v>Quảng Trị</v>
      </c>
      <c r="D6210" s="3">
        <v>471</v>
      </c>
      <c r="E6210" s="4" t="str">
        <f>HYPERLINK("https://diaocthongthai.com/ban-do-dao-con-co-quang-tri/","Huyện Cồn Cỏ")</f>
        <v>Huyện Cồn Cỏ</v>
      </c>
      <c r="G6210" s="4" t="str">
        <f>HYPERLINK("https://diaocthongthai.com/ban-do-dao-con-co-quang-tri/","Không phân chia đơn vị hành chính cấp xã")</f>
        <v>Không phân chia đơn vị hành chính cấp xã</v>
      </c>
    </row>
    <row r="6211" spans="1:7" x14ac:dyDescent="0.25">
      <c r="A6211" s="2">
        <v>6210</v>
      </c>
      <c r="B6211" s="3" t="s">
        <v>33</v>
      </c>
      <c r="C6211" s="4" t="str">
        <f t="shared" ref="C6211:C6242" si="493">HYPERLINK("https://diaocthongthai.com/ban-do-thua-thien-hue/","Thừa Thiên Huế")</f>
        <v>Thừa Thiên Huế</v>
      </c>
      <c r="D6211" s="3" t="s">
        <v>409</v>
      </c>
      <c r="E6211" s="4" t="str">
        <f t="shared" ref="E6211:E6233" si="494">HYPERLINK("https://diaocthongthai.com/ban-do-tp-hue-thua-thien-hue/","Thành phố Huế")</f>
        <v>Thành phố Huế</v>
      </c>
      <c r="F6211" s="3" t="s">
        <v>6973</v>
      </c>
      <c r="G6211" s="4" t="str">
        <f>HYPERLINK("https://diaocthongthai.com/phuong-tay-loc-tp-hue/","Phường Tây Lộc")</f>
        <v>Phường Tây Lộc</v>
      </c>
    </row>
    <row r="6212" spans="1:7" x14ac:dyDescent="0.25">
      <c r="A6212" s="2">
        <v>6211</v>
      </c>
      <c r="B6212" s="3" t="s">
        <v>33</v>
      </c>
      <c r="C6212" s="4" t="str">
        <f t="shared" si="493"/>
        <v>Thừa Thiên Huế</v>
      </c>
      <c r="D6212" s="3" t="s">
        <v>409</v>
      </c>
      <c r="E6212" s="4" t="str">
        <f t="shared" si="494"/>
        <v>Thành phố Huế</v>
      </c>
      <c r="F6212" s="3" t="s">
        <v>6974</v>
      </c>
      <c r="G6212" s="4" t="str">
        <f>HYPERLINK("https://diaocthongthai.com/phuong-thuan-loc-tp-hue/","Phường Thuận Lộc")</f>
        <v>Phường Thuận Lộc</v>
      </c>
    </row>
    <row r="6213" spans="1:7" x14ac:dyDescent="0.25">
      <c r="A6213" s="2">
        <v>6212</v>
      </c>
      <c r="B6213" s="3" t="s">
        <v>33</v>
      </c>
      <c r="C6213" s="4" t="str">
        <f t="shared" si="493"/>
        <v>Thừa Thiên Huế</v>
      </c>
      <c r="D6213" s="3" t="s">
        <v>409</v>
      </c>
      <c r="E6213" s="4" t="str">
        <f t="shared" si="494"/>
        <v>Thành phố Huế</v>
      </c>
      <c r="F6213" s="3" t="s">
        <v>6975</v>
      </c>
      <c r="G6213" s="4" t="str">
        <f>HYPERLINK("https://diaocthongthai.com/phuong-phu-hiep-tp-hue/","Phường Gia Hội")</f>
        <v>Phường Gia Hội</v>
      </c>
    </row>
    <row r="6214" spans="1:7" x14ac:dyDescent="0.25">
      <c r="A6214" s="2">
        <v>6213</v>
      </c>
      <c r="B6214" s="3" t="s">
        <v>33</v>
      </c>
      <c r="C6214" s="4" t="str">
        <f t="shared" si="493"/>
        <v>Thừa Thiên Huế</v>
      </c>
      <c r="D6214" s="3" t="s">
        <v>409</v>
      </c>
      <c r="E6214" s="4" t="str">
        <f t="shared" si="494"/>
        <v>Thành phố Huế</v>
      </c>
      <c r="F6214" s="3" t="s">
        <v>6976</v>
      </c>
      <c r="G6214" s="4" t="str">
        <f>HYPERLINK("https://diaocthongthai.com/phuong-phu-hau-tp-hue/","Phường Phú Hậu")</f>
        <v>Phường Phú Hậu</v>
      </c>
    </row>
    <row r="6215" spans="1:7" x14ac:dyDescent="0.25">
      <c r="A6215" s="2">
        <v>6214</v>
      </c>
      <c r="B6215" s="3" t="s">
        <v>33</v>
      </c>
      <c r="C6215" s="4" t="str">
        <f t="shared" si="493"/>
        <v>Thừa Thiên Huế</v>
      </c>
      <c r="D6215" s="3" t="s">
        <v>409</v>
      </c>
      <c r="E6215" s="4" t="str">
        <f t="shared" si="494"/>
        <v>Thành phố Huế</v>
      </c>
      <c r="F6215" s="3" t="s">
        <v>6977</v>
      </c>
      <c r="G6215" s="4" t="str">
        <f>HYPERLINK("https://diaocthongthai.com/phuong-thuan-hoa-tp-hue/","Phường Thuận Hòa")</f>
        <v>Phường Thuận Hòa</v>
      </c>
    </row>
    <row r="6216" spans="1:7" x14ac:dyDescent="0.25">
      <c r="A6216" s="2">
        <v>6215</v>
      </c>
      <c r="B6216" s="3" t="s">
        <v>33</v>
      </c>
      <c r="C6216" s="4" t="str">
        <f t="shared" si="493"/>
        <v>Thừa Thiên Huế</v>
      </c>
      <c r="D6216" s="3" t="s">
        <v>409</v>
      </c>
      <c r="E6216" s="4" t="str">
        <f t="shared" si="494"/>
        <v>Thành phố Huế</v>
      </c>
      <c r="F6216" s="3" t="s">
        <v>6978</v>
      </c>
      <c r="G6216" s="4" t="str">
        <f>HYPERLINK("https://diaocthongthai.com/phuong-phu-hoa-tp-hue/","Phường Đông Ba")</f>
        <v>Phường Đông Ba</v>
      </c>
    </row>
    <row r="6217" spans="1:7" x14ac:dyDescent="0.25">
      <c r="A6217" s="2">
        <v>6216</v>
      </c>
      <c r="B6217" s="3" t="s">
        <v>33</v>
      </c>
      <c r="C6217" s="4" t="str">
        <f t="shared" si="493"/>
        <v>Thừa Thiên Huế</v>
      </c>
      <c r="D6217" s="3" t="s">
        <v>409</v>
      </c>
      <c r="E6217" s="4" t="str">
        <f t="shared" si="494"/>
        <v>Thành phố Huế</v>
      </c>
      <c r="F6217" s="3" t="s">
        <v>6979</v>
      </c>
      <c r="G6217" s="4" t="str">
        <f>HYPERLINK("https://diaocthongthai.com/phuong-kim-long-tp-hue/","Phường Kim Long")</f>
        <v>Phường Kim Long</v>
      </c>
    </row>
    <row r="6218" spans="1:7" x14ac:dyDescent="0.25">
      <c r="A6218" s="2">
        <v>6217</v>
      </c>
      <c r="B6218" s="3" t="s">
        <v>33</v>
      </c>
      <c r="C6218" s="4" t="str">
        <f t="shared" si="493"/>
        <v>Thừa Thiên Huế</v>
      </c>
      <c r="D6218" s="3" t="s">
        <v>409</v>
      </c>
      <c r="E6218" s="4" t="str">
        <f t="shared" si="494"/>
        <v>Thành phố Huế</v>
      </c>
      <c r="F6218" s="3" t="s">
        <v>6980</v>
      </c>
      <c r="G6218" s="4" t="str">
        <f>HYPERLINK("https://diaocthongthai.com/phuong-vy-da-tp-hue/","Phường Vỹ Dạ")</f>
        <v>Phường Vỹ Dạ</v>
      </c>
    </row>
    <row r="6219" spans="1:7" x14ac:dyDescent="0.25">
      <c r="A6219" s="2">
        <v>6218</v>
      </c>
      <c r="B6219" s="3" t="s">
        <v>33</v>
      </c>
      <c r="C6219" s="4" t="str">
        <f t="shared" si="493"/>
        <v>Thừa Thiên Huế</v>
      </c>
      <c r="D6219" s="3" t="s">
        <v>409</v>
      </c>
      <c r="E6219" s="4" t="str">
        <f t="shared" si="494"/>
        <v>Thành phố Huế</v>
      </c>
      <c r="F6219" s="3" t="s">
        <v>6981</v>
      </c>
      <c r="G6219" s="4" t="str">
        <f>HYPERLINK("https://diaocthongthai.com/phuong-phuong-duc-tp-hue/","Phường Phường Đúc")</f>
        <v>Phường Phường Đúc</v>
      </c>
    </row>
    <row r="6220" spans="1:7" x14ac:dyDescent="0.25">
      <c r="A6220" s="2">
        <v>6219</v>
      </c>
      <c r="B6220" s="3" t="s">
        <v>33</v>
      </c>
      <c r="C6220" s="4" t="str">
        <f t="shared" si="493"/>
        <v>Thừa Thiên Huế</v>
      </c>
      <c r="D6220" s="3" t="s">
        <v>409</v>
      </c>
      <c r="E6220" s="4" t="str">
        <f t="shared" si="494"/>
        <v>Thành phố Huế</v>
      </c>
      <c r="F6220" s="3" t="s">
        <v>6982</v>
      </c>
      <c r="G6220" s="4" t="str">
        <f>HYPERLINK("https://diaocthongthai.com/phuong-vinh-ninh-tp-hue/","Phường Vĩnh Ninh")</f>
        <v>Phường Vĩnh Ninh</v>
      </c>
    </row>
    <row r="6221" spans="1:7" x14ac:dyDescent="0.25">
      <c r="A6221" s="2">
        <v>6220</v>
      </c>
      <c r="B6221" s="3" t="s">
        <v>33</v>
      </c>
      <c r="C6221" s="4" t="str">
        <f t="shared" si="493"/>
        <v>Thừa Thiên Huế</v>
      </c>
      <c r="D6221" s="3" t="s">
        <v>409</v>
      </c>
      <c r="E6221" s="4" t="str">
        <f t="shared" si="494"/>
        <v>Thành phố Huế</v>
      </c>
      <c r="F6221" s="3" t="s">
        <v>6983</v>
      </c>
      <c r="G6221" s="4" t="str">
        <f>HYPERLINK("https://diaocthongthai.com/phuong-phu-hoi-tp-hue/","Phường Phú Hội")</f>
        <v>Phường Phú Hội</v>
      </c>
    </row>
    <row r="6222" spans="1:7" x14ac:dyDescent="0.25">
      <c r="A6222" s="2">
        <v>6221</v>
      </c>
      <c r="B6222" s="3" t="s">
        <v>33</v>
      </c>
      <c r="C6222" s="4" t="str">
        <f t="shared" si="493"/>
        <v>Thừa Thiên Huế</v>
      </c>
      <c r="D6222" s="3" t="s">
        <v>409</v>
      </c>
      <c r="E6222" s="4" t="str">
        <f t="shared" si="494"/>
        <v>Thành phố Huế</v>
      </c>
      <c r="F6222" s="3" t="s">
        <v>6984</v>
      </c>
      <c r="G6222" s="4" t="str">
        <f>HYPERLINK("https://diaocthongthai.com/phuong-phu-nhuan-tp-hue/","Phường Phú Nhuận")</f>
        <v>Phường Phú Nhuận</v>
      </c>
    </row>
    <row r="6223" spans="1:7" x14ac:dyDescent="0.25">
      <c r="A6223" s="2">
        <v>6222</v>
      </c>
      <c r="B6223" s="3" t="s">
        <v>33</v>
      </c>
      <c r="C6223" s="4" t="str">
        <f t="shared" si="493"/>
        <v>Thừa Thiên Huế</v>
      </c>
      <c r="D6223" s="3" t="s">
        <v>409</v>
      </c>
      <c r="E6223" s="4" t="str">
        <f t="shared" si="494"/>
        <v>Thành phố Huế</v>
      </c>
      <c r="F6223" s="3" t="s">
        <v>6985</v>
      </c>
      <c r="G6223" s="4" t="str">
        <f>HYPERLINK("https://diaocthongthai.com/phuong-xuan-phu-tp-hue/","Phường Xuân Phú")</f>
        <v>Phường Xuân Phú</v>
      </c>
    </row>
    <row r="6224" spans="1:7" x14ac:dyDescent="0.25">
      <c r="A6224" s="2">
        <v>6223</v>
      </c>
      <c r="B6224" s="3" t="s">
        <v>33</v>
      </c>
      <c r="C6224" s="4" t="str">
        <f t="shared" si="493"/>
        <v>Thừa Thiên Huế</v>
      </c>
      <c r="D6224" s="3" t="s">
        <v>409</v>
      </c>
      <c r="E6224" s="4" t="str">
        <f t="shared" si="494"/>
        <v>Thành phố Huế</v>
      </c>
      <c r="F6224" s="3" t="s">
        <v>6986</v>
      </c>
      <c r="G6224" s="4" t="str">
        <f>HYPERLINK("https://diaocthongthai.com/phuong-truong-an-tp-hue/","Phường Trường An")</f>
        <v>Phường Trường An</v>
      </c>
    </row>
    <row r="6225" spans="1:7" x14ac:dyDescent="0.25">
      <c r="A6225" s="2">
        <v>6224</v>
      </c>
      <c r="B6225" s="3" t="s">
        <v>33</v>
      </c>
      <c r="C6225" s="4" t="str">
        <f t="shared" si="493"/>
        <v>Thừa Thiên Huế</v>
      </c>
      <c r="D6225" s="3" t="s">
        <v>409</v>
      </c>
      <c r="E6225" s="4" t="str">
        <f t="shared" si="494"/>
        <v>Thành phố Huế</v>
      </c>
      <c r="F6225" s="3" t="s">
        <v>6987</v>
      </c>
      <c r="G6225" s="4" t="str">
        <f>HYPERLINK("https://diaocthongthai.com/phuong-phuoc-vinh-tp-hue/","Phường Phước Vĩnh")</f>
        <v>Phường Phước Vĩnh</v>
      </c>
    </row>
    <row r="6226" spans="1:7" x14ac:dyDescent="0.25">
      <c r="A6226" s="2">
        <v>6225</v>
      </c>
      <c r="B6226" s="3" t="s">
        <v>33</v>
      </c>
      <c r="C6226" s="4" t="str">
        <f t="shared" si="493"/>
        <v>Thừa Thiên Huế</v>
      </c>
      <c r="D6226" s="3" t="s">
        <v>409</v>
      </c>
      <c r="E6226" s="4" t="str">
        <f t="shared" si="494"/>
        <v>Thành phố Huế</v>
      </c>
      <c r="F6226" s="3" t="s">
        <v>6988</v>
      </c>
      <c r="G6226" s="4" t="str">
        <f>HYPERLINK("https://diaocthongthai.com/phuong-an-cuu-tp-hue/","Phường An Cựu")</f>
        <v>Phường An Cựu</v>
      </c>
    </row>
    <row r="6227" spans="1:7" x14ac:dyDescent="0.25">
      <c r="A6227" s="2">
        <v>6226</v>
      </c>
      <c r="B6227" s="3" t="s">
        <v>33</v>
      </c>
      <c r="C6227" s="4" t="str">
        <f t="shared" si="493"/>
        <v>Thừa Thiên Huế</v>
      </c>
      <c r="D6227" s="3" t="s">
        <v>409</v>
      </c>
      <c r="E6227" s="4" t="str">
        <f t="shared" si="494"/>
        <v>Thành phố Huế</v>
      </c>
      <c r="F6227" s="3" t="s">
        <v>6989</v>
      </c>
      <c r="G6227" s="4" t="str">
        <f>HYPERLINK("https://diaocthongthai.com/phuong-an-hoa-tp-hue/","Phường An Hòa")</f>
        <v>Phường An Hòa</v>
      </c>
    </row>
    <row r="6228" spans="1:7" x14ac:dyDescent="0.25">
      <c r="A6228" s="2">
        <v>6227</v>
      </c>
      <c r="B6228" s="3" t="s">
        <v>33</v>
      </c>
      <c r="C6228" s="4" t="str">
        <f t="shared" si="493"/>
        <v>Thừa Thiên Huế</v>
      </c>
      <c r="D6228" s="3" t="s">
        <v>409</v>
      </c>
      <c r="E6228" s="4" t="str">
        <f t="shared" si="494"/>
        <v>Thành phố Huế</v>
      </c>
      <c r="F6228" s="3" t="s">
        <v>6990</v>
      </c>
      <c r="G6228" s="4" t="str">
        <f>HYPERLINK("https://diaocthongthai.com/phuong-huong-so-tp-hue/","Phường Hương Sơ")</f>
        <v>Phường Hương Sơ</v>
      </c>
    </row>
    <row r="6229" spans="1:7" x14ac:dyDescent="0.25">
      <c r="A6229" s="2">
        <v>6228</v>
      </c>
      <c r="B6229" s="3" t="s">
        <v>33</v>
      </c>
      <c r="C6229" s="4" t="str">
        <f t="shared" si="493"/>
        <v>Thừa Thiên Huế</v>
      </c>
      <c r="D6229" s="3" t="s">
        <v>409</v>
      </c>
      <c r="E6229" s="4" t="str">
        <f t="shared" si="494"/>
        <v>Thành phố Huế</v>
      </c>
      <c r="F6229" s="3" t="s">
        <v>6991</v>
      </c>
      <c r="G6229" s="4" t="str">
        <f>HYPERLINK("https://diaocthongthai.com/phuong-thuy-bieu-tp-hue/","Phường Thuỷ Biều")</f>
        <v>Phường Thuỷ Biều</v>
      </c>
    </row>
    <row r="6230" spans="1:7" x14ac:dyDescent="0.25">
      <c r="A6230" s="2">
        <v>6229</v>
      </c>
      <c r="B6230" s="3" t="s">
        <v>33</v>
      </c>
      <c r="C6230" s="4" t="str">
        <f t="shared" si="493"/>
        <v>Thừa Thiên Huế</v>
      </c>
      <c r="D6230" s="3" t="s">
        <v>409</v>
      </c>
      <c r="E6230" s="4" t="str">
        <f t="shared" si="494"/>
        <v>Thành phố Huế</v>
      </c>
      <c r="F6230" s="3" t="s">
        <v>6992</v>
      </c>
      <c r="G6230" s="4" t="str">
        <f>HYPERLINK("https://diaocthongthai.com/phuong-huong-long-tp-hue/","Phường Hương Long")</f>
        <v>Phường Hương Long</v>
      </c>
    </row>
    <row r="6231" spans="1:7" x14ac:dyDescent="0.25">
      <c r="A6231" s="2">
        <v>6230</v>
      </c>
      <c r="B6231" s="3" t="s">
        <v>33</v>
      </c>
      <c r="C6231" s="4" t="str">
        <f t="shared" si="493"/>
        <v>Thừa Thiên Huế</v>
      </c>
      <c r="D6231" s="3" t="s">
        <v>409</v>
      </c>
      <c r="E6231" s="4" t="str">
        <f t="shared" si="494"/>
        <v>Thành phố Huế</v>
      </c>
      <c r="F6231" s="3" t="s">
        <v>6993</v>
      </c>
      <c r="G6231" s="4" t="str">
        <f>HYPERLINK("https://diaocthongthai.com/phuong-thuy-xuan-tp-hue/","Phường Thuỷ Xuân")</f>
        <v>Phường Thuỷ Xuân</v>
      </c>
    </row>
    <row r="6232" spans="1:7" x14ac:dyDescent="0.25">
      <c r="A6232" s="2">
        <v>6231</v>
      </c>
      <c r="B6232" s="3" t="s">
        <v>33</v>
      </c>
      <c r="C6232" s="4" t="str">
        <f t="shared" si="493"/>
        <v>Thừa Thiên Huế</v>
      </c>
      <c r="D6232" s="3" t="s">
        <v>409</v>
      </c>
      <c r="E6232" s="4" t="str">
        <f t="shared" si="494"/>
        <v>Thành phố Huế</v>
      </c>
      <c r="F6232" s="3" t="s">
        <v>6994</v>
      </c>
      <c r="G6232" s="4" t="str">
        <f>HYPERLINK("https://diaocthongthai.com/phuong-an-dong-tp-hue/","Phường An Đông")</f>
        <v>Phường An Đông</v>
      </c>
    </row>
    <row r="6233" spans="1:7" x14ac:dyDescent="0.25">
      <c r="A6233" s="2">
        <v>6232</v>
      </c>
      <c r="B6233" s="3" t="s">
        <v>33</v>
      </c>
      <c r="C6233" s="4" t="str">
        <f t="shared" si="493"/>
        <v>Thừa Thiên Huế</v>
      </c>
      <c r="D6233" s="3" t="s">
        <v>409</v>
      </c>
      <c r="E6233" s="4" t="str">
        <f t="shared" si="494"/>
        <v>Thành phố Huế</v>
      </c>
      <c r="F6233" s="3" t="s">
        <v>6995</v>
      </c>
      <c r="G6233" s="4" t="str">
        <f>HYPERLINK("https://diaocthongthai.com/phuong-an-tay-tp-hue/","Phường An Tây")</f>
        <v>Phường An Tây</v>
      </c>
    </row>
    <row r="6234" spans="1:7" x14ac:dyDescent="0.25">
      <c r="A6234" s="2">
        <v>6233</v>
      </c>
      <c r="B6234" s="3" t="s">
        <v>33</v>
      </c>
      <c r="C6234" s="4" t="str">
        <f t="shared" si="493"/>
        <v>Thừa Thiên Huế</v>
      </c>
      <c r="D6234" s="3" t="s">
        <v>409</v>
      </c>
      <c r="E6234" s="4" t="str">
        <f>HYPERLINK("https://diaocthongthai.com/ban-do-huyen-phu-vang-thua-thien-hue/","Thành phố Huế")</f>
        <v>Thành phố Huế</v>
      </c>
      <c r="F6234" s="3" t="s">
        <v>6996</v>
      </c>
      <c r="G6234" s="4" t="str">
        <f>HYPERLINK("https://diaocthongthai.com/thi-tran-thuan-an-phu-vang/","Phường Thuận An")</f>
        <v>Phường Thuận An</v>
      </c>
    </row>
    <row r="6235" spans="1:7" x14ac:dyDescent="0.25">
      <c r="A6235" s="2">
        <v>6234</v>
      </c>
      <c r="B6235" s="3" t="s">
        <v>33</v>
      </c>
      <c r="C6235" s="4" t="str">
        <f t="shared" si="493"/>
        <v>Thừa Thiên Huế</v>
      </c>
      <c r="D6235" s="3" t="s">
        <v>409</v>
      </c>
      <c r="E6235" s="4" t="str">
        <f>HYPERLINK("https://diaocthongthai.com/ban-do-huyen-phu-vang-thua-thien-hue/","Thành phố Huế")</f>
        <v>Thành phố Huế</v>
      </c>
      <c r="F6235" s="3" t="s">
        <v>6997</v>
      </c>
      <c r="G6235" s="4" t="str">
        <f>HYPERLINK("https://diaocthongthai.com/xa-phu-duong-phu-vang/","Xã Phú Dương")</f>
        <v>Xã Phú Dương</v>
      </c>
    </row>
    <row r="6236" spans="1:7" x14ac:dyDescent="0.25">
      <c r="A6236" s="2">
        <v>6235</v>
      </c>
      <c r="B6236" s="3" t="s">
        <v>33</v>
      </c>
      <c r="C6236" s="4" t="str">
        <f t="shared" si="493"/>
        <v>Thừa Thiên Huế</v>
      </c>
      <c r="D6236" s="3" t="s">
        <v>409</v>
      </c>
      <c r="E6236" s="4" t="str">
        <f>HYPERLINK("https://diaocthongthai.com/ban-do-huyen-phu-vang-thua-thien-hue/","Thành phố Huế")</f>
        <v>Thành phố Huế</v>
      </c>
      <c r="F6236" s="3" t="s">
        <v>6998</v>
      </c>
      <c r="G6236" s="4" t="str">
        <f>HYPERLINK("https://diaocthongthai.com/xa-phu-mau-phu-vang/","Xã Phú Mậu")</f>
        <v>Xã Phú Mậu</v>
      </c>
    </row>
    <row r="6237" spans="1:7" x14ac:dyDescent="0.25">
      <c r="A6237" s="2">
        <v>6236</v>
      </c>
      <c r="B6237" s="3" t="s">
        <v>33</v>
      </c>
      <c r="C6237" s="4" t="str">
        <f t="shared" si="493"/>
        <v>Thừa Thiên Huế</v>
      </c>
      <c r="D6237" s="3" t="s">
        <v>409</v>
      </c>
      <c r="E6237" s="4" t="str">
        <f>HYPERLINK("https://diaocthongthai.com/ban-do-huyen-phu-vang-thua-thien-hue/","Thành phố Huế")</f>
        <v>Thành phố Huế</v>
      </c>
      <c r="F6237" s="3" t="s">
        <v>6999</v>
      </c>
      <c r="G6237" s="4" t="str">
        <f>HYPERLINK("https://diaocthongthai.com/xa-phu-thanh-phu-vang/","Xã Phú Thanh")</f>
        <v>Xã Phú Thanh</v>
      </c>
    </row>
    <row r="6238" spans="1:7" x14ac:dyDescent="0.25">
      <c r="A6238" s="2">
        <v>6237</v>
      </c>
      <c r="B6238" s="3" t="s">
        <v>33</v>
      </c>
      <c r="C6238" s="4" t="str">
        <f t="shared" si="493"/>
        <v>Thừa Thiên Huế</v>
      </c>
      <c r="D6238" s="3" t="s">
        <v>409</v>
      </c>
      <c r="E6238" s="4" t="str">
        <f>HYPERLINK("https://diaocthongthai.com/ban-do-huyen-phu-vang-thua-thien-hue/","Thành phố Huế")</f>
        <v>Thành phố Huế</v>
      </c>
      <c r="F6238" s="3" t="s">
        <v>7000</v>
      </c>
      <c r="G6238" s="4" t="str">
        <f>HYPERLINK("https://diaocthongthai.com/xa-phu-thuong-phu-vang/","Phường Phú Thượng")</f>
        <v>Phường Phú Thượng</v>
      </c>
    </row>
    <row r="6239" spans="1:7" x14ac:dyDescent="0.25">
      <c r="A6239" s="2">
        <v>6238</v>
      </c>
      <c r="B6239" s="3" t="s">
        <v>33</v>
      </c>
      <c r="C6239" s="4" t="str">
        <f t="shared" si="493"/>
        <v>Thừa Thiên Huế</v>
      </c>
      <c r="D6239" s="3" t="s">
        <v>409</v>
      </c>
      <c r="E6239" s="4" t="str">
        <f>HYPERLINK("https://diaocthongthai.com/ban-do-thi-xa-huong-thuy-thua-thien-hue/","Thành phố Huế")</f>
        <v>Thành phố Huế</v>
      </c>
      <c r="F6239" s="3" t="s">
        <v>7001</v>
      </c>
      <c r="G6239" s="4" t="str">
        <f>HYPERLINK("https://diaocthongthai.com/xa-thuy-van-huong-thuy/","Phường Thủy Vân")</f>
        <v>Phường Thủy Vân</v>
      </c>
    </row>
    <row r="6240" spans="1:7" x14ac:dyDescent="0.25">
      <c r="A6240" s="2">
        <v>6239</v>
      </c>
      <c r="B6240" s="3" t="s">
        <v>33</v>
      </c>
      <c r="C6240" s="4" t="str">
        <f t="shared" si="493"/>
        <v>Thừa Thiên Huế</v>
      </c>
      <c r="D6240" s="3" t="s">
        <v>409</v>
      </c>
      <c r="E6240" s="4" t="str">
        <f>HYPERLINK("https://diaocthongthai.com/ban-do-thi-xa-huong-thuy-thua-thien-hue/","Thành phố Huế")</f>
        <v>Thành phố Huế</v>
      </c>
      <c r="F6240" s="3" t="s">
        <v>7002</v>
      </c>
      <c r="G6240" s="4" t="str">
        <f>HYPERLINK("https://diaocthongthai.com/xa-thuy-bang-huong-thuy/","Xã Thủy Bằng")</f>
        <v>Xã Thủy Bằng</v>
      </c>
    </row>
    <row r="6241" spans="1:7" x14ac:dyDescent="0.25">
      <c r="A6241" s="2">
        <v>6240</v>
      </c>
      <c r="B6241" s="3" t="s">
        <v>33</v>
      </c>
      <c r="C6241" s="4" t="str">
        <f t="shared" si="493"/>
        <v>Thừa Thiên Huế</v>
      </c>
      <c r="D6241" s="3" t="s">
        <v>409</v>
      </c>
      <c r="E6241" s="4" t="str">
        <f t="shared" ref="E6241:E6246" si="495">HYPERLINK("https://diaocthongthai.com/ban-do-thi-xa-huong-tra-thua-thien-hue/","Thành phố Huế")</f>
        <v>Thành phố Huế</v>
      </c>
      <c r="F6241" s="3" t="s">
        <v>7003</v>
      </c>
      <c r="G6241" s="4" t="str">
        <f>HYPERLINK("https://diaocthongthai.com/xa-hai-duong-huong-tra/","Xã Hải Dương")</f>
        <v>Xã Hải Dương</v>
      </c>
    </row>
    <row r="6242" spans="1:7" x14ac:dyDescent="0.25">
      <c r="A6242" s="2">
        <v>6241</v>
      </c>
      <c r="B6242" s="3" t="s">
        <v>33</v>
      </c>
      <c r="C6242" s="4" t="str">
        <f t="shared" si="493"/>
        <v>Thừa Thiên Huế</v>
      </c>
      <c r="D6242" s="3" t="s">
        <v>409</v>
      </c>
      <c r="E6242" s="4" t="str">
        <f t="shared" si="495"/>
        <v>Thành phố Huế</v>
      </c>
      <c r="F6242" s="3" t="s">
        <v>7004</v>
      </c>
      <c r="G6242" s="4" t="str">
        <f>HYPERLINK("https://diaocthongthai.com/xa-huong-phong-huong-tra/","Xã Hương Phong")</f>
        <v>Xã Hương Phong</v>
      </c>
    </row>
    <row r="6243" spans="1:7" x14ac:dyDescent="0.25">
      <c r="A6243" s="2">
        <v>6242</v>
      </c>
      <c r="B6243" s="3" t="s">
        <v>33</v>
      </c>
      <c r="C6243" s="4" t="str">
        <f t="shared" ref="C6243:C6274" si="496">HYPERLINK("https://diaocthongthai.com/ban-do-thua-thien-hue/","Thừa Thiên Huế")</f>
        <v>Thừa Thiên Huế</v>
      </c>
      <c r="D6243" s="3" t="s">
        <v>409</v>
      </c>
      <c r="E6243" s="4" t="str">
        <f t="shared" si="495"/>
        <v>Thành phố Huế</v>
      </c>
      <c r="F6243" s="3" t="s">
        <v>7005</v>
      </c>
      <c r="G6243" s="4" t="str">
        <f>HYPERLINK("https://diaocthongthai.com/xa-huong-vinh-huong-tra/","Phường Hương Vinh")</f>
        <v>Phường Hương Vinh</v>
      </c>
    </row>
    <row r="6244" spans="1:7" x14ac:dyDescent="0.25">
      <c r="A6244" s="2">
        <v>6243</v>
      </c>
      <c r="B6244" s="3" t="s">
        <v>33</v>
      </c>
      <c r="C6244" s="4" t="str">
        <f t="shared" si="496"/>
        <v>Thừa Thiên Huế</v>
      </c>
      <c r="D6244" s="3" t="s">
        <v>409</v>
      </c>
      <c r="E6244" s="4" t="str">
        <f t="shared" si="495"/>
        <v>Thành phố Huế</v>
      </c>
      <c r="F6244" s="3" t="s">
        <v>7006</v>
      </c>
      <c r="G6244" s="4" t="str">
        <f>HYPERLINK("https://diaocthongthai.com/phuong-huong-an-huong-tra/","Phường Hương An")</f>
        <v>Phường Hương An</v>
      </c>
    </row>
    <row r="6245" spans="1:7" x14ac:dyDescent="0.25">
      <c r="A6245" s="2">
        <v>6244</v>
      </c>
      <c r="B6245" s="3" t="s">
        <v>33</v>
      </c>
      <c r="C6245" s="4" t="str">
        <f t="shared" si="496"/>
        <v>Thừa Thiên Huế</v>
      </c>
      <c r="D6245" s="3" t="s">
        <v>409</v>
      </c>
      <c r="E6245" s="4" t="str">
        <f t="shared" si="495"/>
        <v>Thành phố Huế</v>
      </c>
      <c r="F6245" s="3" t="s">
        <v>7007</v>
      </c>
      <c r="G6245" s="4" t="str">
        <f>HYPERLINK("https://diaocthongthai.com/phuong-huong-ho-huong-tra/","Phường Hương Hồ")</f>
        <v>Phường Hương Hồ</v>
      </c>
    </row>
    <row r="6246" spans="1:7" x14ac:dyDescent="0.25">
      <c r="A6246" s="2">
        <v>6245</v>
      </c>
      <c r="B6246" s="3" t="s">
        <v>33</v>
      </c>
      <c r="C6246" s="4" t="str">
        <f t="shared" si="496"/>
        <v>Thừa Thiên Huế</v>
      </c>
      <c r="D6246" s="3" t="s">
        <v>409</v>
      </c>
      <c r="E6246" s="4" t="str">
        <f t="shared" si="495"/>
        <v>Thành phố Huế</v>
      </c>
      <c r="F6246" s="3" t="s">
        <v>7008</v>
      </c>
      <c r="G6246" s="4" t="str">
        <f>HYPERLINK("https://diaocthongthai.com/xa-huong-tho-huong-tra/","Xã Hương Thọ")</f>
        <v>Xã Hương Thọ</v>
      </c>
    </row>
    <row r="6247" spans="1:7" x14ac:dyDescent="0.25">
      <c r="A6247" s="2">
        <v>6246</v>
      </c>
      <c r="B6247" s="3" t="s">
        <v>33</v>
      </c>
      <c r="C6247" s="4" t="str">
        <f t="shared" si="496"/>
        <v>Thừa Thiên Huế</v>
      </c>
      <c r="D6247" s="3" t="s">
        <v>410</v>
      </c>
      <c r="E6247" s="4" t="str">
        <f t="shared" ref="E6247:E6262" si="497">HYPERLINK("https://diaocthongthai.com/ban-do-huyen-phong-dien-thua-thien-hue/","Huyện Phong Điền")</f>
        <v>Huyện Phong Điền</v>
      </c>
      <c r="F6247" s="3" t="s">
        <v>7009</v>
      </c>
      <c r="G6247" s="4" t="str">
        <f>HYPERLINK("https://diaocthongthai.com/thi-tran-phong-dien-phong-dien-thua-thien-hue/","Thị trấn Phong Điền")</f>
        <v>Thị trấn Phong Điền</v>
      </c>
    </row>
    <row r="6248" spans="1:7" x14ac:dyDescent="0.25">
      <c r="A6248" s="2">
        <v>6247</v>
      </c>
      <c r="B6248" s="3" t="s">
        <v>33</v>
      </c>
      <c r="C6248" s="4" t="str">
        <f t="shared" si="496"/>
        <v>Thừa Thiên Huế</v>
      </c>
      <c r="D6248" s="3" t="s">
        <v>410</v>
      </c>
      <c r="E6248" s="4" t="str">
        <f t="shared" si="497"/>
        <v>Huyện Phong Điền</v>
      </c>
      <c r="F6248" s="3" t="s">
        <v>7010</v>
      </c>
      <c r="G6248" s="4" t="str">
        <f>HYPERLINK("https://diaocthongthai.com/xa-dien-huong-phong-dien-thua-thien-hue/","Xã Điền Hương")</f>
        <v>Xã Điền Hương</v>
      </c>
    </row>
    <row r="6249" spans="1:7" x14ac:dyDescent="0.25">
      <c r="A6249" s="2">
        <v>6248</v>
      </c>
      <c r="B6249" s="3" t="s">
        <v>33</v>
      </c>
      <c r="C6249" s="4" t="str">
        <f t="shared" si="496"/>
        <v>Thừa Thiên Huế</v>
      </c>
      <c r="D6249" s="3" t="s">
        <v>410</v>
      </c>
      <c r="E6249" s="4" t="str">
        <f t="shared" si="497"/>
        <v>Huyện Phong Điền</v>
      </c>
      <c r="F6249" s="3" t="s">
        <v>7011</v>
      </c>
      <c r="G6249" s="4" t="str">
        <f>HYPERLINK("https://diaocthongthai.com/xa-dien-mon-phong-dien-thua-thien-hue/","Xã Điền Môn")</f>
        <v>Xã Điền Môn</v>
      </c>
    </row>
    <row r="6250" spans="1:7" x14ac:dyDescent="0.25">
      <c r="A6250" s="2">
        <v>6249</v>
      </c>
      <c r="B6250" s="3" t="s">
        <v>33</v>
      </c>
      <c r="C6250" s="4" t="str">
        <f t="shared" si="496"/>
        <v>Thừa Thiên Huế</v>
      </c>
      <c r="D6250" s="3" t="s">
        <v>410</v>
      </c>
      <c r="E6250" s="4" t="str">
        <f t="shared" si="497"/>
        <v>Huyện Phong Điền</v>
      </c>
      <c r="F6250" s="3" t="s">
        <v>7012</v>
      </c>
      <c r="G6250" s="4" t="str">
        <f>HYPERLINK("https://diaocthongthai.com/xa-dien-loc-phong-dien-thua-thien-hue/","Xã Điền Lộc")</f>
        <v>Xã Điền Lộc</v>
      </c>
    </row>
    <row r="6251" spans="1:7" x14ac:dyDescent="0.25">
      <c r="A6251" s="2">
        <v>6250</v>
      </c>
      <c r="B6251" s="3" t="s">
        <v>33</v>
      </c>
      <c r="C6251" s="4" t="str">
        <f t="shared" si="496"/>
        <v>Thừa Thiên Huế</v>
      </c>
      <c r="D6251" s="3" t="s">
        <v>410</v>
      </c>
      <c r="E6251" s="4" t="str">
        <f t="shared" si="497"/>
        <v>Huyện Phong Điền</v>
      </c>
      <c r="F6251" s="3" t="s">
        <v>7013</v>
      </c>
      <c r="G6251" s="4" t="str">
        <f>HYPERLINK("https://diaocthongthai.com/xa-phong-binh-phong-dien-thua-thien-hue/","Xã Phong Bình")</f>
        <v>Xã Phong Bình</v>
      </c>
    </row>
    <row r="6252" spans="1:7" x14ac:dyDescent="0.25">
      <c r="A6252" s="2">
        <v>6251</v>
      </c>
      <c r="B6252" s="3" t="s">
        <v>33</v>
      </c>
      <c r="C6252" s="4" t="str">
        <f t="shared" si="496"/>
        <v>Thừa Thiên Huế</v>
      </c>
      <c r="D6252" s="3" t="s">
        <v>410</v>
      </c>
      <c r="E6252" s="4" t="str">
        <f t="shared" si="497"/>
        <v>Huyện Phong Điền</v>
      </c>
      <c r="F6252" s="3" t="s">
        <v>7014</v>
      </c>
      <c r="G6252" s="4" t="str">
        <f>HYPERLINK("https://diaocthongthai.com/xa-dien-hoa-phong-dien-thua-thien-hue/","Xã Điền Hòa")</f>
        <v>Xã Điền Hòa</v>
      </c>
    </row>
    <row r="6253" spans="1:7" x14ac:dyDescent="0.25">
      <c r="A6253" s="2">
        <v>6252</v>
      </c>
      <c r="B6253" s="3" t="s">
        <v>33</v>
      </c>
      <c r="C6253" s="4" t="str">
        <f t="shared" si="496"/>
        <v>Thừa Thiên Huế</v>
      </c>
      <c r="D6253" s="3" t="s">
        <v>410</v>
      </c>
      <c r="E6253" s="4" t="str">
        <f t="shared" si="497"/>
        <v>Huyện Phong Điền</v>
      </c>
      <c r="F6253" s="3" t="s">
        <v>7015</v>
      </c>
      <c r="G6253" s="4" t="str">
        <f>HYPERLINK("https://diaocthongthai.com/xa-phong-chuong-phong-dien-thua-thien-hue/","Xã Phong Chương")</f>
        <v>Xã Phong Chương</v>
      </c>
    </row>
    <row r="6254" spans="1:7" x14ac:dyDescent="0.25">
      <c r="A6254" s="2">
        <v>6253</v>
      </c>
      <c r="B6254" s="3" t="s">
        <v>33</v>
      </c>
      <c r="C6254" s="4" t="str">
        <f t="shared" si="496"/>
        <v>Thừa Thiên Huế</v>
      </c>
      <c r="D6254" s="3" t="s">
        <v>410</v>
      </c>
      <c r="E6254" s="4" t="str">
        <f t="shared" si="497"/>
        <v>Huyện Phong Điền</v>
      </c>
      <c r="F6254" s="3" t="s">
        <v>7016</v>
      </c>
      <c r="G6254" s="4" t="str">
        <f>HYPERLINK("https://diaocthongthai.com/xa-phong-hai-phong-dien-thua-thien-hue/","Xã Phong Hải")</f>
        <v>Xã Phong Hải</v>
      </c>
    </row>
    <row r="6255" spans="1:7" x14ac:dyDescent="0.25">
      <c r="A6255" s="2">
        <v>6254</v>
      </c>
      <c r="B6255" s="3" t="s">
        <v>33</v>
      </c>
      <c r="C6255" s="4" t="str">
        <f t="shared" si="496"/>
        <v>Thừa Thiên Huế</v>
      </c>
      <c r="D6255" s="3" t="s">
        <v>410</v>
      </c>
      <c r="E6255" s="4" t="str">
        <f t="shared" si="497"/>
        <v>Huyện Phong Điền</v>
      </c>
      <c r="F6255" s="3" t="s">
        <v>7017</v>
      </c>
      <c r="G6255" s="4" t="str">
        <f>HYPERLINK("https://diaocthongthai.com/xa-dien-hai-phong-dien-thua-thien-hue/","Xã Điền Hải")</f>
        <v>Xã Điền Hải</v>
      </c>
    </row>
    <row r="6256" spans="1:7" x14ac:dyDescent="0.25">
      <c r="A6256" s="2">
        <v>6255</v>
      </c>
      <c r="B6256" s="3" t="s">
        <v>33</v>
      </c>
      <c r="C6256" s="4" t="str">
        <f t="shared" si="496"/>
        <v>Thừa Thiên Huế</v>
      </c>
      <c r="D6256" s="3" t="s">
        <v>410</v>
      </c>
      <c r="E6256" s="4" t="str">
        <f t="shared" si="497"/>
        <v>Huyện Phong Điền</v>
      </c>
      <c r="F6256" s="3" t="s">
        <v>7018</v>
      </c>
      <c r="G6256" s="4" t="str">
        <f>HYPERLINK("https://diaocthongthai.com/xa-phong-hoa-phong-dien-thua-thien-hue/","Xã Phong Hòa")</f>
        <v>Xã Phong Hòa</v>
      </c>
    </row>
    <row r="6257" spans="1:7" x14ac:dyDescent="0.25">
      <c r="A6257" s="2">
        <v>6256</v>
      </c>
      <c r="B6257" s="3" t="s">
        <v>33</v>
      </c>
      <c r="C6257" s="4" t="str">
        <f t="shared" si="496"/>
        <v>Thừa Thiên Huế</v>
      </c>
      <c r="D6257" s="3" t="s">
        <v>410</v>
      </c>
      <c r="E6257" s="4" t="str">
        <f t="shared" si="497"/>
        <v>Huyện Phong Điền</v>
      </c>
      <c r="F6257" s="3" t="s">
        <v>7019</v>
      </c>
      <c r="G6257" s="4" t="str">
        <f>HYPERLINK("https://diaocthongthai.com/xa-phong-thu-phong-dien-thua-thien-hue/","Xã Phong Thu")</f>
        <v>Xã Phong Thu</v>
      </c>
    </row>
    <row r="6258" spans="1:7" x14ac:dyDescent="0.25">
      <c r="A6258" s="2">
        <v>6257</v>
      </c>
      <c r="B6258" s="3" t="s">
        <v>33</v>
      </c>
      <c r="C6258" s="4" t="str">
        <f t="shared" si="496"/>
        <v>Thừa Thiên Huế</v>
      </c>
      <c r="D6258" s="3" t="s">
        <v>410</v>
      </c>
      <c r="E6258" s="4" t="str">
        <f t="shared" si="497"/>
        <v>Huyện Phong Điền</v>
      </c>
      <c r="F6258" s="3" t="s">
        <v>7020</v>
      </c>
      <c r="G6258" s="4" t="str">
        <f>HYPERLINK("https://diaocthongthai.com/xa-phong-hien-phong-dien-thua-thien-hue/","Xã Phong Hiền")</f>
        <v>Xã Phong Hiền</v>
      </c>
    </row>
    <row r="6259" spans="1:7" x14ac:dyDescent="0.25">
      <c r="A6259" s="2">
        <v>6258</v>
      </c>
      <c r="B6259" s="3" t="s">
        <v>33</v>
      </c>
      <c r="C6259" s="4" t="str">
        <f t="shared" si="496"/>
        <v>Thừa Thiên Huế</v>
      </c>
      <c r="D6259" s="3" t="s">
        <v>410</v>
      </c>
      <c r="E6259" s="4" t="str">
        <f t="shared" si="497"/>
        <v>Huyện Phong Điền</v>
      </c>
      <c r="F6259" s="3" t="s">
        <v>7021</v>
      </c>
      <c r="G6259" s="4" t="str">
        <f>HYPERLINK("https://diaocthongthai.com/xa-phong-my-phong-dien-thua-thien-hue/","Xã Phong Mỹ")</f>
        <v>Xã Phong Mỹ</v>
      </c>
    </row>
    <row r="6260" spans="1:7" x14ac:dyDescent="0.25">
      <c r="A6260" s="2">
        <v>6259</v>
      </c>
      <c r="B6260" s="3" t="s">
        <v>33</v>
      </c>
      <c r="C6260" s="4" t="str">
        <f t="shared" si="496"/>
        <v>Thừa Thiên Huế</v>
      </c>
      <c r="D6260" s="3" t="s">
        <v>410</v>
      </c>
      <c r="E6260" s="4" t="str">
        <f t="shared" si="497"/>
        <v>Huyện Phong Điền</v>
      </c>
      <c r="F6260" s="3" t="s">
        <v>7022</v>
      </c>
      <c r="G6260" s="4" t="str">
        <f>HYPERLINK("https://diaocthongthai.com/xa-phong-an-phong-dien-thua-thien-hue/","Xã Phong An")</f>
        <v>Xã Phong An</v>
      </c>
    </row>
    <row r="6261" spans="1:7" x14ac:dyDescent="0.25">
      <c r="A6261" s="2">
        <v>6260</v>
      </c>
      <c r="B6261" s="3" t="s">
        <v>33</v>
      </c>
      <c r="C6261" s="4" t="str">
        <f t="shared" si="496"/>
        <v>Thừa Thiên Huế</v>
      </c>
      <c r="D6261" s="3" t="s">
        <v>410</v>
      </c>
      <c r="E6261" s="4" t="str">
        <f t="shared" si="497"/>
        <v>Huyện Phong Điền</v>
      </c>
      <c r="F6261" s="3" t="s">
        <v>7023</v>
      </c>
      <c r="G6261" s="4" t="str">
        <f>HYPERLINK("https://diaocthongthai.com/xa-phong-xuan-phong-dien-thua-thien-hue/","Xã Phong Xuân")</f>
        <v>Xã Phong Xuân</v>
      </c>
    </row>
    <row r="6262" spans="1:7" x14ac:dyDescent="0.25">
      <c r="A6262" s="2">
        <v>6261</v>
      </c>
      <c r="B6262" s="3" t="s">
        <v>33</v>
      </c>
      <c r="C6262" s="4" t="str">
        <f t="shared" si="496"/>
        <v>Thừa Thiên Huế</v>
      </c>
      <c r="D6262" s="3" t="s">
        <v>410</v>
      </c>
      <c r="E6262" s="4" t="str">
        <f t="shared" si="497"/>
        <v>Huyện Phong Điền</v>
      </c>
      <c r="F6262" s="3" t="s">
        <v>7024</v>
      </c>
      <c r="G6262" s="4" t="str">
        <f>HYPERLINK("https://diaocthongthai.com/xa-phong-son-phong-dien-thua-thien-hue/","Xã Phong Sơn")</f>
        <v>Xã Phong Sơn</v>
      </c>
    </row>
    <row r="6263" spans="1:7" x14ac:dyDescent="0.25">
      <c r="A6263" s="2">
        <v>6262</v>
      </c>
      <c r="B6263" s="3" t="s">
        <v>33</v>
      </c>
      <c r="C6263" s="4" t="str">
        <f t="shared" si="496"/>
        <v>Thừa Thiên Huế</v>
      </c>
      <c r="D6263" s="3" t="s">
        <v>411</v>
      </c>
      <c r="E6263" s="4" t="str">
        <f t="shared" ref="E6263:E6273" si="498">HYPERLINK("https://diaocthongthai.com/ban-do-huyen-quang-dien-thua-thien-hue/","Huyện Quảng Điền")</f>
        <v>Huyện Quảng Điền</v>
      </c>
      <c r="F6263" s="3" t="s">
        <v>7025</v>
      </c>
      <c r="G6263" s="4" t="str">
        <f>HYPERLINK("https://diaocthongthai.com/thi-tran-sia-quang-dien/","Thị trấn Sịa")</f>
        <v>Thị trấn Sịa</v>
      </c>
    </row>
    <row r="6264" spans="1:7" x14ac:dyDescent="0.25">
      <c r="A6264" s="2">
        <v>6263</v>
      </c>
      <c r="B6264" s="3" t="s">
        <v>33</v>
      </c>
      <c r="C6264" s="4" t="str">
        <f t="shared" si="496"/>
        <v>Thừa Thiên Huế</v>
      </c>
      <c r="D6264" s="3" t="s">
        <v>411</v>
      </c>
      <c r="E6264" s="4" t="str">
        <f t="shared" si="498"/>
        <v>Huyện Quảng Điền</v>
      </c>
      <c r="F6264" s="3" t="s">
        <v>7026</v>
      </c>
      <c r="G6264" s="4" t="str">
        <f>HYPERLINK("https://diaocthongthai.com/xa-quang-thai-quang-dien/","Xã Quảng Thái")</f>
        <v>Xã Quảng Thái</v>
      </c>
    </row>
    <row r="6265" spans="1:7" x14ac:dyDescent="0.25">
      <c r="A6265" s="2">
        <v>6264</v>
      </c>
      <c r="B6265" s="3" t="s">
        <v>33</v>
      </c>
      <c r="C6265" s="4" t="str">
        <f t="shared" si="496"/>
        <v>Thừa Thiên Huế</v>
      </c>
      <c r="D6265" s="3" t="s">
        <v>411</v>
      </c>
      <c r="E6265" s="4" t="str">
        <f t="shared" si="498"/>
        <v>Huyện Quảng Điền</v>
      </c>
      <c r="F6265" s="3" t="s">
        <v>7027</v>
      </c>
      <c r="G6265" s="4" t="str">
        <f>HYPERLINK("https://diaocthongthai.com/xa-quang-ngan-quang-dien/","Xã Quảng Ngạn")</f>
        <v>Xã Quảng Ngạn</v>
      </c>
    </row>
    <row r="6266" spans="1:7" x14ac:dyDescent="0.25">
      <c r="A6266" s="2">
        <v>6265</v>
      </c>
      <c r="B6266" s="3" t="s">
        <v>33</v>
      </c>
      <c r="C6266" s="4" t="str">
        <f t="shared" si="496"/>
        <v>Thừa Thiên Huế</v>
      </c>
      <c r="D6266" s="3" t="s">
        <v>411</v>
      </c>
      <c r="E6266" s="4" t="str">
        <f t="shared" si="498"/>
        <v>Huyện Quảng Điền</v>
      </c>
      <c r="F6266" s="3" t="s">
        <v>7028</v>
      </c>
      <c r="G6266" s="4" t="str">
        <f>HYPERLINK("https://diaocthongthai.com/xa-quang-loi-quang-dien/","Xã Quảng Lợi")</f>
        <v>Xã Quảng Lợi</v>
      </c>
    </row>
    <row r="6267" spans="1:7" x14ac:dyDescent="0.25">
      <c r="A6267" s="2">
        <v>6266</v>
      </c>
      <c r="B6267" s="3" t="s">
        <v>33</v>
      </c>
      <c r="C6267" s="4" t="str">
        <f t="shared" si="496"/>
        <v>Thừa Thiên Huế</v>
      </c>
      <c r="D6267" s="3" t="s">
        <v>411</v>
      </c>
      <c r="E6267" s="4" t="str">
        <f t="shared" si="498"/>
        <v>Huyện Quảng Điền</v>
      </c>
      <c r="F6267" s="3" t="s">
        <v>7029</v>
      </c>
      <c r="G6267" s="4" t="str">
        <f>HYPERLINK("https://diaocthongthai.com/xa-quang-cong-quang-dien/","Xã Quảng Công")</f>
        <v>Xã Quảng Công</v>
      </c>
    </row>
    <row r="6268" spans="1:7" x14ac:dyDescent="0.25">
      <c r="A6268" s="2">
        <v>6267</v>
      </c>
      <c r="B6268" s="3" t="s">
        <v>33</v>
      </c>
      <c r="C6268" s="4" t="str">
        <f t="shared" si="496"/>
        <v>Thừa Thiên Huế</v>
      </c>
      <c r="D6268" s="3" t="s">
        <v>411</v>
      </c>
      <c r="E6268" s="4" t="str">
        <f t="shared" si="498"/>
        <v>Huyện Quảng Điền</v>
      </c>
      <c r="F6268" s="3" t="s">
        <v>7030</v>
      </c>
      <c r="G6268" s="4" t="str">
        <f>HYPERLINK("https://diaocthongthai.com/xa-quang-phuoc-quang-dien/","Xã Quảng Phước")</f>
        <v>Xã Quảng Phước</v>
      </c>
    </row>
    <row r="6269" spans="1:7" x14ac:dyDescent="0.25">
      <c r="A6269" s="2">
        <v>6268</v>
      </c>
      <c r="B6269" s="3" t="s">
        <v>33</v>
      </c>
      <c r="C6269" s="4" t="str">
        <f t="shared" si="496"/>
        <v>Thừa Thiên Huế</v>
      </c>
      <c r="D6269" s="3" t="s">
        <v>411</v>
      </c>
      <c r="E6269" s="4" t="str">
        <f t="shared" si="498"/>
        <v>Huyện Quảng Điền</v>
      </c>
      <c r="F6269" s="3" t="s">
        <v>7031</v>
      </c>
      <c r="G6269" s="4" t="str">
        <f>HYPERLINK("https://diaocthongthai.com/xa-quang-vinh-quang-dien/","Xã Quảng Vinh")</f>
        <v>Xã Quảng Vinh</v>
      </c>
    </row>
    <row r="6270" spans="1:7" x14ac:dyDescent="0.25">
      <c r="A6270" s="2">
        <v>6269</v>
      </c>
      <c r="B6270" s="3" t="s">
        <v>33</v>
      </c>
      <c r="C6270" s="4" t="str">
        <f t="shared" si="496"/>
        <v>Thừa Thiên Huế</v>
      </c>
      <c r="D6270" s="3" t="s">
        <v>411</v>
      </c>
      <c r="E6270" s="4" t="str">
        <f t="shared" si="498"/>
        <v>Huyện Quảng Điền</v>
      </c>
      <c r="F6270" s="3" t="s">
        <v>7032</v>
      </c>
      <c r="G6270" s="4" t="str">
        <f>HYPERLINK("https://diaocthongthai.com/xa-quang-an-quang-dien/","Xã Quảng An")</f>
        <v>Xã Quảng An</v>
      </c>
    </row>
    <row r="6271" spans="1:7" x14ac:dyDescent="0.25">
      <c r="A6271" s="2">
        <v>6270</v>
      </c>
      <c r="B6271" s="3" t="s">
        <v>33</v>
      </c>
      <c r="C6271" s="4" t="str">
        <f t="shared" si="496"/>
        <v>Thừa Thiên Huế</v>
      </c>
      <c r="D6271" s="3" t="s">
        <v>411</v>
      </c>
      <c r="E6271" s="4" t="str">
        <f t="shared" si="498"/>
        <v>Huyện Quảng Điền</v>
      </c>
      <c r="F6271" s="3" t="s">
        <v>7033</v>
      </c>
      <c r="G6271" s="4" t="str">
        <f>HYPERLINK("https://diaocthongthai.com/xa-quang-thanh-quang-dien/","Xã Quảng Thành")</f>
        <v>Xã Quảng Thành</v>
      </c>
    </row>
    <row r="6272" spans="1:7" x14ac:dyDescent="0.25">
      <c r="A6272" s="2">
        <v>6271</v>
      </c>
      <c r="B6272" s="3" t="s">
        <v>33</v>
      </c>
      <c r="C6272" s="4" t="str">
        <f t="shared" si="496"/>
        <v>Thừa Thiên Huế</v>
      </c>
      <c r="D6272" s="3" t="s">
        <v>411</v>
      </c>
      <c r="E6272" s="4" t="str">
        <f t="shared" si="498"/>
        <v>Huyện Quảng Điền</v>
      </c>
      <c r="F6272" s="3" t="s">
        <v>7034</v>
      </c>
      <c r="G6272" s="4" t="str">
        <f>HYPERLINK("https://diaocthongthai.com/xa-quang-tho-quang-dien/","Xã Quảng Thọ")</f>
        <v>Xã Quảng Thọ</v>
      </c>
    </row>
    <row r="6273" spans="1:7" x14ac:dyDescent="0.25">
      <c r="A6273" s="2">
        <v>6272</v>
      </c>
      <c r="B6273" s="3" t="s">
        <v>33</v>
      </c>
      <c r="C6273" s="4" t="str">
        <f t="shared" si="496"/>
        <v>Thừa Thiên Huế</v>
      </c>
      <c r="D6273" s="3" t="s">
        <v>411</v>
      </c>
      <c r="E6273" s="4" t="str">
        <f t="shared" si="498"/>
        <v>Huyện Quảng Điền</v>
      </c>
      <c r="F6273" s="3" t="s">
        <v>7035</v>
      </c>
      <c r="G6273" s="4" t="str">
        <f>HYPERLINK("https://diaocthongthai.com/xa-quang-phu-quang-dien/","Xã Quảng Phú")</f>
        <v>Xã Quảng Phú</v>
      </c>
    </row>
    <row r="6274" spans="1:7" x14ac:dyDescent="0.25">
      <c r="A6274" s="2">
        <v>6273</v>
      </c>
      <c r="B6274" s="3" t="s">
        <v>33</v>
      </c>
      <c r="C6274" s="4" t="str">
        <f t="shared" si="496"/>
        <v>Thừa Thiên Huế</v>
      </c>
      <c r="D6274" s="3" t="s">
        <v>412</v>
      </c>
      <c r="E6274" s="4" t="str">
        <f t="shared" ref="E6274:E6287" si="499">HYPERLINK("https://diaocthongthai.com/ban-do-huyen-phu-vang-thua-thien-hue/","Huyện Phú Vang")</f>
        <v>Huyện Phú Vang</v>
      </c>
      <c r="F6274" s="3" t="s">
        <v>7036</v>
      </c>
      <c r="G6274" s="4" t="str">
        <f>HYPERLINK("https://diaocthongthai.com/xa-phu-thuan-phu-vang/","Xã Phú Thuận")</f>
        <v>Xã Phú Thuận</v>
      </c>
    </row>
    <row r="6275" spans="1:7" x14ac:dyDescent="0.25">
      <c r="A6275" s="2">
        <v>6274</v>
      </c>
      <c r="B6275" s="3" t="s">
        <v>33</v>
      </c>
      <c r="C6275" s="4" t="str">
        <f t="shared" ref="C6275:C6306" si="500">HYPERLINK("https://diaocthongthai.com/ban-do-thua-thien-hue/","Thừa Thiên Huế")</f>
        <v>Thừa Thiên Huế</v>
      </c>
      <c r="D6275" s="3" t="s">
        <v>412</v>
      </c>
      <c r="E6275" s="4" t="str">
        <f t="shared" si="499"/>
        <v>Huyện Phú Vang</v>
      </c>
      <c r="F6275" s="3" t="s">
        <v>7037</v>
      </c>
      <c r="G6275" s="4" t="str">
        <f>HYPERLINK("https://diaocthongthai.com/xa-phu-an-phu-vang/","Xã Phú An")</f>
        <v>Xã Phú An</v>
      </c>
    </row>
    <row r="6276" spans="1:7" x14ac:dyDescent="0.25">
      <c r="A6276" s="2">
        <v>6275</v>
      </c>
      <c r="B6276" s="3" t="s">
        <v>33</v>
      </c>
      <c r="C6276" s="4" t="str">
        <f t="shared" si="500"/>
        <v>Thừa Thiên Huế</v>
      </c>
      <c r="D6276" s="3" t="s">
        <v>412</v>
      </c>
      <c r="E6276" s="4" t="str">
        <f t="shared" si="499"/>
        <v>Huyện Phú Vang</v>
      </c>
      <c r="F6276" s="3" t="s">
        <v>7038</v>
      </c>
      <c r="G6276" s="4" t="str">
        <f>HYPERLINK("https://diaocthongthai.com/xa-phu-hai-phu-vang/","Xã Phú Hải")</f>
        <v>Xã Phú Hải</v>
      </c>
    </row>
    <row r="6277" spans="1:7" x14ac:dyDescent="0.25">
      <c r="A6277" s="2">
        <v>6276</v>
      </c>
      <c r="B6277" s="3" t="s">
        <v>33</v>
      </c>
      <c r="C6277" s="4" t="str">
        <f t="shared" si="500"/>
        <v>Thừa Thiên Huế</v>
      </c>
      <c r="D6277" s="3" t="s">
        <v>412</v>
      </c>
      <c r="E6277" s="4" t="str">
        <f t="shared" si="499"/>
        <v>Huyện Phú Vang</v>
      </c>
      <c r="F6277" s="3" t="s">
        <v>7039</v>
      </c>
      <c r="G6277" s="4" t="str">
        <f>HYPERLINK("https://diaocthongthai.com/xa-phu-xuan-phu-vang/","Xã Phú Xuân")</f>
        <v>Xã Phú Xuân</v>
      </c>
    </row>
    <row r="6278" spans="1:7" x14ac:dyDescent="0.25">
      <c r="A6278" s="2">
        <v>6277</v>
      </c>
      <c r="B6278" s="3" t="s">
        <v>33</v>
      </c>
      <c r="C6278" s="4" t="str">
        <f t="shared" si="500"/>
        <v>Thừa Thiên Huế</v>
      </c>
      <c r="D6278" s="3" t="s">
        <v>412</v>
      </c>
      <c r="E6278" s="4" t="str">
        <f t="shared" si="499"/>
        <v>Huyện Phú Vang</v>
      </c>
      <c r="F6278" s="3" t="s">
        <v>7040</v>
      </c>
      <c r="G6278" s="4" t="str">
        <f>HYPERLINK("https://diaocthongthai.com/xa-phu-dien-phu-vang/","Xã Phú Diên")</f>
        <v>Xã Phú Diên</v>
      </c>
    </row>
    <row r="6279" spans="1:7" x14ac:dyDescent="0.25">
      <c r="A6279" s="2">
        <v>6278</v>
      </c>
      <c r="B6279" s="3" t="s">
        <v>33</v>
      </c>
      <c r="C6279" s="4" t="str">
        <f t="shared" si="500"/>
        <v>Thừa Thiên Huế</v>
      </c>
      <c r="D6279" s="3" t="s">
        <v>412</v>
      </c>
      <c r="E6279" s="4" t="str">
        <f t="shared" si="499"/>
        <v>Huyện Phú Vang</v>
      </c>
      <c r="F6279" s="3" t="s">
        <v>7041</v>
      </c>
      <c r="G6279" s="4" t="str">
        <f>HYPERLINK("https://diaocthongthai.com/xa-phu-my-phu-vang/","Xã Phú Mỹ")</f>
        <v>Xã Phú Mỹ</v>
      </c>
    </row>
    <row r="6280" spans="1:7" x14ac:dyDescent="0.25">
      <c r="A6280" s="2">
        <v>6279</v>
      </c>
      <c r="B6280" s="3" t="s">
        <v>33</v>
      </c>
      <c r="C6280" s="4" t="str">
        <f t="shared" si="500"/>
        <v>Thừa Thiên Huế</v>
      </c>
      <c r="D6280" s="3" t="s">
        <v>412</v>
      </c>
      <c r="E6280" s="4" t="str">
        <f t="shared" si="499"/>
        <v>Huyện Phú Vang</v>
      </c>
      <c r="F6280" s="3" t="s">
        <v>7042</v>
      </c>
      <c r="G6280" s="4" t="str">
        <f>HYPERLINK("https://diaocthongthai.com/xa-phu-ho-phu-vang/","Xã Phú Hồ")</f>
        <v>Xã Phú Hồ</v>
      </c>
    </row>
    <row r="6281" spans="1:7" x14ac:dyDescent="0.25">
      <c r="A6281" s="2">
        <v>6280</v>
      </c>
      <c r="B6281" s="3" t="s">
        <v>33</v>
      </c>
      <c r="C6281" s="4" t="str">
        <f t="shared" si="500"/>
        <v>Thừa Thiên Huế</v>
      </c>
      <c r="D6281" s="3" t="s">
        <v>412</v>
      </c>
      <c r="E6281" s="4" t="str">
        <f t="shared" si="499"/>
        <v>Huyện Phú Vang</v>
      </c>
      <c r="F6281" s="3" t="s">
        <v>7043</v>
      </c>
      <c r="G6281" s="4" t="str">
        <f>HYPERLINK("https://diaocthongthai.com/xa-vinh-xuan-phu-vang/","Xã Vinh Xuân")</f>
        <v>Xã Vinh Xuân</v>
      </c>
    </row>
    <row r="6282" spans="1:7" x14ac:dyDescent="0.25">
      <c r="A6282" s="2">
        <v>6281</v>
      </c>
      <c r="B6282" s="3" t="s">
        <v>33</v>
      </c>
      <c r="C6282" s="4" t="str">
        <f t="shared" si="500"/>
        <v>Thừa Thiên Huế</v>
      </c>
      <c r="D6282" s="3" t="s">
        <v>412</v>
      </c>
      <c r="E6282" s="4" t="str">
        <f t="shared" si="499"/>
        <v>Huyện Phú Vang</v>
      </c>
      <c r="F6282" s="3" t="s">
        <v>7044</v>
      </c>
      <c r="G6282" s="4" t="str">
        <f>HYPERLINK("https://diaocthongthai.com/xa-phu-luong-phu-vang/","Xã Phú Lương")</f>
        <v>Xã Phú Lương</v>
      </c>
    </row>
    <row r="6283" spans="1:7" x14ac:dyDescent="0.25">
      <c r="A6283" s="2">
        <v>6282</v>
      </c>
      <c r="B6283" s="3" t="s">
        <v>33</v>
      </c>
      <c r="C6283" s="4" t="str">
        <f t="shared" si="500"/>
        <v>Thừa Thiên Huế</v>
      </c>
      <c r="D6283" s="3" t="s">
        <v>412</v>
      </c>
      <c r="E6283" s="4" t="str">
        <f t="shared" si="499"/>
        <v>Huyện Phú Vang</v>
      </c>
      <c r="F6283" s="3" t="s">
        <v>7045</v>
      </c>
      <c r="G6283" s="4" t="str">
        <f>HYPERLINK("https://diaocthongthai.com/thi-tran-phu-da-phu-vang/","Thị trấn Phú Đa")</f>
        <v>Thị trấn Phú Đa</v>
      </c>
    </row>
    <row r="6284" spans="1:7" x14ac:dyDescent="0.25">
      <c r="A6284" s="2">
        <v>6283</v>
      </c>
      <c r="B6284" s="3" t="s">
        <v>33</v>
      </c>
      <c r="C6284" s="4" t="str">
        <f t="shared" si="500"/>
        <v>Thừa Thiên Huế</v>
      </c>
      <c r="D6284" s="3" t="s">
        <v>412</v>
      </c>
      <c r="E6284" s="4" t="str">
        <f t="shared" si="499"/>
        <v>Huyện Phú Vang</v>
      </c>
      <c r="F6284" s="3" t="s">
        <v>7046</v>
      </c>
      <c r="G6284" s="4" t="str">
        <f>HYPERLINK("https://diaocthongthai.com/xa-vinh-thanh-phu-vang/","Xã Vinh Thanh")</f>
        <v>Xã Vinh Thanh</v>
      </c>
    </row>
    <row r="6285" spans="1:7" x14ac:dyDescent="0.25">
      <c r="A6285" s="2">
        <v>6284</v>
      </c>
      <c r="B6285" s="3" t="s">
        <v>33</v>
      </c>
      <c r="C6285" s="4" t="str">
        <f t="shared" si="500"/>
        <v>Thừa Thiên Huế</v>
      </c>
      <c r="D6285" s="3" t="s">
        <v>412</v>
      </c>
      <c r="E6285" s="4" t="str">
        <f t="shared" si="499"/>
        <v>Huyện Phú Vang</v>
      </c>
      <c r="F6285" s="3" t="s">
        <v>7047</v>
      </c>
      <c r="G6285" s="4" t="str">
        <f>HYPERLINK("https://diaocthongthai.com/xa-vinh-an-phu-vang/","Xã Vinh An")</f>
        <v>Xã Vinh An</v>
      </c>
    </row>
    <row r="6286" spans="1:7" x14ac:dyDescent="0.25">
      <c r="A6286" s="2">
        <v>6285</v>
      </c>
      <c r="B6286" s="3" t="s">
        <v>33</v>
      </c>
      <c r="C6286" s="4" t="str">
        <f t="shared" si="500"/>
        <v>Thừa Thiên Huế</v>
      </c>
      <c r="D6286" s="3" t="s">
        <v>412</v>
      </c>
      <c r="E6286" s="4" t="str">
        <f t="shared" si="499"/>
        <v>Huyện Phú Vang</v>
      </c>
      <c r="F6286" s="3" t="s">
        <v>7048</v>
      </c>
      <c r="G6286" s="4" t="str">
        <f>HYPERLINK("https://diaocthongthai.com/xa-phu-gia-phu-vang/","Xã Phú Gia")</f>
        <v>Xã Phú Gia</v>
      </c>
    </row>
    <row r="6287" spans="1:7" x14ac:dyDescent="0.25">
      <c r="A6287" s="2">
        <v>6286</v>
      </c>
      <c r="B6287" s="3" t="s">
        <v>33</v>
      </c>
      <c r="C6287" s="4" t="str">
        <f t="shared" si="500"/>
        <v>Thừa Thiên Huế</v>
      </c>
      <c r="D6287" s="3" t="s">
        <v>412</v>
      </c>
      <c r="E6287" s="4" t="str">
        <f t="shared" si="499"/>
        <v>Huyện Phú Vang</v>
      </c>
      <c r="F6287" s="3" t="s">
        <v>7049</v>
      </c>
      <c r="G6287" s="4" t="str">
        <f>HYPERLINK("https://diaocthongthai.com/xa-vinh-ha-phu-vang/","Xã Vinh Hà")</f>
        <v>Xã Vinh Hà</v>
      </c>
    </row>
    <row r="6288" spans="1:7" x14ac:dyDescent="0.25">
      <c r="A6288" s="2">
        <v>6287</v>
      </c>
      <c r="B6288" s="3" t="s">
        <v>33</v>
      </c>
      <c r="C6288" s="4" t="str">
        <f t="shared" si="500"/>
        <v>Thừa Thiên Huế</v>
      </c>
      <c r="D6288" s="3" t="s">
        <v>413</v>
      </c>
      <c r="E6288" s="4" t="str">
        <f t="shared" ref="E6288:E6297" si="501">HYPERLINK("https://diaocthongthai.com/ban-do-thi-xa-huong-thuy-thua-thien-hue/","Thị xã Hương Thủy")</f>
        <v>Thị xã Hương Thủy</v>
      </c>
      <c r="F6288" s="3" t="s">
        <v>7050</v>
      </c>
      <c r="G6288" s="4" t="str">
        <f>HYPERLINK("https://diaocthongthai.com/phuong-phu-bai-huong-thuy/","Phường Phú Bài")</f>
        <v>Phường Phú Bài</v>
      </c>
    </row>
    <row r="6289" spans="1:7" x14ac:dyDescent="0.25">
      <c r="A6289" s="2">
        <v>6288</v>
      </c>
      <c r="B6289" s="3" t="s">
        <v>33</v>
      </c>
      <c r="C6289" s="4" t="str">
        <f t="shared" si="500"/>
        <v>Thừa Thiên Huế</v>
      </c>
      <c r="D6289" s="3" t="s">
        <v>413</v>
      </c>
      <c r="E6289" s="4" t="str">
        <f t="shared" si="501"/>
        <v>Thị xã Hương Thủy</v>
      </c>
      <c r="F6289" s="3" t="s">
        <v>7051</v>
      </c>
      <c r="G6289" s="4" t="str">
        <f>HYPERLINK("https://diaocthongthai.com/xa-thuy-thanh-huong-thuy/","Xã Thủy Thanh")</f>
        <v>Xã Thủy Thanh</v>
      </c>
    </row>
    <row r="6290" spans="1:7" x14ac:dyDescent="0.25">
      <c r="A6290" s="2">
        <v>6289</v>
      </c>
      <c r="B6290" s="3" t="s">
        <v>33</v>
      </c>
      <c r="C6290" s="4" t="str">
        <f t="shared" si="500"/>
        <v>Thừa Thiên Huế</v>
      </c>
      <c r="D6290" s="3" t="s">
        <v>413</v>
      </c>
      <c r="E6290" s="4" t="str">
        <f t="shared" si="501"/>
        <v>Thị xã Hương Thủy</v>
      </c>
      <c r="F6290" s="3" t="s">
        <v>7052</v>
      </c>
      <c r="G6290" s="4" t="str">
        <f>HYPERLINK("https://diaocthongthai.com/phuong-thuy-duong-huong-thuy/","Phường Thủy Dương")</f>
        <v>Phường Thủy Dương</v>
      </c>
    </row>
    <row r="6291" spans="1:7" x14ac:dyDescent="0.25">
      <c r="A6291" s="2">
        <v>6290</v>
      </c>
      <c r="B6291" s="3" t="s">
        <v>33</v>
      </c>
      <c r="C6291" s="4" t="str">
        <f t="shared" si="500"/>
        <v>Thừa Thiên Huế</v>
      </c>
      <c r="D6291" s="3" t="s">
        <v>413</v>
      </c>
      <c r="E6291" s="4" t="str">
        <f t="shared" si="501"/>
        <v>Thị xã Hương Thủy</v>
      </c>
      <c r="F6291" s="3" t="s">
        <v>7053</v>
      </c>
      <c r="G6291" s="4" t="str">
        <f>HYPERLINK("https://diaocthongthai.com/phuong-thuy-phuong-huong-thuy/","Phường Thủy Phương")</f>
        <v>Phường Thủy Phương</v>
      </c>
    </row>
    <row r="6292" spans="1:7" x14ac:dyDescent="0.25">
      <c r="A6292" s="2">
        <v>6291</v>
      </c>
      <c r="B6292" s="3" t="s">
        <v>33</v>
      </c>
      <c r="C6292" s="4" t="str">
        <f t="shared" si="500"/>
        <v>Thừa Thiên Huế</v>
      </c>
      <c r="D6292" s="3" t="s">
        <v>413</v>
      </c>
      <c r="E6292" s="4" t="str">
        <f t="shared" si="501"/>
        <v>Thị xã Hương Thủy</v>
      </c>
      <c r="F6292" s="3" t="s">
        <v>7054</v>
      </c>
      <c r="G6292" s="4" t="str">
        <f>HYPERLINK("https://diaocthongthai.com/phuong-thuy-chau-huong-thuy/","Phường Thủy Châu")</f>
        <v>Phường Thủy Châu</v>
      </c>
    </row>
    <row r="6293" spans="1:7" x14ac:dyDescent="0.25">
      <c r="A6293" s="2">
        <v>6292</v>
      </c>
      <c r="B6293" s="3" t="s">
        <v>33</v>
      </c>
      <c r="C6293" s="4" t="str">
        <f t="shared" si="500"/>
        <v>Thừa Thiên Huế</v>
      </c>
      <c r="D6293" s="3" t="s">
        <v>413</v>
      </c>
      <c r="E6293" s="4" t="str">
        <f t="shared" si="501"/>
        <v>Thị xã Hương Thủy</v>
      </c>
      <c r="F6293" s="3" t="s">
        <v>7055</v>
      </c>
      <c r="G6293" s="4" t="str">
        <f>HYPERLINK("https://diaocthongthai.com/phuong-thuy-luong-huong-thuy/","Phường Thủy Lương")</f>
        <v>Phường Thủy Lương</v>
      </c>
    </row>
    <row r="6294" spans="1:7" x14ac:dyDescent="0.25">
      <c r="A6294" s="2">
        <v>6293</v>
      </c>
      <c r="B6294" s="3" t="s">
        <v>33</v>
      </c>
      <c r="C6294" s="4" t="str">
        <f t="shared" si="500"/>
        <v>Thừa Thiên Huế</v>
      </c>
      <c r="D6294" s="3" t="s">
        <v>413</v>
      </c>
      <c r="E6294" s="4" t="str">
        <f t="shared" si="501"/>
        <v>Thị xã Hương Thủy</v>
      </c>
      <c r="F6294" s="3" t="s">
        <v>7056</v>
      </c>
      <c r="G6294" s="4" t="str">
        <f>HYPERLINK("https://diaocthongthai.com/xa-thuy-tan-huong-thuy/","Xã Thủy Tân")</f>
        <v>Xã Thủy Tân</v>
      </c>
    </row>
    <row r="6295" spans="1:7" x14ac:dyDescent="0.25">
      <c r="A6295" s="2">
        <v>6294</v>
      </c>
      <c r="B6295" s="3" t="s">
        <v>33</v>
      </c>
      <c r="C6295" s="4" t="str">
        <f t="shared" si="500"/>
        <v>Thừa Thiên Huế</v>
      </c>
      <c r="D6295" s="3" t="s">
        <v>413</v>
      </c>
      <c r="E6295" s="4" t="str">
        <f t="shared" si="501"/>
        <v>Thị xã Hương Thủy</v>
      </c>
      <c r="F6295" s="3" t="s">
        <v>7057</v>
      </c>
      <c r="G6295" s="4" t="str">
        <f>HYPERLINK("https://diaocthongthai.com/xa-thuy-phu-huong-thuy/","Xã Thủy Phù")</f>
        <v>Xã Thủy Phù</v>
      </c>
    </row>
    <row r="6296" spans="1:7" x14ac:dyDescent="0.25">
      <c r="A6296" s="2">
        <v>6295</v>
      </c>
      <c r="B6296" s="3" t="s">
        <v>33</v>
      </c>
      <c r="C6296" s="4" t="str">
        <f t="shared" si="500"/>
        <v>Thừa Thiên Huế</v>
      </c>
      <c r="D6296" s="3" t="s">
        <v>413</v>
      </c>
      <c r="E6296" s="4" t="str">
        <f t="shared" si="501"/>
        <v>Thị xã Hương Thủy</v>
      </c>
      <c r="F6296" s="3" t="s">
        <v>7058</v>
      </c>
      <c r="G6296" s="4" t="str">
        <f>HYPERLINK("https://diaocthongthai.com/xa-phu-son-huong-thuy/","Xã Phú Sơn")</f>
        <v>Xã Phú Sơn</v>
      </c>
    </row>
    <row r="6297" spans="1:7" x14ac:dyDescent="0.25">
      <c r="A6297" s="2">
        <v>6296</v>
      </c>
      <c r="B6297" s="3" t="s">
        <v>33</v>
      </c>
      <c r="C6297" s="4" t="str">
        <f t="shared" si="500"/>
        <v>Thừa Thiên Huế</v>
      </c>
      <c r="D6297" s="3" t="s">
        <v>413</v>
      </c>
      <c r="E6297" s="4" t="str">
        <f t="shared" si="501"/>
        <v>Thị xã Hương Thủy</v>
      </c>
      <c r="F6297" s="3" t="s">
        <v>7059</v>
      </c>
      <c r="G6297" s="4" t="str">
        <f>HYPERLINK("https://diaocthongthai.com/xa-duong-hoa-huong-thuy/","Xã Dương Hòa")</f>
        <v>Xã Dương Hòa</v>
      </c>
    </row>
    <row r="6298" spans="1:7" x14ac:dyDescent="0.25">
      <c r="A6298" s="2">
        <v>6297</v>
      </c>
      <c r="B6298" s="3" t="s">
        <v>33</v>
      </c>
      <c r="C6298" s="4" t="str">
        <f t="shared" si="500"/>
        <v>Thừa Thiên Huế</v>
      </c>
      <c r="D6298" s="3" t="s">
        <v>414</v>
      </c>
      <c r="E6298" s="4" t="str">
        <f t="shared" ref="E6298:E6306" si="502">HYPERLINK("https://diaocthongthai.com/ban-do-thi-xa-huong-tra-thua-thien-hue/","Thị xã Hương Trà")</f>
        <v>Thị xã Hương Trà</v>
      </c>
      <c r="F6298" s="3" t="s">
        <v>7060</v>
      </c>
      <c r="G6298" s="4" t="str">
        <f>HYPERLINK("https://diaocthongthai.com/phuong-tu-ha-huong-tra/","Phường Tứ Hạ")</f>
        <v>Phường Tứ Hạ</v>
      </c>
    </row>
    <row r="6299" spans="1:7" x14ac:dyDescent="0.25">
      <c r="A6299" s="2">
        <v>6298</v>
      </c>
      <c r="B6299" s="3" t="s">
        <v>33</v>
      </c>
      <c r="C6299" s="4" t="str">
        <f t="shared" si="500"/>
        <v>Thừa Thiên Huế</v>
      </c>
      <c r="D6299" s="3" t="s">
        <v>414</v>
      </c>
      <c r="E6299" s="4" t="str">
        <f t="shared" si="502"/>
        <v>Thị xã Hương Trà</v>
      </c>
      <c r="F6299" s="3" t="s">
        <v>7061</v>
      </c>
      <c r="G6299" s="4" t="str">
        <f>HYPERLINK("https://diaocthongthai.com/xa-huong-toan-huong-tra/","Xã Hương Toàn")</f>
        <v>Xã Hương Toàn</v>
      </c>
    </row>
    <row r="6300" spans="1:7" x14ac:dyDescent="0.25">
      <c r="A6300" s="2">
        <v>6299</v>
      </c>
      <c r="B6300" s="3" t="s">
        <v>33</v>
      </c>
      <c r="C6300" s="4" t="str">
        <f t="shared" si="500"/>
        <v>Thừa Thiên Huế</v>
      </c>
      <c r="D6300" s="3" t="s">
        <v>414</v>
      </c>
      <c r="E6300" s="4" t="str">
        <f t="shared" si="502"/>
        <v>Thị xã Hương Trà</v>
      </c>
      <c r="F6300" s="3" t="s">
        <v>7062</v>
      </c>
      <c r="G6300" s="4" t="str">
        <f>HYPERLINK("https://diaocthongthai.com/phuong-huong-van-2-huong-tra/","Phường Hương Vân")</f>
        <v>Phường Hương Vân</v>
      </c>
    </row>
    <row r="6301" spans="1:7" x14ac:dyDescent="0.25">
      <c r="A6301" s="2">
        <v>6300</v>
      </c>
      <c r="B6301" s="3" t="s">
        <v>33</v>
      </c>
      <c r="C6301" s="4" t="str">
        <f t="shared" si="500"/>
        <v>Thừa Thiên Huế</v>
      </c>
      <c r="D6301" s="3" t="s">
        <v>414</v>
      </c>
      <c r="E6301" s="4" t="str">
        <f t="shared" si="502"/>
        <v>Thị xã Hương Trà</v>
      </c>
      <c r="F6301" s="3" t="s">
        <v>7063</v>
      </c>
      <c r="G6301" s="4" t="str">
        <f>HYPERLINK("https://diaocthongthai.com/phuong-huong-van-1-huong-tra/","Phường Hương Văn")</f>
        <v>Phường Hương Văn</v>
      </c>
    </row>
    <row r="6302" spans="1:7" x14ac:dyDescent="0.25">
      <c r="A6302" s="2">
        <v>6301</v>
      </c>
      <c r="B6302" s="3" t="s">
        <v>33</v>
      </c>
      <c r="C6302" s="4" t="str">
        <f t="shared" si="500"/>
        <v>Thừa Thiên Huế</v>
      </c>
      <c r="D6302" s="3" t="s">
        <v>414</v>
      </c>
      <c r="E6302" s="4" t="str">
        <f t="shared" si="502"/>
        <v>Thị xã Hương Trà</v>
      </c>
      <c r="F6302" s="3" t="s">
        <v>7064</v>
      </c>
      <c r="G6302" s="4" t="str">
        <f>HYPERLINK("https://diaocthongthai.com/phuong-huong-xuan-huong-tra/","Phường Hương Xuân")</f>
        <v>Phường Hương Xuân</v>
      </c>
    </row>
    <row r="6303" spans="1:7" x14ac:dyDescent="0.25">
      <c r="A6303" s="2">
        <v>6302</v>
      </c>
      <c r="B6303" s="3" t="s">
        <v>33</v>
      </c>
      <c r="C6303" s="4" t="str">
        <f t="shared" si="500"/>
        <v>Thừa Thiên Huế</v>
      </c>
      <c r="D6303" s="3" t="s">
        <v>414</v>
      </c>
      <c r="E6303" s="4" t="str">
        <f t="shared" si="502"/>
        <v>Thị xã Hương Trà</v>
      </c>
      <c r="F6303" s="3" t="s">
        <v>7065</v>
      </c>
      <c r="G6303" s="4" t="str">
        <f>HYPERLINK("https://diaocthongthai.com/phuong-huong-chu-huong-tra/","Phường Hương Chữ")</f>
        <v>Phường Hương Chữ</v>
      </c>
    </row>
    <row r="6304" spans="1:7" x14ac:dyDescent="0.25">
      <c r="A6304" s="2">
        <v>6303</v>
      </c>
      <c r="B6304" s="3" t="s">
        <v>33</v>
      </c>
      <c r="C6304" s="4" t="str">
        <f t="shared" si="500"/>
        <v>Thừa Thiên Huế</v>
      </c>
      <c r="D6304" s="3" t="s">
        <v>414</v>
      </c>
      <c r="E6304" s="4" t="str">
        <f t="shared" si="502"/>
        <v>Thị xã Hương Trà</v>
      </c>
      <c r="F6304" s="3" t="s">
        <v>7066</v>
      </c>
      <c r="G6304" s="4" t="str">
        <f>HYPERLINK("https://diaocthongthai.com/xa-huong-binh-huong-tra/","Xã Hương Bình")</f>
        <v>Xã Hương Bình</v>
      </c>
    </row>
    <row r="6305" spans="1:7" x14ac:dyDescent="0.25">
      <c r="A6305" s="2">
        <v>6304</v>
      </c>
      <c r="B6305" s="3" t="s">
        <v>33</v>
      </c>
      <c r="C6305" s="4" t="str">
        <f t="shared" si="500"/>
        <v>Thừa Thiên Huế</v>
      </c>
      <c r="D6305" s="3" t="s">
        <v>414</v>
      </c>
      <c r="E6305" s="4" t="str">
        <f t="shared" si="502"/>
        <v>Thị xã Hương Trà</v>
      </c>
      <c r="F6305" s="3" t="s">
        <v>7067</v>
      </c>
      <c r="G6305" s="4" t="str">
        <f>HYPERLINK("https://diaocthongthai.com/xa-binh-tien-huong-tra/","Xã Bình Tiến")</f>
        <v>Xã Bình Tiến</v>
      </c>
    </row>
    <row r="6306" spans="1:7" x14ac:dyDescent="0.25">
      <c r="A6306" s="2">
        <v>6305</v>
      </c>
      <c r="B6306" s="3" t="s">
        <v>33</v>
      </c>
      <c r="C6306" s="4" t="str">
        <f t="shared" si="500"/>
        <v>Thừa Thiên Huế</v>
      </c>
      <c r="D6306" s="3" t="s">
        <v>414</v>
      </c>
      <c r="E6306" s="4" t="str">
        <f t="shared" si="502"/>
        <v>Thị xã Hương Trà</v>
      </c>
      <c r="F6306" s="3" t="s">
        <v>7068</v>
      </c>
      <c r="G6306" s="4" t="str">
        <f>HYPERLINK("https://diaocthongthai.com/xa-binh-thanh-huong-tra/","Xã Bình Thành")</f>
        <v>Xã Bình Thành</v>
      </c>
    </row>
    <row r="6307" spans="1:7" x14ac:dyDescent="0.25">
      <c r="A6307" s="2">
        <v>6306</v>
      </c>
      <c r="B6307" s="3" t="s">
        <v>33</v>
      </c>
      <c r="C6307" s="4" t="str">
        <f t="shared" ref="C6307:C6338" si="503">HYPERLINK("https://diaocthongthai.com/ban-do-thua-thien-hue/","Thừa Thiên Huế")</f>
        <v>Thừa Thiên Huế</v>
      </c>
      <c r="D6307" s="3" t="s">
        <v>415</v>
      </c>
      <c r="E6307" s="4" t="str">
        <f t="shared" ref="E6307:E6324" si="504">HYPERLINK("https://diaocthongthai.com/ban-do-huyen-a-luoi-thua-thien-hue/","Huyện A Lưới")</f>
        <v>Huyện A Lưới</v>
      </c>
      <c r="F6307" s="3" t="s">
        <v>7069</v>
      </c>
      <c r="G6307" s="4" t="str">
        <f>HYPERLINK("https://diaocthongthai.com/thi-tran-a-luoi-a-luoi/","Thị trấn A Lưới")</f>
        <v>Thị trấn A Lưới</v>
      </c>
    </row>
    <row r="6308" spans="1:7" x14ac:dyDescent="0.25">
      <c r="A6308" s="2">
        <v>6307</v>
      </c>
      <c r="B6308" s="3" t="s">
        <v>33</v>
      </c>
      <c r="C6308" s="4" t="str">
        <f t="shared" si="503"/>
        <v>Thừa Thiên Huế</v>
      </c>
      <c r="D6308" s="3" t="s">
        <v>415</v>
      </c>
      <c r="E6308" s="4" t="str">
        <f t="shared" si="504"/>
        <v>Huyện A Lưới</v>
      </c>
      <c r="F6308" s="3" t="s">
        <v>7070</v>
      </c>
      <c r="G6308" s="4" t="str">
        <f>HYPERLINK("https://diaocthongthai.com/xa-hong-van-a-luoi/","Xã Hồng Vân")</f>
        <v>Xã Hồng Vân</v>
      </c>
    </row>
    <row r="6309" spans="1:7" x14ac:dyDescent="0.25">
      <c r="A6309" s="2">
        <v>6308</v>
      </c>
      <c r="B6309" s="3" t="s">
        <v>33</v>
      </c>
      <c r="C6309" s="4" t="str">
        <f t="shared" si="503"/>
        <v>Thừa Thiên Huế</v>
      </c>
      <c r="D6309" s="3" t="s">
        <v>415</v>
      </c>
      <c r="E6309" s="4" t="str">
        <f t="shared" si="504"/>
        <v>Huyện A Lưới</v>
      </c>
      <c r="F6309" s="3" t="s">
        <v>7071</v>
      </c>
      <c r="G6309" s="4" t="str">
        <f>HYPERLINK("https://diaocthongthai.com/xa-hong-ha-a-luoi/","Xã Hồng Hạ")</f>
        <v>Xã Hồng Hạ</v>
      </c>
    </row>
    <row r="6310" spans="1:7" x14ac:dyDescent="0.25">
      <c r="A6310" s="2">
        <v>6309</v>
      </c>
      <c r="B6310" s="3" t="s">
        <v>33</v>
      </c>
      <c r="C6310" s="4" t="str">
        <f t="shared" si="503"/>
        <v>Thừa Thiên Huế</v>
      </c>
      <c r="D6310" s="3" t="s">
        <v>415</v>
      </c>
      <c r="E6310" s="4" t="str">
        <f t="shared" si="504"/>
        <v>Huyện A Lưới</v>
      </c>
      <c r="F6310" s="3" t="s">
        <v>7072</v>
      </c>
      <c r="G6310" s="4" t="str">
        <f>HYPERLINK("https://diaocthongthai.com/xa-hong-kim-a-luoi/","Xã Hồng Kim")</f>
        <v>Xã Hồng Kim</v>
      </c>
    </row>
    <row r="6311" spans="1:7" x14ac:dyDescent="0.25">
      <c r="A6311" s="2">
        <v>6310</v>
      </c>
      <c r="B6311" s="3" t="s">
        <v>33</v>
      </c>
      <c r="C6311" s="4" t="str">
        <f t="shared" si="503"/>
        <v>Thừa Thiên Huế</v>
      </c>
      <c r="D6311" s="3" t="s">
        <v>415</v>
      </c>
      <c r="E6311" s="4" t="str">
        <f t="shared" si="504"/>
        <v>Huyện A Lưới</v>
      </c>
      <c r="F6311" s="3" t="s">
        <v>7073</v>
      </c>
      <c r="G6311" s="4" t="str">
        <f>HYPERLINK("https://diaocthongthai.com/xa-trung-son-a-luoi/","Xã Trung Sơn")</f>
        <v>Xã Trung Sơn</v>
      </c>
    </row>
    <row r="6312" spans="1:7" x14ac:dyDescent="0.25">
      <c r="A6312" s="2">
        <v>6311</v>
      </c>
      <c r="B6312" s="3" t="s">
        <v>33</v>
      </c>
      <c r="C6312" s="4" t="str">
        <f t="shared" si="503"/>
        <v>Thừa Thiên Huế</v>
      </c>
      <c r="D6312" s="3" t="s">
        <v>415</v>
      </c>
      <c r="E6312" s="4" t="str">
        <f t="shared" si="504"/>
        <v>Huyện A Lưới</v>
      </c>
      <c r="F6312" s="3" t="s">
        <v>7074</v>
      </c>
      <c r="G6312" s="4" t="str">
        <f>HYPERLINK("https://diaocthongthai.com/xa-huong-nguyen-a-luoi/","Xã Hương Nguyên")</f>
        <v>Xã Hương Nguyên</v>
      </c>
    </row>
    <row r="6313" spans="1:7" x14ac:dyDescent="0.25">
      <c r="A6313" s="2">
        <v>6312</v>
      </c>
      <c r="B6313" s="3" t="s">
        <v>33</v>
      </c>
      <c r="C6313" s="4" t="str">
        <f t="shared" si="503"/>
        <v>Thừa Thiên Huế</v>
      </c>
      <c r="D6313" s="3" t="s">
        <v>415</v>
      </c>
      <c r="E6313" s="4" t="str">
        <f t="shared" si="504"/>
        <v>Huyện A Lưới</v>
      </c>
      <c r="F6313" s="3" t="s">
        <v>7075</v>
      </c>
      <c r="G6313" s="4" t="str">
        <f>HYPERLINK("https://diaocthongthai.com/xa-hong-bac-a-luoi/","Xã Hồng Bắc")</f>
        <v>Xã Hồng Bắc</v>
      </c>
    </row>
    <row r="6314" spans="1:7" x14ac:dyDescent="0.25">
      <c r="A6314" s="2">
        <v>6313</v>
      </c>
      <c r="B6314" s="3" t="s">
        <v>33</v>
      </c>
      <c r="C6314" s="4" t="str">
        <f t="shared" si="503"/>
        <v>Thừa Thiên Huế</v>
      </c>
      <c r="D6314" s="3" t="s">
        <v>415</v>
      </c>
      <c r="E6314" s="4" t="str">
        <f t="shared" si="504"/>
        <v>Huyện A Lưới</v>
      </c>
      <c r="F6314" s="3" t="s">
        <v>7076</v>
      </c>
      <c r="G6314" s="4" t="str">
        <f>HYPERLINK("https://diaocthongthai.com/xa-a-ngo-a-luoi/","Xã A Ngo")</f>
        <v>Xã A Ngo</v>
      </c>
    </row>
    <row r="6315" spans="1:7" x14ac:dyDescent="0.25">
      <c r="A6315" s="2">
        <v>6314</v>
      </c>
      <c r="B6315" s="3" t="s">
        <v>33</v>
      </c>
      <c r="C6315" s="4" t="str">
        <f t="shared" si="503"/>
        <v>Thừa Thiên Huế</v>
      </c>
      <c r="D6315" s="3" t="s">
        <v>415</v>
      </c>
      <c r="E6315" s="4" t="str">
        <f t="shared" si="504"/>
        <v>Huyện A Lưới</v>
      </c>
      <c r="F6315" s="3" t="s">
        <v>7077</v>
      </c>
      <c r="G6315" s="4" t="str">
        <f>HYPERLINK("https://diaocthongthai.com/xa-son-thuy-a-luoi/","Xã Sơn Thủy")</f>
        <v>Xã Sơn Thủy</v>
      </c>
    </row>
    <row r="6316" spans="1:7" x14ac:dyDescent="0.25">
      <c r="A6316" s="2">
        <v>6315</v>
      </c>
      <c r="B6316" s="3" t="s">
        <v>33</v>
      </c>
      <c r="C6316" s="4" t="str">
        <f t="shared" si="503"/>
        <v>Thừa Thiên Huế</v>
      </c>
      <c r="D6316" s="3" t="s">
        <v>415</v>
      </c>
      <c r="E6316" s="4" t="str">
        <f t="shared" si="504"/>
        <v>Huyện A Lưới</v>
      </c>
      <c r="F6316" s="3" t="s">
        <v>7078</v>
      </c>
      <c r="G6316" s="4" t="str">
        <f>HYPERLINK("https://diaocthongthai.com/xa-phu-vinh-a-luoi/","Xã Phú Vinh")</f>
        <v>Xã Phú Vinh</v>
      </c>
    </row>
    <row r="6317" spans="1:7" x14ac:dyDescent="0.25">
      <c r="A6317" s="2">
        <v>6316</v>
      </c>
      <c r="B6317" s="3" t="s">
        <v>33</v>
      </c>
      <c r="C6317" s="4" t="str">
        <f t="shared" si="503"/>
        <v>Thừa Thiên Huế</v>
      </c>
      <c r="D6317" s="3" t="s">
        <v>415</v>
      </c>
      <c r="E6317" s="4" t="str">
        <f t="shared" si="504"/>
        <v>Huyện A Lưới</v>
      </c>
      <c r="F6317" s="3" t="s">
        <v>7079</v>
      </c>
      <c r="G6317" s="4" t="str">
        <f>HYPERLINK("https://diaocthongthai.com/xa-huong-phong-a-luoi/","Xã Hương Phong")</f>
        <v>Xã Hương Phong</v>
      </c>
    </row>
    <row r="6318" spans="1:7" x14ac:dyDescent="0.25">
      <c r="A6318" s="2">
        <v>6317</v>
      </c>
      <c r="B6318" s="3" t="s">
        <v>33</v>
      </c>
      <c r="C6318" s="4" t="str">
        <f t="shared" si="503"/>
        <v>Thừa Thiên Huế</v>
      </c>
      <c r="D6318" s="3" t="s">
        <v>415</v>
      </c>
      <c r="E6318" s="4" t="str">
        <f t="shared" si="504"/>
        <v>Huyện A Lưới</v>
      </c>
      <c r="F6318" s="3" t="s">
        <v>7080</v>
      </c>
      <c r="G6318" s="4" t="str">
        <f>HYPERLINK("https://diaocthongthai.com/xa-quang-nham-a-luoi/","Xã Quảng Nhâm")</f>
        <v>Xã Quảng Nhâm</v>
      </c>
    </row>
    <row r="6319" spans="1:7" x14ac:dyDescent="0.25">
      <c r="A6319" s="2">
        <v>6318</v>
      </c>
      <c r="B6319" s="3" t="s">
        <v>33</v>
      </c>
      <c r="C6319" s="4" t="str">
        <f t="shared" si="503"/>
        <v>Thừa Thiên Huế</v>
      </c>
      <c r="D6319" s="3" t="s">
        <v>415</v>
      </c>
      <c r="E6319" s="4" t="str">
        <f t="shared" si="504"/>
        <v>Huyện A Lưới</v>
      </c>
      <c r="F6319" s="3" t="s">
        <v>7081</v>
      </c>
      <c r="G6319" s="4" t="str">
        <f>HYPERLINK("https://diaocthongthai.com/xa-hong-thuong-a-luoi/","Xã Hồng Thượng")</f>
        <v>Xã Hồng Thượng</v>
      </c>
    </row>
    <row r="6320" spans="1:7" x14ac:dyDescent="0.25">
      <c r="A6320" s="2">
        <v>6319</v>
      </c>
      <c r="B6320" s="3" t="s">
        <v>33</v>
      </c>
      <c r="C6320" s="4" t="str">
        <f t="shared" si="503"/>
        <v>Thừa Thiên Huế</v>
      </c>
      <c r="D6320" s="3" t="s">
        <v>415</v>
      </c>
      <c r="E6320" s="4" t="str">
        <f t="shared" si="504"/>
        <v>Huyện A Lưới</v>
      </c>
      <c r="F6320" s="3" t="s">
        <v>7082</v>
      </c>
      <c r="G6320" s="4" t="str">
        <f>HYPERLINK("https://diaocthongthai.com/xa-hong-thai-a-luoi/","Xã Hồng Thái")</f>
        <v>Xã Hồng Thái</v>
      </c>
    </row>
    <row r="6321" spans="1:7" x14ac:dyDescent="0.25">
      <c r="A6321" s="2">
        <v>6320</v>
      </c>
      <c r="B6321" s="3" t="s">
        <v>33</v>
      </c>
      <c r="C6321" s="4" t="str">
        <f t="shared" si="503"/>
        <v>Thừa Thiên Huế</v>
      </c>
      <c r="D6321" s="3" t="s">
        <v>415</v>
      </c>
      <c r="E6321" s="4" t="str">
        <f t="shared" si="504"/>
        <v>Huyện A Lưới</v>
      </c>
      <c r="F6321" s="3" t="s">
        <v>7083</v>
      </c>
      <c r="G6321" s="4" t="str">
        <f>HYPERLINK("https://diaocthongthai.com/xa-a-roang-a-luoi/","Xã A Roàng")</f>
        <v>Xã A Roàng</v>
      </c>
    </row>
    <row r="6322" spans="1:7" x14ac:dyDescent="0.25">
      <c r="A6322" s="2">
        <v>6321</v>
      </c>
      <c r="B6322" s="3" t="s">
        <v>33</v>
      </c>
      <c r="C6322" s="4" t="str">
        <f t="shared" si="503"/>
        <v>Thừa Thiên Huế</v>
      </c>
      <c r="D6322" s="3" t="s">
        <v>415</v>
      </c>
      <c r="E6322" s="4" t="str">
        <f t="shared" si="504"/>
        <v>Huyện A Lưới</v>
      </c>
      <c r="F6322" s="3" t="s">
        <v>7084</v>
      </c>
      <c r="G6322" s="4" t="str">
        <f>HYPERLINK("https://diaocthongthai.com/xa-dong-son-a-luoi/","Xã Đông Sơn")</f>
        <v>Xã Đông Sơn</v>
      </c>
    </row>
    <row r="6323" spans="1:7" x14ac:dyDescent="0.25">
      <c r="A6323" s="2">
        <v>6322</v>
      </c>
      <c r="B6323" s="3" t="s">
        <v>33</v>
      </c>
      <c r="C6323" s="4" t="str">
        <f t="shared" si="503"/>
        <v>Thừa Thiên Huế</v>
      </c>
      <c r="D6323" s="3" t="s">
        <v>415</v>
      </c>
      <c r="E6323" s="4" t="str">
        <f t="shared" si="504"/>
        <v>Huyện A Lưới</v>
      </c>
      <c r="F6323" s="3" t="s">
        <v>7085</v>
      </c>
      <c r="G6323" s="4" t="str">
        <f>HYPERLINK("https://diaocthongthai.com/xa-lam-dot-a-luoi/","Xã Lâm Đớt")</f>
        <v>Xã Lâm Đớt</v>
      </c>
    </row>
    <row r="6324" spans="1:7" x14ac:dyDescent="0.25">
      <c r="A6324" s="2">
        <v>6323</v>
      </c>
      <c r="B6324" s="3" t="s">
        <v>33</v>
      </c>
      <c r="C6324" s="4" t="str">
        <f t="shared" si="503"/>
        <v>Thừa Thiên Huế</v>
      </c>
      <c r="D6324" s="3" t="s">
        <v>415</v>
      </c>
      <c r="E6324" s="4" t="str">
        <f t="shared" si="504"/>
        <v>Huyện A Lưới</v>
      </c>
      <c r="F6324" s="3" t="s">
        <v>7086</v>
      </c>
      <c r="G6324" s="4" t="str">
        <f>HYPERLINK("https://diaocthongthai.com/xa-hong-thuy-a-luoi/","Xã Hồng Thủy")</f>
        <v>Xã Hồng Thủy</v>
      </c>
    </row>
    <row r="6325" spans="1:7" x14ac:dyDescent="0.25">
      <c r="A6325" s="2">
        <v>6324</v>
      </c>
      <c r="B6325" s="3" t="s">
        <v>33</v>
      </c>
      <c r="C6325" s="4" t="str">
        <f t="shared" si="503"/>
        <v>Thừa Thiên Huế</v>
      </c>
      <c r="D6325" s="3" t="s">
        <v>416</v>
      </c>
      <c r="E6325" s="4" t="str">
        <f t="shared" ref="E6325:E6341" si="505">HYPERLINK("https://diaocthongthai.com/ban-do-huyen-phu-loc-thua-thien-hue/","Huyện Phú Lộc")</f>
        <v>Huyện Phú Lộc</v>
      </c>
      <c r="F6325" s="3" t="s">
        <v>7087</v>
      </c>
      <c r="G6325" s="4" t="str">
        <f>HYPERLINK("https://diaocthongthai.com/thi-tran-phu-loc-phu-loc/","Thị trấn Phú Lộc")</f>
        <v>Thị trấn Phú Lộc</v>
      </c>
    </row>
    <row r="6326" spans="1:7" x14ac:dyDescent="0.25">
      <c r="A6326" s="2">
        <v>6325</v>
      </c>
      <c r="B6326" s="3" t="s">
        <v>33</v>
      </c>
      <c r="C6326" s="4" t="str">
        <f t="shared" si="503"/>
        <v>Thừa Thiên Huế</v>
      </c>
      <c r="D6326" s="3" t="s">
        <v>416</v>
      </c>
      <c r="E6326" s="4" t="str">
        <f t="shared" si="505"/>
        <v>Huyện Phú Lộc</v>
      </c>
      <c r="F6326" s="3" t="s">
        <v>7088</v>
      </c>
      <c r="G6326" s="4" t="str">
        <f>HYPERLINK("https://diaocthongthai.com/thi-tran-lang-co-phu-loc/","Thị trấn Lăng Cô")</f>
        <v>Thị trấn Lăng Cô</v>
      </c>
    </row>
    <row r="6327" spans="1:7" x14ac:dyDescent="0.25">
      <c r="A6327" s="2">
        <v>6326</v>
      </c>
      <c r="B6327" s="3" t="s">
        <v>33</v>
      </c>
      <c r="C6327" s="4" t="str">
        <f t="shared" si="503"/>
        <v>Thừa Thiên Huế</v>
      </c>
      <c r="D6327" s="3" t="s">
        <v>416</v>
      </c>
      <c r="E6327" s="4" t="str">
        <f t="shared" si="505"/>
        <v>Huyện Phú Lộc</v>
      </c>
      <c r="F6327" s="3" t="s">
        <v>7089</v>
      </c>
      <c r="G6327" s="4" t="str">
        <f>HYPERLINK("https://diaocthongthai.com/xa-vinh-my-phu-loc/","Xã Vinh Mỹ")</f>
        <v>Xã Vinh Mỹ</v>
      </c>
    </row>
    <row r="6328" spans="1:7" x14ac:dyDescent="0.25">
      <c r="A6328" s="2">
        <v>6327</v>
      </c>
      <c r="B6328" s="3" t="s">
        <v>33</v>
      </c>
      <c r="C6328" s="4" t="str">
        <f t="shared" si="503"/>
        <v>Thừa Thiên Huế</v>
      </c>
      <c r="D6328" s="3" t="s">
        <v>416</v>
      </c>
      <c r="E6328" s="4" t="str">
        <f t="shared" si="505"/>
        <v>Huyện Phú Lộc</v>
      </c>
      <c r="F6328" s="3" t="s">
        <v>7090</v>
      </c>
      <c r="G6328" s="4" t="str">
        <f>HYPERLINK("https://diaocthongthai.com/xa-vinh-hung-phu-loc/","Xã Vinh Hưng")</f>
        <v>Xã Vinh Hưng</v>
      </c>
    </row>
    <row r="6329" spans="1:7" x14ac:dyDescent="0.25">
      <c r="A6329" s="2">
        <v>6328</v>
      </c>
      <c r="B6329" s="3" t="s">
        <v>33</v>
      </c>
      <c r="C6329" s="4" t="str">
        <f t="shared" si="503"/>
        <v>Thừa Thiên Huế</v>
      </c>
      <c r="D6329" s="3" t="s">
        <v>416</v>
      </c>
      <c r="E6329" s="4" t="str">
        <f t="shared" si="505"/>
        <v>Huyện Phú Lộc</v>
      </c>
      <c r="F6329" s="3" t="s">
        <v>7091</v>
      </c>
      <c r="G6329" s="4" t="str">
        <f>HYPERLINK("https://diaocthongthai.com/xa-giang-hai-phu-loc/","Xã Giang Hải")</f>
        <v>Xã Giang Hải</v>
      </c>
    </row>
    <row r="6330" spans="1:7" x14ac:dyDescent="0.25">
      <c r="A6330" s="2">
        <v>6329</v>
      </c>
      <c r="B6330" s="3" t="s">
        <v>33</v>
      </c>
      <c r="C6330" s="4" t="str">
        <f t="shared" si="503"/>
        <v>Thừa Thiên Huế</v>
      </c>
      <c r="D6330" s="3" t="s">
        <v>416</v>
      </c>
      <c r="E6330" s="4" t="str">
        <f t="shared" si="505"/>
        <v>Huyện Phú Lộc</v>
      </c>
      <c r="F6330" s="3" t="s">
        <v>7092</v>
      </c>
      <c r="G6330" s="4" t="str">
        <f>HYPERLINK("https://diaocthongthai.com/xa-vinh-hien-phu-loc/","Xã Vinh Hiền")</f>
        <v>Xã Vinh Hiền</v>
      </c>
    </row>
    <row r="6331" spans="1:7" x14ac:dyDescent="0.25">
      <c r="A6331" s="2">
        <v>6330</v>
      </c>
      <c r="B6331" s="3" t="s">
        <v>33</v>
      </c>
      <c r="C6331" s="4" t="str">
        <f t="shared" si="503"/>
        <v>Thừa Thiên Huế</v>
      </c>
      <c r="D6331" s="3" t="s">
        <v>416</v>
      </c>
      <c r="E6331" s="4" t="str">
        <f t="shared" si="505"/>
        <v>Huyện Phú Lộc</v>
      </c>
      <c r="F6331" s="3" t="s">
        <v>7093</v>
      </c>
      <c r="G6331" s="4" t="str">
        <f>HYPERLINK("https://diaocthongthai.com/xa-loc-bon-phu-loc/","Xã Lộc Bổn")</f>
        <v>Xã Lộc Bổn</v>
      </c>
    </row>
    <row r="6332" spans="1:7" x14ac:dyDescent="0.25">
      <c r="A6332" s="2">
        <v>6331</v>
      </c>
      <c r="B6332" s="3" t="s">
        <v>33</v>
      </c>
      <c r="C6332" s="4" t="str">
        <f t="shared" si="503"/>
        <v>Thừa Thiên Huế</v>
      </c>
      <c r="D6332" s="3" t="s">
        <v>416</v>
      </c>
      <c r="E6332" s="4" t="str">
        <f t="shared" si="505"/>
        <v>Huyện Phú Lộc</v>
      </c>
      <c r="F6332" s="3" t="s">
        <v>7094</v>
      </c>
      <c r="G6332" s="4" t="str">
        <f>HYPERLINK("https://diaocthongthai.com/xa-loc-son-phu-loc/","Xã Lộc Sơn")</f>
        <v>Xã Lộc Sơn</v>
      </c>
    </row>
    <row r="6333" spans="1:7" x14ac:dyDescent="0.25">
      <c r="A6333" s="2">
        <v>6332</v>
      </c>
      <c r="B6333" s="3" t="s">
        <v>33</v>
      </c>
      <c r="C6333" s="4" t="str">
        <f t="shared" si="503"/>
        <v>Thừa Thiên Huế</v>
      </c>
      <c r="D6333" s="3" t="s">
        <v>416</v>
      </c>
      <c r="E6333" s="4" t="str">
        <f t="shared" si="505"/>
        <v>Huyện Phú Lộc</v>
      </c>
      <c r="F6333" s="3" t="s">
        <v>7095</v>
      </c>
      <c r="G6333" s="4" t="str">
        <f>HYPERLINK("https://diaocthongthai.com/xa-loc-binh-phu-loc/","Xã Lộc Bình")</f>
        <v>Xã Lộc Bình</v>
      </c>
    </row>
    <row r="6334" spans="1:7" x14ac:dyDescent="0.25">
      <c r="A6334" s="2">
        <v>6333</v>
      </c>
      <c r="B6334" s="3" t="s">
        <v>33</v>
      </c>
      <c r="C6334" s="4" t="str">
        <f t="shared" si="503"/>
        <v>Thừa Thiên Huế</v>
      </c>
      <c r="D6334" s="3" t="s">
        <v>416</v>
      </c>
      <c r="E6334" s="4" t="str">
        <f t="shared" si="505"/>
        <v>Huyện Phú Lộc</v>
      </c>
      <c r="F6334" s="3" t="s">
        <v>7096</v>
      </c>
      <c r="G6334" s="4" t="str">
        <f>HYPERLINK("https://diaocthongthai.com/xa-loc-vinh-phu-loc/","Xã Lộc Vĩnh")</f>
        <v>Xã Lộc Vĩnh</v>
      </c>
    </row>
    <row r="6335" spans="1:7" x14ac:dyDescent="0.25">
      <c r="A6335" s="2">
        <v>6334</v>
      </c>
      <c r="B6335" s="3" t="s">
        <v>33</v>
      </c>
      <c r="C6335" s="4" t="str">
        <f t="shared" si="503"/>
        <v>Thừa Thiên Huế</v>
      </c>
      <c r="D6335" s="3" t="s">
        <v>416</v>
      </c>
      <c r="E6335" s="4" t="str">
        <f t="shared" si="505"/>
        <v>Huyện Phú Lộc</v>
      </c>
      <c r="F6335" s="3" t="s">
        <v>7097</v>
      </c>
      <c r="G6335" s="4" t="str">
        <f>HYPERLINK("https://diaocthongthai.com/xa-loc-an-phu-loc/","Xã Lộc An")</f>
        <v>Xã Lộc An</v>
      </c>
    </row>
    <row r="6336" spans="1:7" x14ac:dyDescent="0.25">
      <c r="A6336" s="2">
        <v>6335</v>
      </c>
      <c r="B6336" s="3" t="s">
        <v>33</v>
      </c>
      <c r="C6336" s="4" t="str">
        <f t="shared" si="503"/>
        <v>Thừa Thiên Huế</v>
      </c>
      <c r="D6336" s="3" t="s">
        <v>416</v>
      </c>
      <c r="E6336" s="4" t="str">
        <f t="shared" si="505"/>
        <v>Huyện Phú Lộc</v>
      </c>
      <c r="F6336" s="3" t="s">
        <v>7098</v>
      </c>
      <c r="G6336" s="4" t="str">
        <f>HYPERLINK("https://diaocthongthai.com/xa-loc-dien-phu-loc/","Xã Lộc Điền")</f>
        <v>Xã Lộc Điền</v>
      </c>
    </row>
    <row r="6337" spans="1:7" x14ac:dyDescent="0.25">
      <c r="A6337" s="2">
        <v>6336</v>
      </c>
      <c r="B6337" s="3" t="s">
        <v>33</v>
      </c>
      <c r="C6337" s="4" t="str">
        <f t="shared" si="503"/>
        <v>Thừa Thiên Huế</v>
      </c>
      <c r="D6337" s="3" t="s">
        <v>416</v>
      </c>
      <c r="E6337" s="4" t="str">
        <f t="shared" si="505"/>
        <v>Huyện Phú Lộc</v>
      </c>
      <c r="F6337" s="3" t="s">
        <v>7099</v>
      </c>
      <c r="G6337" s="4" t="str">
        <f>HYPERLINK("https://diaocthongthai.com/xa-loc-thuy-phu-loc/","Xã Lộc Thủy")</f>
        <v>Xã Lộc Thủy</v>
      </c>
    </row>
    <row r="6338" spans="1:7" x14ac:dyDescent="0.25">
      <c r="A6338" s="2">
        <v>6337</v>
      </c>
      <c r="B6338" s="3" t="s">
        <v>33</v>
      </c>
      <c r="C6338" s="4" t="str">
        <f t="shared" si="503"/>
        <v>Thừa Thiên Huế</v>
      </c>
      <c r="D6338" s="3" t="s">
        <v>416</v>
      </c>
      <c r="E6338" s="4" t="str">
        <f t="shared" si="505"/>
        <v>Huyện Phú Lộc</v>
      </c>
      <c r="F6338" s="3" t="s">
        <v>7100</v>
      </c>
      <c r="G6338" s="4" t="str">
        <f>HYPERLINK("https://diaocthongthai.com/xa-loc-tri-phu-loc/","Xã Lộc Trì")</f>
        <v>Xã Lộc Trì</v>
      </c>
    </row>
    <row r="6339" spans="1:7" x14ac:dyDescent="0.25">
      <c r="A6339" s="2">
        <v>6338</v>
      </c>
      <c r="B6339" s="3" t="s">
        <v>33</v>
      </c>
      <c r="C6339" s="4" t="str">
        <f t="shared" ref="C6339:C6351" si="506">HYPERLINK("https://diaocthongthai.com/ban-do-thua-thien-hue/","Thừa Thiên Huế")</f>
        <v>Thừa Thiên Huế</v>
      </c>
      <c r="D6339" s="3" t="s">
        <v>416</v>
      </c>
      <c r="E6339" s="4" t="str">
        <f t="shared" si="505"/>
        <v>Huyện Phú Lộc</v>
      </c>
      <c r="F6339" s="3" t="s">
        <v>7101</v>
      </c>
      <c r="G6339" s="4" t="str">
        <f>HYPERLINK("https://diaocthongthai.com/xa-loc-tien-phu-loc/","Xã Lộc Tiến")</f>
        <v>Xã Lộc Tiến</v>
      </c>
    </row>
    <row r="6340" spans="1:7" x14ac:dyDescent="0.25">
      <c r="A6340" s="2">
        <v>6339</v>
      </c>
      <c r="B6340" s="3" t="s">
        <v>33</v>
      </c>
      <c r="C6340" s="4" t="str">
        <f t="shared" si="506"/>
        <v>Thừa Thiên Huế</v>
      </c>
      <c r="D6340" s="3" t="s">
        <v>416</v>
      </c>
      <c r="E6340" s="4" t="str">
        <f t="shared" si="505"/>
        <v>Huyện Phú Lộc</v>
      </c>
      <c r="F6340" s="3" t="s">
        <v>7102</v>
      </c>
      <c r="G6340" s="4" t="str">
        <f>HYPERLINK("https://diaocthongthai.com/xa-loc-hoa-phu-loc/","Xã Lộc Hòa")</f>
        <v>Xã Lộc Hòa</v>
      </c>
    </row>
    <row r="6341" spans="1:7" x14ac:dyDescent="0.25">
      <c r="A6341" s="2">
        <v>6340</v>
      </c>
      <c r="B6341" s="3" t="s">
        <v>33</v>
      </c>
      <c r="C6341" s="4" t="str">
        <f t="shared" si="506"/>
        <v>Thừa Thiên Huế</v>
      </c>
      <c r="D6341" s="3" t="s">
        <v>416</v>
      </c>
      <c r="E6341" s="4" t="str">
        <f t="shared" si="505"/>
        <v>Huyện Phú Lộc</v>
      </c>
      <c r="F6341" s="3" t="s">
        <v>7103</v>
      </c>
      <c r="G6341" s="4" t="str">
        <f>HYPERLINK("https://diaocthongthai.com/xa-xuan-loc-phu-loc/","Xã Xuân Lộc")</f>
        <v>Xã Xuân Lộc</v>
      </c>
    </row>
    <row r="6342" spans="1:7" x14ac:dyDescent="0.25">
      <c r="A6342" s="2">
        <v>6341</v>
      </c>
      <c r="B6342" s="3" t="s">
        <v>33</v>
      </c>
      <c r="C6342" s="4" t="str">
        <f t="shared" si="506"/>
        <v>Thừa Thiên Huế</v>
      </c>
      <c r="D6342" s="3" t="s">
        <v>417</v>
      </c>
      <c r="E6342" s="4" t="str">
        <f t="shared" ref="E6342:E6351" si="507">HYPERLINK("https://diaocthongthai.com/ban-do-huyen-nam-dong-thua-thien-hue/","Huyện Nam Đông")</f>
        <v>Huyện Nam Đông</v>
      </c>
      <c r="F6342" s="3" t="s">
        <v>7104</v>
      </c>
      <c r="G6342" s="4" t="str">
        <f>HYPERLINK("https://diaocthongthai.com/thi-tran-khe-tre-nam-dong/","Thị trấn Khe Tre")</f>
        <v>Thị trấn Khe Tre</v>
      </c>
    </row>
    <row r="6343" spans="1:7" x14ac:dyDescent="0.25">
      <c r="A6343" s="2">
        <v>6342</v>
      </c>
      <c r="B6343" s="3" t="s">
        <v>33</v>
      </c>
      <c r="C6343" s="4" t="str">
        <f t="shared" si="506"/>
        <v>Thừa Thiên Huế</v>
      </c>
      <c r="D6343" s="3" t="s">
        <v>417</v>
      </c>
      <c r="E6343" s="4" t="str">
        <f t="shared" si="507"/>
        <v>Huyện Nam Đông</v>
      </c>
      <c r="F6343" s="3" t="s">
        <v>7105</v>
      </c>
      <c r="G6343" s="4" t="str">
        <f>HYPERLINK("https://diaocthongthai.com/xa-huong-phu-nam-dong/","Xã Hương Phú")</f>
        <v>Xã Hương Phú</v>
      </c>
    </row>
    <row r="6344" spans="1:7" x14ac:dyDescent="0.25">
      <c r="A6344" s="2">
        <v>6343</v>
      </c>
      <c r="B6344" s="3" t="s">
        <v>33</v>
      </c>
      <c r="C6344" s="4" t="str">
        <f t="shared" si="506"/>
        <v>Thừa Thiên Huế</v>
      </c>
      <c r="D6344" s="3" t="s">
        <v>417</v>
      </c>
      <c r="E6344" s="4" t="str">
        <f t="shared" si="507"/>
        <v>Huyện Nam Đông</v>
      </c>
      <c r="F6344" s="3" t="s">
        <v>7106</v>
      </c>
      <c r="G6344" s="4" t="str">
        <f>HYPERLINK("https://diaocthongthai.com/xa-huong-son-nam-dong/","Xã Hương Sơn")</f>
        <v>Xã Hương Sơn</v>
      </c>
    </row>
    <row r="6345" spans="1:7" x14ac:dyDescent="0.25">
      <c r="A6345" s="2">
        <v>6344</v>
      </c>
      <c r="B6345" s="3" t="s">
        <v>33</v>
      </c>
      <c r="C6345" s="4" t="str">
        <f t="shared" si="506"/>
        <v>Thừa Thiên Huế</v>
      </c>
      <c r="D6345" s="3" t="s">
        <v>417</v>
      </c>
      <c r="E6345" s="4" t="str">
        <f t="shared" si="507"/>
        <v>Huyện Nam Đông</v>
      </c>
      <c r="F6345" s="3" t="s">
        <v>7107</v>
      </c>
      <c r="G6345" s="4" t="str">
        <f>HYPERLINK("https://diaocthongthai.com/xa-huong-loc-nam-dong/","Xã Hương Lộc")</f>
        <v>Xã Hương Lộc</v>
      </c>
    </row>
    <row r="6346" spans="1:7" x14ac:dyDescent="0.25">
      <c r="A6346" s="2">
        <v>6345</v>
      </c>
      <c r="B6346" s="3" t="s">
        <v>33</v>
      </c>
      <c r="C6346" s="4" t="str">
        <f t="shared" si="506"/>
        <v>Thừa Thiên Huế</v>
      </c>
      <c r="D6346" s="3" t="s">
        <v>417</v>
      </c>
      <c r="E6346" s="4" t="str">
        <f t="shared" si="507"/>
        <v>Huyện Nam Đông</v>
      </c>
      <c r="F6346" s="3" t="s">
        <v>7108</v>
      </c>
      <c r="G6346" s="4" t="str">
        <f>HYPERLINK("https://diaocthongthai.com/xa-thuong-quang-nam-dong/","Xã Thượng Quảng")</f>
        <v>Xã Thượng Quảng</v>
      </c>
    </row>
    <row r="6347" spans="1:7" x14ac:dyDescent="0.25">
      <c r="A6347" s="2">
        <v>6346</v>
      </c>
      <c r="B6347" s="3" t="s">
        <v>33</v>
      </c>
      <c r="C6347" s="4" t="str">
        <f t="shared" si="506"/>
        <v>Thừa Thiên Huế</v>
      </c>
      <c r="D6347" s="3" t="s">
        <v>417</v>
      </c>
      <c r="E6347" s="4" t="str">
        <f t="shared" si="507"/>
        <v>Huyện Nam Đông</v>
      </c>
      <c r="F6347" s="3" t="s">
        <v>7109</v>
      </c>
      <c r="G6347" s="4" t="str">
        <f>HYPERLINK("https://diaocthongthai.com/xa-huong-xuan-nam-dong/","Xã Hương Xuân")</f>
        <v>Xã Hương Xuân</v>
      </c>
    </row>
    <row r="6348" spans="1:7" x14ac:dyDescent="0.25">
      <c r="A6348" s="2">
        <v>6347</v>
      </c>
      <c r="B6348" s="3" t="s">
        <v>33</v>
      </c>
      <c r="C6348" s="4" t="str">
        <f t="shared" si="506"/>
        <v>Thừa Thiên Huế</v>
      </c>
      <c r="D6348" s="3" t="s">
        <v>417</v>
      </c>
      <c r="E6348" s="4" t="str">
        <f t="shared" si="507"/>
        <v>Huyện Nam Đông</v>
      </c>
      <c r="F6348" s="3" t="s">
        <v>7110</v>
      </c>
      <c r="G6348" s="4" t="str">
        <f>HYPERLINK("https://diaocthongthai.com/xa-huong-huu-nam-dong/","Xã Hương Hữu")</f>
        <v>Xã Hương Hữu</v>
      </c>
    </row>
    <row r="6349" spans="1:7" x14ac:dyDescent="0.25">
      <c r="A6349" s="2">
        <v>6348</v>
      </c>
      <c r="B6349" s="3" t="s">
        <v>33</v>
      </c>
      <c r="C6349" s="4" t="str">
        <f t="shared" si="506"/>
        <v>Thừa Thiên Huế</v>
      </c>
      <c r="D6349" s="3" t="s">
        <v>417</v>
      </c>
      <c r="E6349" s="4" t="str">
        <f t="shared" si="507"/>
        <v>Huyện Nam Đông</v>
      </c>
      <c r="F6349" s="3" t="s">
        <v>7111</v>
      </c>
      <c r="G6349" s="4" t="str">
        <f>HYPERLINK("https://diaocthongthai.com/xa-thuong-lo-nam-dong/","Xã Thượng Lộ")</f>
        <v>Xã Thượng Lộ</v>
      </c>
    </row>
    <row r="6350" spans="1:7" x14ac:dyDescent="0.25">
      <c r="A6350" s="2">
        <v>6349</v>
      </c>
      <c r="B6350" s="3" t="s">
        <v>33</v>
      </c>
      <c r="C6350" s="4" t="str">
        <f t="shared" si="506"/>
        <v>Thừa Thiên Huế</v>
      </c>
      <c r="D6350" s="3" t="s">
        <v>417</v>
      </c>
      <c r="E6350" s="4" t="str">
        <f t="shared" si="507"/>
        <v>Huyện Nam Đông</v>
      </c>
      <c r="F6350" s="3" t="s">
        <v>7112</v>
      </c>
      <c r="G6350" s="4" t="str">
        <f>HYPERLINK("https://diaocthongthai.com/xa-thuong-long-nam-dong/","Xã Thượng Long")</f>
        <v>Xã Thượng Long</v>
      </c>
    </row>
    <row r="6351" spans="1:7" x14ac:dyDescent="0.25">
      <c r="A6351" s="2">
        <v>6350</v>
      </c>
      <c r="B6351" s="3" t="s">
        <v>33</v>
      </c>
      <c r="C6351" s="4" t="str">
        <f t="shared" si="506"/>
        <v>Thừa Thiên Huế</v>
      </c>
      <c r="D6351" s="3" t="s">
        <v>417</v>
      </c>
      <c r="E6351" s="4" t="str">
        <f t="shared" si="507"/>
        <v>Huyện Nam Đông</v>
      </c>
      <c r="F6351" s="3" t="s">
        <v>7113</v>
      </c>
      <c r="G6351" s="4" t="str">
        <f>HYPERLINK("https://diaocthongthai.com/xa-thuong-nhat-nam-dong/","Xã Thượng Nhật")</f>
        <v>Xã Thượng Nhật</v>
      </c>
    </row>
    <row r="6352" spans="1:7" x14ac:dyDescent="0.25">
      <c r="A6352" s="2">
        <v>6351</v>
      </c>
      <c r="B6352" s="3" t="s">
        <v>34</v>
      </c>
      <c r="C6352" s="4" t="str">
        <f t="shared" ref="C6352:C6383" si="508">HYPERLINK("https://diaocthongthai.com/ban-do-da-nang/","Đà Nẵng")</f>
        <v>Đà Nẵng</v>
      </c>
      <c r="D6352" s="3" t="s">
        <v>418</v>
      </c>
      <c r="E6352" s="4" t="str">
        <f>HYPERLINK("https://diaocthongthai.com/ban-do-quan-lien-chieu-tp-da-nang/","Quận Liên Chiểu")</f>
        <v>Quận Liên Chiểu</v>
      </c>
      <c r="F6352" s="3" t="s">
        <v>7114</v>
      </c>
      <c r="G6352" s="4" t="str">
        <f>HYPERLINK("https://diaocthongthai.com/phuong-hoa-hiep-bac-quan-lien-chieu/","Phường Hòa Hiệp Bắc")</f>
        <v>Phường Hòa Hiệp Bắc</v>
      </c>
    </row>
    <row r="6353" spans="1:7" x14ac:dyDescent="0.25">
      <c r="A6353" s="2">
        <v>6352</v>
      </c>
      <c r="B6353" s="3" t="s">
        <v>34</v>
      </c>
      <c r="C6353" s="4" t="str">
        <f t="shared" si="508"/>
        <v>Đà Nẵng</v>
      </c>
      <c r="D6353" s="3" t="s">
        <v>418</v>
      </c>
      <c r="E6353" s="4" t="str">
        <f>HYPERLINK("https://diaocthongthai.com/ban-do-quan-lien-chieu-tp-da-nang/","Quận Liên Chiểu")</f>
        <v>Quận Liên Chiểu</v>
      </c>
      <c r="F6353" s="3" t="s">
        <v>7115</v>
      </c>
      <c r="G6353" s="4" t="str">
        <f>HYPERLINK("https://diaocthongthai.com/phuong-hoa-hiep-nam-quan-lien-chieu/","Phường Hòa Hiệp Nam")</f>
        <v>Phường Hòa Hiệp Nam</v>
      </c>
    </row>
    <row r="6354" spans="1:7" x14ac:dyDescent="0.25">
      <c r="A6354" s="2">
        <v>6353</v>
      </c>
      <c r="B6354" s="3" t="s">
        <v>34</v>
      </c>
      <c r="C6354" s="4" t="str">
        <f t="shared" si="508"/>
        <v>Đà Nẵng</v>
      </c>
      <c r="D6354" s="3" t="s">
        <v>418</v>
      </c>
      <c r="E6354" s="4" t="str">
        <f>HYPERLINK("https://diaocthongthai.com/ban-do-quan-lien-chieu-tp-da-nang/","Quận Liên Chiểu")</f>
        <v>Quận Liên Chiểu</v>
      </c>
      <c r="F6354" s="3" t="s">
        <v>7116</v>
      </c>
      <c r="G6354" s="4" t="str">
        <f>HYPERLINK("https://diaocthongthai.com/phuong-hoa-khanh-bac-quan-lien-chieu/","Phường Hòa Khánh Bắc")</f>
        <v>Phường Hòa Khánh Bắc</v>
      </c>
    </row>
    <row r="6355" spans="1:7" x14ac:dyDescent="0.25">
      <c r="A6355" s="2">
        <v>6354</v>
      </c>
      <c r="B6355" s="3" t="s">
        <v>34</v>
      </c>
      <c r="C6355" s="4" t="str">
        <f t="shared" si="508"/>
        <v>Đà Nẵng</v>
      </c>
      <c r="D6355" s="3" t="s">
        <v>418</v>
      </c>
      <c r="E6355" s="4" t="str">
        <f>HYPERLINK("https://diaocthongthai.com/ban-do-quan-lien-chieu-tp-da-nang/","Quận Liên Chiểu")</f>
        <v>Quận Liên Chiểu</v>
      </c>
      <c r="F6355" s="3" t="s">
        <v>7117</v>
      </c>
      <c r="G6355" s="4" t="str">
        <f>HYPERLINK("https://diaocthongthai.com/phuong-hoa-khanh-nam-quan-lien-chieu/","Phường Hòa Khánh Nam")</f>
        <v>Phường Hòa Khánh Nam</v>
      </c>
    </row>
    <row r="6356" spans="1:7" x14ac:dyDescent="0.25">
      <c r="A6356" s="2">
        <v>6355</v>
      </c>
      <c r="B6356" s="3" t="s">
        <v>34</v>
      </c>
      <c r="C6356" s="4" t="str">
        <f t="shared" si="508"/>
        <v>Đà Nẵng</v>
      </c>
      <c r="D6356" s="3" t="s">
        <v>418</v>
      </c>
      <c r="E6356" s="4" t="str">
        <f>HYPERLINK("https://diaocthongthai.com/ban-do-quan-lien-chieu-tp-da-nang/","Quận Liên Chiểu")</f>
        <v>Quận Liên Chiểu</v>
      </c>
      <c r="F6356" s="3" t="s">
        <v>7118</v>
      </c>
      <c r="G6356" s="4" t="str">
        <f>HYPERLINK("https://diaocthongthai.com/phuong-hoa-minh-quan-lien-chieu/","Phường Hòa Minh")</f>
        <v>Phường Hòa Minh</v>
      </c>
    </row>
    <row r="6357" spans="1:7" x14ac:dyDescent="0.25">
      <c r="A6357" s="2">
        <v>6356</v>
      </c>
      <c r="B6357" s="3" t="s">
        <v>34</v>
      </c>
      <c r="C6357" s="4" t="str">
        <f t="shared" si="508"/>
        <v>Đà Nẵng</v>
      </c>
      <c r="D6357" s="3" t="s">
        <v>419</v>
      </c>
      <c r="E6357" s="4" t="str">
        <f t="shared" ref="E6357:E6366" si="509">HYPERLINK("https://diaocthongthai.com/ban-do-quan-thanh-khe-tp-da-nang/","Quận Thanh Khê")</f>
        <v>Quận Thanh Khê</v>
      </c>
      <c r="F6357" s="3" t="s">
        <v>7119</v>
      </c>
      <c r="G6357" s="4" t="str">
        <f>HYPERLINK("https://diaocthongthai.com/phuong-tam-thuan-quan-thanh-khe/","Phường Tam Thuận")</f>
        <v>Phường Tam Thuận</v>
      </c>
    </row>
    <row r="6358" spans="1:7" x14ac:dyDescent="0.25">
      <c r="A6358" s="2">
        <v>6357</v>
      </c>
      <c r="B6358" s="3" t="s">
        <v>34</v>
      </c>
      <c r="C6358" s="4" t="str">
        <f t="shared" si="508"/>
        <v>Đà Nẵng</v>
      </c>
      <c r="D6358" s="3" t="s">
        <v>419</v>
      </c>
      <c r="E6358" s="4" t="str">
        <f t="shared" si="509"/>
        <v>Quận Thanh Khê</v>
      </c>
      <c r="F6358" s="3" t="s">
        <v>7120</v>
      </c>
      <c r="G6358" s="4" t="str">
        <f>HYPERLINK("https://diaocthongthai.com/phuong-thanh-khe-tay-quan-thanh-khe/","Phường Thanh Khê Tây")</f>
        <v>Phường Thanh Khê Tây</v>
      </c>
    </row>
    <row r="6359" spans="1:7" x14ac:dyDescent="0.25">
      <c r="A6359" s="2">
        <v>6358</v>
      </c>
      <c r="B6359" s="3" t="s">
        <v>34</v>
      </c>
      <c r="C6359" s="4" t="str">
        <f t="shared" si="508"/>
        <v>Đà Nẵng</v>
      </c>
      <c r="D6359" s="3" t="s">
        <v>419</v>
      </c>
      <c r="E6359" s="4" t="str">
        <f t="shared" si="509"/>
        <v>Quận Thanh Khê</v>
      </c>
      <c r="F6359" s="3" t="s">
        <v>7121</v>
      </c>
      <c r="G6359" s="4" t="str">
        <f>HYPERLINK("https://diaocthongthai.com/phuong-thanh-khe-dong-quan-thanh-khe/","Phường Thanh Khê Đông")</f>
        <v>Phường Thanh Khê Đông</v>
      </c>
    </row>
    <row r="6360" spans="1:7" x14ac:dyDescent="0.25">
      <c r="A6360" s="2">
        <v>6359</v>
      </c>
      <c r="B6360" s="3" t="s">
        <v>34</v>
      </c>
      <c r="C6360" s="4" t="str">
        <f t="shared" si="508"/>
        <v>Đà Nẵng</v>
      </c>
      <c r="D6360" s="3" t="s">
        <v>419</v>
      </c>
      <c r="E6360" s="4" t="str">
        <f t="shared" si="509"/>
        <v>Quận Thanh Khê</v>
      </c>
      <c r="F6360" s="3" t="s">
        <v>7122</v>
      </c>
      <c r="G6360" s="4" t="str">
        <f>HYPERLINK("https://diaocthongthai.com/phuong-xuan-ha-quan-thanh-khe/","Phường Xuân Hà")</f>
        <v>Phường Xuân Hà</v>
      </c>
    </row>
    <row r="6361" spans="1:7" x14ac:dyDescent="0.25">
      <c r="A6361" s="2">
        <v>6360</v>
      </c>
      <c r="B6361" s="3" t="s">
        <v>34</v>
      </c>
      <c r="C6361" s="4" t="str">
        <f t="shared" si="508"/>
        <v>Đà Nẵng</v>
      </c>
      <c r="D6361" s="3" t="s">
        <v>419</v>
      </c>
      <c r="E6361" s="4" t="str">
        <f t="shared" si="509"/>
        <v>Quận Thanh Khê</v>
      </c>
      <c r="F6361" s="3" t="s">
        <v>7123</v>
      </c>
      <c r="G6361" s="4" t="str">
        <f>HYPERLINK("https://diaocthongthai.com/phuong-tan-chinh-quan-thanh-khe/","Phường Tân Chính")</f>
        <v>Phường Tân Chính</v>
      </c>
    </row>
    <row r="6362" spans="1:7" x14ac:dyDescent="0.25">
      <c r="A6362" s="2">
        <v>6361</v>
      </c>
      <c r="B6362" s="3" t="s">
        <v>34</v>
      </c>
      <c r="C6362" s="4" t="str">
        <f t="shared" si="508"/>
        <v>Đà Nẵng</v>
      </c>
      <c r="D6362" s="3" t="s">
        <v>419</v>
      </c>
      <c r="E6362" s="4" t="str">
        <f t="shared" si="509"/>
        <v>Quận Thanh Khê</v>
      </c>
      <c r="F6362" s="3" t="s">
        <v>7124</v>
      </c>
      <c r="G6362" s="4" t="str">
        <f>HYPERLINK("https://diaocthongthai.com/phuong-chinh-gian-quan-thanh-khe/","Phường Chính Gián")</f>
        <v>Phường Chính Gián</v>
      </c>
    </row>
    <row r="6363" spans="1:7" x14ac:dyDescent="0.25">
      <c r="A6363" s="2">
        <v>6362</v>
      </c>
      <c r="B6363" s="3" t="s">
        <v>34</v>
      </c>
      <c r="C6363" s="4" t="str">
        <f t="shared" si="508"/>
        <v>Đà Nẵng</v>
      </c>
      <c r="D6363" s="3" t="s">
        <v>419</v>
      </c>
      <c r="E6363" s="4" t="str">
        <f t="shared" si="509"/>
        <v>Quận Thanh Khê</v>
      </c>
      <c r="F6363" s="3" t="s">
        <v>7125</v>
      </c>
      <c r="G6363" s="4" t="str">
        <f>HYPERLINK("https://diaocthongthai.com/phuong-vinh-trung-quan-thanh-khe/","Phường Vĩnh Trung")</f>
        <v>Phường Vĩnh Trung</v>
      </c>
    </row>
    <row r="6364" spans="1:7" x14ac:dyDescent="0.25">
      <c r="A6364" s="2">
        <v>6363</v>
      </c>
      <c r="B6364" s="3" t="s">
        <v>34</v>
      </c>
      <c r="C6364" s="4" t="str">
        <f t="shared" si="508"/>
        <v>Đà Nẵng</v>
      </c>
      <c r="D6364" s="3" t="s">
        <v>419</v>
      </c>
      <c r="E6364" s="4" t="str">
        <f t="shared" si="509"/>
        <v>Quận Thanh Khê</v>
      </c>
      <c r="F6364" s="3" t="s">
        <v>7126</v>
      </c>
      <c r="G6364" s="4" t="str">
        <f>HYPERLINK("https://diaocthongthai.com/phuong-thac-gian-quan-thanh-khe/","Phường Thạc Gián")</f>
        <v>Phường Thạc Gián</v>
      </c>
    </row>
    <row r="6365" spans="1:7" x14ac:dyDescent="0.25">
      <c r="A6365" s="2">
        <v>6364</v>
      </c>
      <c r="B6365" s="3" t="s">
        <v>34</v>
      </c>
      <c r="C6365" s="4" t="str">
        <f t="shared" si="508"/>
        <v>Đà Nẵng</v>
      </c>
      <c r="D6365" s="3" t="s">
        <v>419</v>
      </c>
      <c r="E6365" s="4" t="str">
        <f t="shared" si="509"/>
        <v>Quận Thanh Khê</v>
      </c>
      <c r="F6365" s="3" t="s">
        <v>7127</v>
      </c>
      <c r="G6365" s="4" t="str">
        <f>HYPERLINK("https://diaocthongthai.com/phuong-an-khe-quan-thanh-khe/","Phường An Khê")</f>
        <v>Phường An Khê</v>
      </c>
    </row>
    <row r="6366" spans="1:7" x14ac:dyDescent="0.25">
      <c r="A6366" s="2">
        <v>6365</v>
      </c>
      <c r="B6366" s="3" t="s">
        <v>34</v>
      </c>
      <c r="C6366" s="4" t="str">
        <f t="shared" si="508"/>
        <v>Đà Nẵng</v>
      </c>
      <c r="D6366" s="3" t="s">
        <v>419</v>
      </c>
      <c r="E6366" s="4" t="str">
        <f t="shared" si="509"/>
        <v>Quận Thanh Khê</v>
      </c>
      <c r="F6366" s="3" t="s">
        <v>7128</v>
      </c>
      <c r="G6366" s="4" t="str">
        <f>HYPERLINK("https://diaocthongthai.com/phuong-hoa-khe-quan-thanh-khe/","Phường Hòa Khê")</f>
        <v>Phường Hòa Khê</v>
      </c>
    </row>
    <row r="6367" spans="1:7" x14ac:dyDescent="0.25">
      <c r="A6367" s="2">
        <v>6366</v>
      </c>
      <c r="B6367" s="3" t="s">
        <v>34</v>
      </c>
      <c r="C6367" s="4" t="str">
        <f t="shared" si="508"/>
        <v>Đà Nẵng</v>
      </c>
      <c r="D6367" s="3" t="s">
        <v>420</v>
      </c>
      <c r="E6367" s="4" t="str">
        <f t="shared" ref="E6367:E6379" si="510">HYPERLINK("https://diaocthongthai.com/ban-do-quan-hai-chau-tp-da-nang/","Quận Hải Châu")</f>
        <v>Quận Hải Châu</v>
      </c>
      <c r="F6367" s="3" t="s">
        <v>7129</v>
      </c>
      <c r="G6367" s="4" t="str">
        <f>HYPERLINK("https://diaocthongthai.com/phuong-thanh-binh-quan-hai-chau/","Phường Thanh Bình")</f>
        <v>Phường Thanh Bình</v>
      </c>
    </row>
    <row r="6368" spans="1:7" x14ac:dyDescent="0.25">
      <c r="A6368" s="2">
        <v>6367</v>
      </c>
      <c r="B6368" s="3" t="s">
        <v>34</v>
      </c>
      <c r="C6368" s="4" t="str">
        <f t="shared" si="508"/>
        <v>Đà Nẵng</v>
      </c>
      <c r="D6368" s="3" t="s">
        <v>420</v>
      </c>
      <c r="E6368" s="4" t="str">
        <f t="shared" si="510"/>
        <v>Quận Hải Châu</v>
      </c>
      <c r="F6368" s="3" t="s">
        <v>7130</v>
      </c>
      <c r="G6368" s="4" t="str">
        <f>HYPERLINK("https://diaocthongthai.com/phuong-thuan-phuoc-quan-hai-chau/","Phường Thuận Phước")</f>
        <v>Phường Thuận Phước</v>
      </c>
    </row>
    <row r="6369" spans="1:7" x14ac:dyDescent="0.25">
      <c r="A6369" s="2">
        <v>6368</v>
      </c>
      <c r="B6369" s="3" t="s">
        <v>34</v>
      </c>
      <c r="C6369" s="4" t="str">
        <f t="shared" si="508"/>
        <v>Đà Nẵng</v>
      </c>
      <c r="D6369" s="3" t="s">
        <v>420</v>
      </c>
      <c r="E6369" s="4" t="str">
        <f t="shared" si="510"/>
        <v>Quận Hải Châu</v>
      </c>
      <c r="F6369" s="3" t="s">
        <v>7131</v>
      </c>
      <c r="G6369" s="4" t="str">
        <f>HYPERLINK("https://diaocthongthai.com/phuong-thach-thang-quan-hai-chau/","Phường Thạch Thang")</f>
        <v>Phường Thạch Thang</v>
      </c>
    </row>
    <row r="6370" spans="1:7" x14ac:dyDescent="0.25">
      <c r="A6370" s="2">
        <v>6369</v>
      </c>
      <c r="B6370" s="3" t="s">
        <v>34</v>
      </c>
      <c r="C6370" s="4" t="str">
        <f t="shared" si="508"/>
        <v>Đà Nẵng</v>
      </c>
      <c r="D6370" s="3" t="s">
        <v>420</v>
      </c>
      <c r="E6370" s="4" t="str">
        <f t="shared" si="510"/>
        <v>Quận Hải Châu</v>
      </c>
      <c r="F6370" s="3" t="s">
        <v>7132</v>
      </c>
      <c r="G6370" s="4" t="str">
        <f>HYPERLINK("https://diaocthongthai.com/phuong-hai-chau-i-quan-hai-chau/","Phường Hải Châu  I")</f>
        <v>Phường Hải Châu  I</v>
      </c>
    </row>
    <row r="6371" spans="1:7" x14ac:dyDescent="0.25">
      <c r="A6371" s="2">
        <v>6370</v>
      </c>
      <c r="B6371" s="3" t="s">
        <v>34</v>
      </c>
      <c r="C6371" s="4" t="str">
        <f t="shared" si="508"/>
        <v>Đà Nẵng</v>
      </c>
      <c r="D6371" s="3" t="s">
        <v>420</v>
      </c>
      <c r="E6371" s="4" t="str">
        <f t="shared" si="510"/>
        <v>Quận Hải Châu</v>
      </c>
      <c r="F6371" s="3" t="s">
        <v>7133</v>
      </c>
      <c r="G6371" s="4" t="str">
        <f>HYPERLINK("https://diaocthongthai.com/phuong-hai-chau-ii-quan-hai-chau/","Phường Hải Châu II")</f>
        <v>Phường Hải Châu II</v>
      </c>
    </row>
    <row r="6372" spans="1:7" x14ac:dyDescent="0.25">
      <c r="A6372" s="2">
        <v>6371</v>
      </c>
      <c r="B6372" s="3" t="s">
        <v>34</v>
      </c>
      <c r="C6372" s="4" t="str">
        <f t="shared" si="508"/>
        <v>Đà Nẵng</v>
      </c>
      <c r="D6372" s="3" t="s">
        <v>420</v>
      </c>
      <c r="E6372" s="4" t="str">
        <f t="shared" si="510"/>
        <v>Quận Hải Châu</v>
      </c>
      <c r="F6372" s="3" t="s">
        <v>7134</v>
      </c>
      <c r="G6372" s="4" t="str">
        <f>HYPERLINK("https://diaocthongthai.com/phuong-phuoc-ninh-quan-hai-chau/","Phường Phước Ninh")</f>
        <v>Phường Phước Ninh</v>
      </c>
    </row>
    <row r="6373" spans="1:7" x14ac:dyDescent="0.25">
      <c r="A6373" s="2">
        <v>6372</v>
      </c>
      <c r="B6373" s="3" t="s">
        <v>34</v>
      </c>
      <c r="C6373" s="4" t="str">
        <f t="shared" si="508"/>
        <v>Đà Nẵng</v>
      </c>
      <c r="D6373" s="3" t="s">
        <v>420</v>
      </c>
      <c r="E6373" s="4" t="str">
        <f t="shared" si="510"/>
        <v>Quận Hải Châu</v>
      </c>
      <c r="F6373" s="3" t="s">
        <v>7135</v>
      </c>
      <c r="G6373" s="4" t="str">
        <f>HYPERLINK("https://diaocthongthai.com/phuong-hoa-thuan-tay-quan-hai-chau/","Phường Hòa Thuận Tây")</f>
        <v>Phường Hòa Thuận Tây</v>
      </c>
    </row>
    <row r="6374" spans="1:7" x14ac:dyDescent="0.25">
      <c r="A6374" s="2">
        <v>6373</v>
      </c>
      <c r="B6374" s="3" t="s">
        <v>34</v>
      </c>
      <c r="C6374" s="4" t="str">
        <f t="shared" si="508"/>
        <v>Đà Nẵng</v>
      </c>
      <c r="D6374" s="3" t="s">
        <v>420</v>
      </c>
      <c r="E6374" s="4" t="str">
        <f t="shared" si="510"/>
        <v>Quận Hải Châu</v>
      </c>
      <c r="F6374" s="3" t="s">
        <v>7136</v>
      </c>
      <c r="G6374" s="4" t="str">
        <f>HYPERLINK("https://diaocthongthai.com/phuong-hoa-thuan-dong-quan-hai-chau/","Phường Hòa Thuận Đông")</f>
        <v>Phường Hòa Thuận Đông</v>
      </c>
    </row>
    <row r="6375" spans="1:7" x14ac:dyDescent="0.25">
      <c r="A6375" s="2">
        <v>6374</v>
      </c>
      <c r="B6375" s="3" t="s">
        <v>34</v>
      </c>
      <c r="C6375" s="4" t="str">
        <f t="shared" si="508"/>
        <v>Đà Nẵng</v>
      </c>
      <c r="D6375" s="3" t="s">
        <v>420</v>
      </c>
      <c r="E6375" s="4" t="str">
        <f t="shared" si="510"/>
        <v>Quận Hải Châu</v>
      </c>
      <c r="F6375" s="3" t="s">
        <v>7137</v>
      </c>
      <c r="G6375" s="4" t="str">
        <f>HYPERLINK("https://diaocthongthai.com/phuong-nam-duong-quan-hai-chau/","Phường Nam Dương")</f>
        <v>Phường Nam Dương</v>
      </c>
    </row>
    <row r="6376" spans="1:7" x14ac:dyDescent="0.25">
      <c r="A6376" s="2">
        <v>6375</v>
      </c>
      <c r="B6376" s="3" t="s">
        <v>34</v>
      </c>
      <c r="C6376" s="4" t="str">
        <f t="shared" si="508"/>
        <v>Đà Nẵng</v>
      </c>
      <c r="D6376" s="3" t="s">
        <v>420</v>
      </c>
      <c r="E6376" s="4" t="str">
        <f t="shared" si="510"/>
        <v>Quận Hải Châu</v>
      </c>
      <c r="F6376" s="3" t="s">
        <v>7138</v>
      </c>
      <c r="G6376" s="4" t="str">
        <f>HYPERLINK("https://diaocthongthai.com/phuong-binh-hien-quan-hai-chau/","Phường Bình Hiên")</f>
        <v>Phường Bình Hiên</v>
      </c>
    </row>
    <row r="6377" spans="1:7" x14ac:dyDescent="0.25">
      <c r="A6377" s="2">
        <v>6376</v>
      </c>
      <c r="B6377" s="3" t="s">
        <v>34</v>
      </c>
      <c r="C6377" s="4" t="str">
        <f t="shared" si="508"/>
        <v>Đà Nẵng</v>
      </c>
      <c r="D6377" s="3" t="s">
        <v>420</v>
      </c>
      <c r="E6377" s="4" t="str">
        <f t="shared" si="510"/>
        <v>Quận Hải Châu</v>
      </c>
      <c r="F6377" s="3" t="s">
        <v>7139</v>
      </c>
      <c r="G6377" s="4" t="str">
        <f>HYPERLINK("https://diaocthongthai.com/phuong-binh-thuan-quan-hai-chau/","Phường Bình Thuận")</f>
        <v>Phường Bình Thuận</v>
      </c>
    </row>
    <row r="6378" spans="1:7" x14ac:dyDescent="0.25">
      <c r="A6378" s="2">
        <v>6377</v>
      </c>
      <c r="B6378" s="3" t="s">
        <v>34</v>
      </c>
      <c r="C6378" s="4" t="str">
        <f t="shared" si="508"/>
        <v>Đà Nẵng</v>
      </c>
      <c r="D6378" s="3" t="s">
        <v>420</v>
      </c>
      <c r="E6378" s="4" t="str">
        <f t="shared" si="510"/>
        <v>Quận Hải Châu</v>
      </c>
      <c r="F6378" s="3" t="s">
        <v>7140</v>
      </c>
      <c r="G6378" s="4" t="str">
        <f>HYPERLINK("https://diaocthongthai.com/phuong-hoa-cuong-bac-quan-hai-chau/","Phường Hòa Cường Bắc")</f>
        <v>Phường Hòa Cường Bắc</v>
      </c>
    </row>
    <row r="6379" spans="1:7" x14ac:dyDescent="0.25">
      <c r="A6379" s="2">
        <v>6378</v>
      </c>
      <c r="B6379" s="3" t="s">
        <v>34</v>
      </c>
      <c r="C6379" s="4" t="str">
        <f t="shared" si="508"/>
        <v>Đà Nẵng</v>
      </c>
      <c r="D6379" s="3" t="s">
        <v>420</v>
      </c>
      <c r="E6379" s="4" t="str">
        <f t="shared" si="510"/>
        <v>Quận Hải Châu</v>
      </c>
      <c r="F6379" s="3" t="s">
        <v>7141</v>
      </c>
      <c r="G6379" s="4" t="str">
        <f>HYPERLINK("https://diaocthongthai.com/phuong-hoa-cuong-nam-quan-hai-chau/","Phường Hòa Cường Nam")</f>
        <v>Phường Hòa Cường Nam</v>
      </c>
    </row>
    <row r="6380" spans="1:7" x14ac:dyDescent="0.25">
      <c r="A6380" s="2">
        <v>6379</v>
      </c>
      <c r="B6380" s="3" t="s">
        <v>34</v>
      </c>
      <c r="C6380" s="4" t="str">
        <f t="shared" si="508"/>
        <v>Đà Nẵng</v>
      </c>
      <c r="D6380" s="3" t="s">
        <v>421</v>
      </c>
      <c r="E6380" s="4" t="str">
        <f t="shared" ref="E6380:E6386" si="511">HYPERLINK("https://diaocthongthai.com/ban-do-quan-son-tra-tp-da-nang/","Quận Sơn Trà")</f>
        <v>Quận Sơn Trà</v>
      </c>
      <c r="F6380" s="3" t="s">
        <v>7142</v>
      </c>
      <c r="G6380" s="4" t="str">
        <f>HYPERLINK("https://diaocthongthai.com/phuong-tho-quang-quan-son-tra/","Phường Thọ Quang")</f>
        <v>Phường Thọ Quang</v>
      </c>
    </row>
    <row r="6381" spans="1:7" x14ac:dyDescent="0.25">
      <c r="A6381" s="2">
        <v>6380</v>
      </c>
      <c r="B6381" s="3" t="s">
        <v>34</v>
      </c>
      <c r="C6381" s="4" t="str">
        <f t="shared" si="508"/>
        <v>Đà Nẵng</v>
      </c>
      <c r="D6381" s="3" t="s">
        <v>421</v>
      </c>
      <c r="E6381" s="4" t="str">
        <f t="shared" si="511"/>
        <v>Quận Sơn Trà</v>
      </c>
      <c r="F6381" s="3" t="s">
        <v>7143</v>
      </c>
      <c r="G6381" s="4" t="str">
        <f>HYPERLINK("https://diaocthongthai.com/phuong-nai-hien-dong-quan-son-tra/","Phường Nại Hiên Đông")</f>
        <v>Phường Nại Hiên Đông</v>
      </c>
    </row>
    <row r="6382" spans="1:7" x14ac:dyDescent="0.25">
      <c r="A6382" s="2">
        <v>6381</v>
      </c>
      <c r="B6382" s="3" t="s">
        <v>34</v>
      </c>
      <c r="C6382" s="4" t="str">
        <f t="shared" si="508"/>
        <v>Đà Nẵng</v>
      </c>
      <c r="D6382" s="3" t="s">
        <v>421</v>
      </c>
      <c r="E6382" s="4" t="str">
        <f t="shared" si="511"/>
        <v>Quận Sơn Trà</v>
      </c>
      <c r="F6382" s="3" t="s">
        <v>7144</v>
      </c>
      <c r="G6382" s="4" t="str">
        <f>HYPERLINK("https://diaocthongthai.com/phuong-man-thai-quan-son-tra/","Phường Mân Thái")</f>
        <v>Phường Mân Thái</v>
      </c>
    </row>
    <row r="6383" spans="1:7" x14ac:dyDescent="0.25">
      <c r="A6383" s="2">
        <v>6382</v>
      </c>
      <c r="B6383" s="3" t="s">
        <v>34</v>
      </c>
      <c r="C6383" s="4" t="str">
        <f t="shared" si="508"/>
        <v>Đà Nẵng</v>
      </c>
      <c r="D6383" s="3" t="s">
        <v>421</v>
      </c>
      <c r="E6383" s="4" t="str">
        <f t="shared" si="511"/>
        <v>Quận Sơn Trà</v>
      </c>
      <c r="F6383" s="3" t="s">
        <v>7145</v>
      </c>
      <c r="G6383" s="4" t="str">
        <f>HYPERLINK("https://diaocthongthai.com/phuong-an-hai-bac-quan-son-tra/","Phường An Hải Bắc")</f>
        <v>Phường An Hải Bắc</v>
      </c>
    </row>
    <row r="6384" spans="1:7" x14ac:dyDescent="0.25">
      <c r="A6384" s="2">
        <v>6383</v>
      </c>
      <c r="B6384" s="3" t="s">
        <v>34</v>
      </c>
      <c r="C6384" s="4" t="str">
        <f t="shared" ref="C6384:C6408" si="512">HYPERLINK("https://diaocthongthai.com/ban-do-da-nang/","Đà Nẵng")</f>
        <v>Đà Nẵng</v>
      </c>
      <c r="D6384" s="3" t="s">
        <v>421</v>
      </c>
      <c r="E6384" s="4" t="str">
        <f t="shared" si="511"/>
        <v>Quận Sơn Trà</v>
      </c>
      <c r="F6384" s="3" t="s">
        <v>7146</v>
      </c>
      <c r="G6384" s="4" t="str">
        <f>HYPERLINK("https://diaocthongthai.com/phuong-phuoc-my-quan-son-tra/","Phường Phước Mỹ")</f>
        <v>Phường Phước Mỹ</v>
      </c>
    </row>
    <row r="6385" spans="1:7" x14ac:dyDescent="0.25">
      <c r="A6385" s="2">
        <v>6384</v>
      </c>
      <c r="B6385" s="3" t="s">
        <v>34</v>
      </c>
      <c r="C6385" s="4" t="str">
        <f t="shared" si="512"/>
        <v>Đà Nẵng</v>
      </c>
      <c r="D6385" s="3" t="s">
        <v>421</v>
      </c>
      <c r="E6385" s="4" t="str">
        <f t="shared" si="511"/>
        <v>Quận Sơn Trà</v>
      </c>
      <c r="F6385" s="3" t="s">
        <v>7147</v>
      </c>
      <c r="G6385" s="4" t="str">
        <f>HYPERLINK("https://diaocthongthai.com/phuong-an-hai-tay-quan-son-tra/","Phường An Hải Tây")</f>
        <v>Phường An Hải Tây</v>
      </c>
    </row>
    <row r="6386" spans="1:7" x14ac:dyDescent="0.25">
      <c r="A6386" s="2">
        <v>6385</v>
      </c>
      <c r="B6386" s="3" t="s">
        <v>34</v>
      </c>
      <c r="C6386" s="4" t="str">
        <f t="shared" si="512"/>
        <v>Đà Nẵng</v>
      </c>
      <c r="D6386" s="3" t="s">
        <v>421</v>
      </c>
      <c r="E6386" s="4" t="str">
        <f t="shared" si="511"/>
        <v>Quận Sơn Trà</v>
      </c>
      <c r="F6386" s="3" t="s">
        <v>7148</v>
      </c>
      <c r="G6386" s="4" t="str">
        <f>HYPERLINK("https://diaocthongthai.com/phuong-an-hai-dong-quan-son-tra/","Phường An Hải Đông")</f>
        <v>Phường An Hải Đông</v>
      </c>
    </row>
    <row r="6387" spans="1:7" x14ac:dyDescent="0.25">
      <c r="A6387" s="2">
        <v>6386</v>
      </c>
      <c r="B6387" s="3" t="s">
        <v>34</v>
      </c>
      <c r="C6387" s="4" t="str">
        <f t="shared" si="512"/>
        <v>Đà Nẵng</v>
      </c>
      <c r="D6387" s="3" t="s">
        <v>422</v>
      </c>
      <c r="E6387" s="4" t="str">
        <f>HYPERLINK("https://diaocthongthai.com/ban-do-quan-ngu-hanh-son-tp-da-nang/","Quận Ngũ Hành Sơn")</f>
        <v>Quận Ngũ Hành Sơn</v>
      </c>
      <c r="F6387" s="3" t="s">
        <v>7149</v>
      </c>
      <c r="G6387" s="4" t="str">
        <f>HYPERLINK("https://diaocthongthai.com/phuong-my-an-quan-ngu-hanh-son/","Phường Mỹ An")</f>
        <v>Phường Mỹ An</v>
      </c>
    </row>
    <row r="6388" spans="1:7" x14ac:dyDescent="0.25">
      <c r="A6388" s="2">
        <v>6387</v>
      </c>
      <c r="B6388" s="3" t="s">
        <v>34</v>
      </c>
      <c r="C6388" s="4" t="str">
        <f t="shared" si="512"/>
        <v>Đà Nẵng</v>
      </c>
      <c r="D6388" s="3" t="s">
        <v>422</v>
      </c>
      <c r="E6388" s="4" t="str">
        <f>HYPERLINK("https://diaocthongthai.com/ban-do-quan-ngu-hanh-son-tp-da-nang/","Quận Ngũ Hành Sơn")</f>
        <v>Quận Ngũ Hành Sơn</v>
      </c>
      <c r="F6388" s="3" t="s">
        <v>7150</v>
      </c>
      <c r="G6388" s="4" t="str">
        <f>HYPERLINK("https://diaocthongthai.com/phuong-khue-my-quan-ngu-hanh-son/","Phường Khuê Mỹ")</f>
        <v>Phường Khuê Mỹ</v>
      </c>
    </row>
    <row r="6389" spans="1:7" x14ac:dyDescent="0.25">
      <c r="A6389" s="2">
        <v>6388</v>
      </c>
      <c r="B6389" s="3" t="s">
        <v>34</v>
      </c>
      <c r="C6389" s="4" t="str">
        <f t="shared" si="512"/>
        <v>Đà Nẵng</v>
      </c>
      <c r="D6389" s="3" t="s">
        <v>422</v>
      </c>
      <c r="E6389" s="4" t="str">
        <f>HYPERLINK("https://diaocthongthai.com/ban-do-quan-ngu-hanh-son-tp-da-nang/","Quận Ngũ Hành Sơn")</f>
        <v>Quận Ngũ Hành Sơn</v>
      </c>
      <c r="F6389" s="3" t="s">
        <v>7151</v>
      </c>
      <c r="G6389" s="4" t="str">
        <f>HYPERLINK("https://diaocthongthai.com/phuong-hoa-quy-quan-ngu-hanh-son/","Phường Hoà Quý")</f>
        <v>Phường Hoà Quý</v>
      </c>
    </row>
    <row r="6390" spans="1:7" x14ac:dyDescent="0.25">
      <c r="A6390" s="2">
        <v>6389</v>
      </c>
      <c r="B6390" s="3" t="s">
        <v>34</v>
      </c>
      <c r="C6390" s="4" t="str">
        <f t="shared" si="512"/>
        <v>Đà Nẵng</v>
      </c>
      <c r="D6390" s="3" t="s">
        <v>422</v>
      </c>
      <c r="E6390" s="4" t="str">
        <f>HYPERLINK("https://diaocthongthai.com/ban-do-quan-ngu-hanh-son-tp-da-nang/","Quận Ngũ Hành Sơn")</f>
        <v>Quận Ngũ Hành Sơn</v>
      </c>
      <c r="F6390" s="3" t="s">
        <v>7152</v>
      </c>
      <c r="G6390" s="4" t="str">
        <f>HYPERLINK("https://diaocthongthai.com/phuong-hoa-hai-quan-ngu-hanh-son/","Phường Hoà Hải")</f>
        <v>Phường Hoà Hải</v>
      </c>
    </row>
    <row r="6391" spans="1:7" x14ac:dyDescent="0.25">
      <c r="A6391" s="2">
        <v>6390</v>
      </c>
      <c r="B6391" s="3" t="s">
        <v>34</v>
      </c>
      <c r="C6391" s="4" t="str">
        <f t="shared" si="512"/>
        <v>Đà Nẵng</v>
      </c>
      <c r="D6391" s="3" t="s">
        <v>423</v>
      </c>
      <c r="E6391" s="4" t="str">
        <f t="shared" ref="E6391:E6396" si="513">HYPERLINK("https://diaocthongthai.com/ban-do-quan-cam-le-tp-da-nang/","Quận Cẩm Lệ")</f>
        <v>Quận Cẩm Lệ</v>
      </c>
      <c r="F6391" s="3" t="s">
        <v>7153</v>
      </c>
      <c r="G6391" s="4" t="str">
        <f>HYPERLINK("https://diaocthongthai.com/phuong-khue-trung-quan-cam-le/","Phường Khuê Trung")</f>
        <v>Phường Khuê Trung</v>
      </c>
    </row>
    <row r="6392" spans="1:7" x14ac:dyDescent="0.25">
      <c r="A6392" s="2">
        <v>6391</v>
      </c>
      <c r="B6392" s="3" t="s">
        <v>34</v>
      </c>
      <c r="C6392" s="4" t="str">
        <f t="shared" si="512"/>
        <v>Đà Nẵng</v>
      </c>
      <c r="D6392" s="3" t="s">
        <v>423</v>
      </c>
      <c r="E6392" s="4" t="str">
        <f t="shared" si="513"/>
        <v>Quận Cẩm Lệ</v>
      </c>
      <c r="F6392" s="3" t="s">
        <v>7154</v>
      </c>
      <c r="G6392" s="4" t="str">
        <f>HYPERLINK("https://diaocthongthai.com/phuong-hoa-phat-quan-cam-le/","Phường Hòa Phát")</f>
        <v>Phường Hòa Phát</v>
      </c>
    </row>
    <row r="6393" spans="1:7" x14ac:dyDescent="0.25">
      <c r="A6393" s="2">
        <v>6392</v>
      </c>
      <c r="B6393" s="3" t="s">
        <v>34</v>
      </c>
      <c r="C6393" s="4" t="str">
        <f t="shared" si="512"/>
        <v>Đà Nẵng</v>
      </c>
      <c r="D6393" s="3" t="s">
        <v>423</v>
      </c>
      <c r="E6393" s="4" t="str">
        <f t="shared" si="513"/>
        <v>Quận Cẩm Lệ</v>
      </c>
      <c r="F6393" s="3" t="s">
        <v>7155</v>
      </c>
      <c r="G6393" s="4" t="str">
        <f>HYPERLINK("https://diaocthongthai.com/phuong-hoa-an-quan-cam-le/","Phường Hòa An")</f>
        <v>Phường Hòa An</v>
      </c>
    </row>
    <row r="6394" spans="1:7" x14ac:dyDescent="0.25">
      <c r="A6394" s="2">
        <v>6393</v>
      </c>
      <c r="B6394" s="3" t="s">
        <v>34</v>
      </c>
      <c r="C6394" s="4" t="str">
        <f t="shared" si="512"/>
        <v>Đà Nẵng</v>
      </c>
      <c r="D6394" s="3" t="s">
        <v>423</v>
      </c>
      <c r="E6394" s="4" t="str">
        <f t="shared" si="513"/>
        <v>Quận Cẩm Lệ</v>
      </c>
      <c r="F6394" s="3" t="s">
        <v>7156</v>
      </c>
      <c r="G6394" s="4" t="str">
        <f>HYPERLINK("https://diaocthongthai.com/phuong-hoa-tho-tay-quan-cam-le/","Phường Hòa Thọ Tây")</f>
        <v>Phường Hòa Thọ Tây</v>
      </c>
    </row>
    <row r="6395" spans="1:7" x14ac:dyDescent="0.25">
      <c r="A6395" s="2">
        <v>6394</v>
      </c>
      <c r="B6395" s="3" t="s">
        <v>34</v>
      </c>
      <c r="C6395" s="4" t="str">
        <f t="shared" si="512"/>
        <v>Đà Nẵng</v>
      </c>
      <c r="D6395" s="3" t="s">
        <v>423</v>
      </c>
      <c r="E6395" s="4" t="str">
        <f t="shared" si="513"/>
        <v>Quận Cẩm Lệ</v>
      </c>
      <c r="F6395" s="3" t="s">
        <v>7157</v>
      </c>
      <c r="G6395" s="4" t="str">
        <f>HYPERLINK("https://diaocthongthai.com/phuong-hoa-tho-dong-quan-cam-le/","Phường Hòa Thọ Đông")</f>
        <v>Phường Hòa Thọ Đông</v>
      </c>
    </row>
    <row r="6396" spans="1:7" x14ac:dyDescent="0.25">
      <c r="A6396" s="2">
        <v>6395</v>
      </c>
      <c r="B6396" s="3" t="s">
        <v>34</v>
      </c>
      <c r="C6396" s="4" t="str">
        <f t="shared" si="512"/>
        <v>Đà Nẵng</v>
      </c>
      <c r="D6396" s="3" t="s">
        <v>423</v>
      </c>
      <c r="E6396" s="4" t="str">
        <f t="shared" si="513"/>
        <v>Quận Cẩm Lệ</v>
      </c>
      <c r="F6396" s="3" t="s">
        <v>7158</v>
      </c>
      <c r="G6396" s="4" t="str">
        <f>HYPERLINK("https://diaocthongthai.com/phuong-hoa-xuan-quan-cam-le/","Phường Hòa Xuân")</f>
        <v>Phường Hòa Xuân</v>
      </c>
    </row>
    <row r="6397" spans="1:7" x14ac:dyDescent="0.25">
      <c r="A6397" s="2">
        <v>6396</v>
      </c>
      <c r="B6397" s="3" t="s">
        <v>34</v>
      </c>
      <c r="C6397" s="4" t="str">
        <f t="shared" si="512"/>
        <v>Đà Nẵng</v>
      </c>
      <c r="D6397" s="3" t="s">
        <v>424</v>
      </c>
      <c r="E6397" s="4" t="str">
        <f t="shared" ref="E6397:E6407" si="514">HYPERLINK("https://diaocthongthai.com/ban-do-huyen-hoa-vang-tp-da-nang/","Huyện Hòa Vang")</f>
        <v>Huyện Hòa Vang</v>
      </c>
      <c r="F6397" s="3" t="s">
        <v>7159</v>
      </c>
      <c r="G6397" s="4" t="str">
        <f>HYPERLINK("https://diaocthongthai.com/xa-hoa-bac-hoa-vang/","Xã Hòa Bắc")</f>
        <v>Xã Hòa Bắc</v>
      </c>
    </row>
    <row r="6398" spans="1:7" x14ac:dyDescent="0.25">
      <c r="A6398" s="2">
        <v>6397</v>
      </c>
      <c r="B6398" s="3" t="s">
        <v>34</v>
      </c>
      <c r="C6398" s="4" t="str">
        <f t="shared" si="512"/>
        <v>Đà Nẵng</v>
      </c>
      <c r="D6398" s="3" t="s">
        <v>424</v>
      </c>
      <c r="E6398" s="4" t="str">
        <f t="shared" si="514"/>
        <v>Huyện Hòa Vang</v>
      </c>
      <c r="F6398" s="3" t="s">
        <v>7160</v>
      </c>
      <c r="G6398" s="4" t="str">
        <f>HYPERLINK("https://diaocthongthai.com/xa-hoa-lien-hoa-vang/","Xã Hòa Liên")</f>
        <v>Xã Hòa Liên</v>
      </c>
    </row>
    <row r="6399" spans="1:7" x14ac:dyDescent="0.25">
      <c r="A6399" s="2">
        <v>6398</v>
      </c>
      <c r="B6399" s="3" t="s">
        <v>34</v>
      </c>
      <c r="C6399" s="4" t="str">
        <f t="shared" si="512"/>
        <v>Đà Nẵng</v>
      </c>
      <c r="D6399" s="3" t="s">
        <v>424</v>
      </c>
      <c r="E6399" s="4" t="str">
        <f t="shared" si="514"/>
        <v>Huyện Hòa Vang</v>
      </c>
      <c r="F6399" s="3" t="s">
        <v>7161</v>
      </c>
      <c r="G6399" s="4" t="str">
        <f>HYPERLINK("https://diaocthongthai.com/xa-hoa-ninh-hoa-vang/","Xã Hòa Ninh")</f>
        <v>Xã Hòa Ninh</v>
      </c>
    </row>
    <row r="6400" spans="1:7" x14ac:dyDescent="0.25">
      <c r="A6400" s="2">
        <v>6399</v>
      </c>
      <c r="B6400" s="3" t="s">
        <v>34</v>
      </c>
      <c r="C6400" s="4" t="str">
        <f t="shared" si="512"/>
        <v>Đà Nẵng</v>
      </c>
      <c r="D6400" s="3" t="s">
        <v>424</v>
      </c>
      <c r="E6400" s="4" t="str">
        <f t="shared" si="514"/>
        <v>Huyện Hòa Vang</v>
      </c>
      <c r="F6400" s="3" t="s">
        <v>7162</v>
      </c>
      <c r="G6400" s="4" t="str">
        <f>HYPERLINK("https://diaocthongthai.com/xa-hoa-son-hoa-vang/","Xã Hòa Sơn")</f>
        <v>Xã Hòa Sơn</v>
      </c>
    </row>
    <row r="6401" spans="1:7" x14ac:dyDescent="0.25">
      <c r="A6401" s="2">
        <v>6400</v>
      </c>
      <c r="B6401" s="3" t="s">
        <v>34</v>
      </c>
      <c r="C6401" s="4" t="str">
        <f t="shared" si="512"/>
        <v>Đà Nẵng</v>
      </c>
      <c r="D6401" s="3" t="s">
        <v>424</v>
      </c>
      <c r="E6401" s="4" t="str">
        <f t="shared" si="514"/>
        <v>Huyện Hòa Vang</v>
      </c>
      <c r="F6401" s="3" t="s">
        <v>7163</v>
      </c>
      <c r="G6401" s="4" t="str">
        <f>HYPERLINK("https://diaocthongthai.com/xa-hoa-nhon-hoa-vang/","Xã Hòa Nhơn")</f>
        <v>Xã Hòa Nhơn</v>
      </c>
    </row>
    <row r="6402" spans="1:7" x14ac:dyDescent="0.25">
      <c r="A6402" s="2">
        <v>6401</v>
      </c>
      <c r="B6402" s="3" t="s">
        <v>34</v>
      </c>
      <c r="C6402" s="4" t="str">
        <f t="shared" si="512"/>
        <v>Đà Nẵng</v>
      </c>
      <c r="D6402" s="3" t="s">
        <v>424</v>
      </c>
      <c r="E6402" s="4" t="str">
        <f t="shared" si="514"/>
        <v>Huyện Hòa Vang</v>
      </c>
      <c r="F6402" s="3" t="s">
        <v>7164</v>
      </c>
      <c r="G6402" s="4" t="str">
        <f>HYPERLINK("https://diaocthongthai.com/xa-hoa-phu-hoa-vang/","Xã Hòa Phú")</f>
        <v>Xã Hòa Phú</v>
      </c>
    </row>
    <row r="6403" spans="1:7" x14ac:dyDescent="0.25">
      <c r="A6403" s="2">
        <v>6402</v>
      </c>
      <c r="B6403" s="3" t="s">
        <v>34</v>
      </c>
      <c r="C6403" s="4" t="str">
        <f t="shared" si="512"/>
        <v>Đà Nẵng</v>
      </c>
      <c r="D6403" s="3" t="s">
        <v>424</v>
      </c>
      <c r="E6403" s="4" t="str">
        <f t="shared" si="514"/>
        <v>Huyện Hòa Vang</v>
      </c>
      <c r="F6403" s="3" t="s">
        <v>7165</v>
      </c>
      <c r="G6403" s="4" t="str">
        <f>HYPERLINK("https://diaocthongthai.com/xa-hoa-phong-hoa-vang/","Xã Hòa Phong")</f>
        <v>Xã Hòa Phong</v>
      </c>
    </row>
    <row r="6404" spans="1:7" x14ac:dyDescent="0.25">
      <c r="A6404" s="2">
        <v>6403</v>
      </c>
      <c r="B6404" s="3" t="s">
        <v>34</v>
      </c>
      <c r="C6404" s="4" t="str">
        <f t="shared" si="512"/>
        <v>Đà Nẵng</v>
      </c>
      <c r="D6404" s="3" t="s">
        <v>424</v>
      </c>
      <c r="E6404" s="4" t="str">
        <f t="shared" si="514"/>
        <v>Huyện Hòa Vang</v>
      </c>
      <c r="F6404" s="3" t="s">
        <v>7166</v>
      </c>
      <c r="G6404" s="4" t="str">
        <f>HYPERLINK("https://diaocthongthai.com/xa-hoa-chau-hoa-vang/","Xã Hòa Châu")</f>
        <v>Xã Hòa Châu</v>
      </c>
    </row>
    <row r="6405" spans="1:7" x14ac:dyDescent="0.25">
      <c r="A6405" s="2">
        <v>6404</v>
      </c>
      <c r="B6405" s="3" t="s">
        <v>34</v>
      </c>
      <c r="C6405" s="4" t="str">
        <f t="shared" si="512"/>
        <v>Đà Nẵng</v>
      </c>
      <c r="D6405" s="3" t="s">
        <v>424</v>
      </c>
      <c r="E6405" s="4" t="str">
        <f t="shared" si="514"/>
        <v>Huyện Hòa Vang</v>
      </c>
      <c r="F6405" s="3" t="s">
        <v>7167</v>
      </c>
      <c r="G6405" s="4" t="str">
        <f>HYPERLINK("https://diaocthongthai.com/xa-hoa-tien-hoa-vang/","Xã Hòa Tiến")</f>
        <v>Xã Hòa Tiến</v>
      </c>
    </row>
    <row r="6406" spans="1:7" x14ac:dyDescent="0.25">
      <c r="A6406" s="2">
        <v>6405</v>
      </c>
      <c r="B6406" s="3" t="s">
        <v>34</v>
      </c>
      <c r="C6406" s="4" t="str">
        <f t="shared" si="512"/>
        <v>Đà Nẵng</v>
      </c>
      <c r="D6406" s="3" t="s">
        <v>424</v>
      </c>
      <c r="E6406" s="4" t="str">
        <f t="shared" si="514"/>
        <v>Huyện Hòa Vang</v>
      </c>
      <c r="F6406" s="3" t="s">
        <v>7168</v>
      </c>
      <c r="G6406" s="4" t="str">
        <f>HYPERLINK("https://diaocthongthai.com/xa-hoa-phuoc-hoa-vang/","Xã Hòa Phước")</f>
        <v>Xã Hòa Phước</v>
      </c>
    </row>
    <row r="6407" spans="1:7" x14ac:dyDescent="0.25">
      <c r="A6407" s="2">
        <v>6406</v>
      </c>
      <c r="B6407" s="3" t="s">
        <v>34</v>
      </c>
      <c r="C6407" s="4" t="str">
        <f t="shared" si="512"/>
        <v>Đà Nẵng</v>
      </c>
      <c r="D6407" s="3" t="s">
        <v>424</v>
      </c>
      <c r="E6407" s="4" t="str">
        <f t="shared" si="514"/>
        <v>Huyện Hòa Vang</v>
      </c>
      <c r="F6407" s="3" t="s">
        <v>7169</v>
      </c>
      <c r="G6407" s="4" t="str">
        <f>HYPERLINK("https://diaocthongthai.com/xa-hoa-khuong-hoa-vang/","Xã Hòa Khương")</f>
        <v>Xã Hòa Khương</v>
      </c>
    </row>
    <row r="6408" spans="1:7" x14ac:dyDescent="0.25">
      <c r="A6408" s="2">
        <v>6407</v>
      </c>
      <c r="B6408" s="3" t="s">
        <v>34</v>
      </c>
      <c r="C6408" s="4" t="str">
        <f t="shared" si="512"/>
        <v>Đà Nẵng</v>
      </c>
      <c r="D6408" s="3">
        <v>498</v>
      </c>
      <c r="E6408" s="4" t="str">
        <f>HYPERLINK("https://diaocthongthai.com/ban-do-dao-hoang-sa/","Huyện Hoàng Sa")</f>
        <v>Huyện Hoàng Sa</v>
      </c>
      <c r="G6408" s="4" t="str">
        <f>HYPERLINK("https://diaocthongthai.com/ban-do-dao-hoang-sa/","Không phân chia đơn vị hành chính cấp xã")</f>
        <v>Không phân chia đơn vị hành chính cấp xã</v>
      </c>
    </row>
    <row r="6409" spans="1:7" x14ac:dyDescent="0.25">
      <c r="A6409" s="2">
        <v>6408</v>
      </c>
      <c r="B6409" s="3" t="s">
        <v>35</v>
      </c>
      <c r="C6409" s="4" t="str">
        <f t="shared" ref="C6409:C6472" si="515">HYPERLINK("https://diaocthongthai.com/ban-do-quang-nam/","Quảng Nam")</f>
        <v>Quảng Nam</v>
      </c>
      <c r="D6409" s="3" t="s">
        <v>425</v>
      </c>
      <c r="E6409" s="4" t="str">
        <f t="shared" ref="E6409:E6421" si="516">HYPERLINK("https://diaocthongthai.com/ban-do-tp-tam-ky-quang-nam/","Thành phố Tam Kỳ")</f>
        <v>Thành phố Tam Kỳ</v>
      </c>
      <c r="F6409" s="3" t="s">
        <v>7170</v>
      </c>
      <c r="G6409" s="4" t="str">
        <f>HYPERLINK("https://diaocthongthai.com/phuong-tan-thanh-tp-tam-ky/","Phường Tân Thạnh")</f>
        <v>Phường Tân Thạnh</v>
      </c>
    </row>
    <row r="6410" spans="1:7" x14ac:dyDescent="0.25">
      <c r="A6410" s="2">
        <v>6409</v>
      </c>
      <c r="B6410" s="3" t="s">
        <v>35</v>
      </c>
      <c r="C6410" s="4" t="str">
        <f t="shared" si="515"/>
        <v>Quảng Nam</v>
      </c>
      <c r="D6410" s="3" t="s">
        <v>425</v>
      </c>
      <c r="E6410" s="4" t="str">
        <f t="shared" si="516"/>
        <v>Thành phố Tam Kỳ</v>
      </c>
      <c r="F6410" s="3" t="s">
        <v>7171</v>
      </c>
      <c r="G6410" s="4" t="str">
        <f>HYPERLINK("https://diaocthongthai.com/phuong-phuoc-hoa-tp-tam-ky/","Phường Phước Hòa")</f>
        <v>Phường Phước Hòa</v>
      </c>
    </row>
    <row r="6411" spans="1:7" x14ac:dyDescent="0.25">
      <c r="A6411" s="2">
        <v>6410</v>
      </c>
      <c r="B6411" s="3" t="s">
        <v>35</v>
      </c>
      <c r="C6411" s="4" t="str">
        <f t="shared" si="515"/>
        <v>Quảng Nam</v>
      </c>
      <c r="D6411" s="3" t="s">
        <v>425</v>
      </c>
      <c r="E6411" s="4" t="str">
        <f t="shared" si="516"/>
        <v>Thành phố Tam Kỳ</v>
      </c>
      <c r="F6411" s="3" t="s">
        <v>7172</v>
      </c>
      <c r="G6411" s="4" t="str">
        <f>HYPERLINK("https://diaocthongthai.com/phuong-an-my-tp-tam-ky/","Phường An Mỹ")</f>
        <v>Phường An Mỹ</v>
      </c>
    </row>
    <row r="6412" spans="1:7" x14ac:dyDescent="0.25">
      <c r="A6412" s="2">
        <v>6411</v>
      </c>
      <c r="B6412" s="3" t="s">
        <v>35</v>
      </c>
      <c r="C6412" s="4" t="str">
        <f t="shared" si="515"/>
        <v>Quảng Nam</v>
      </c>
      <c r="D6412" s="3" t="s">
        <v>425</v>
      </c>
      <c r="E6412" s="4" t="str">
        <f t="shared" si="516"/>
        <v>Thành phố Tam Kỳ</v>
      </c>
      <c r="F6412" s="3" t="s">
        <v>7173</v>
      </c>
      <c r="G6412" s="4" t="str">
        <f>HYPERLINK("https://diaocthongthai.com/phuong-hoa-huong-tp-tam-ky/","Phường Hòa Hương")</f>
        <v>Phường Hòa Hương</v>
      </c>
    </row>
    <row r="6413" spans="1:7" x14ac:dyDescent="0.25">
      <c r="A6413" s="2">
        <v>6412</v>
      </c>
      <c r="B6413" s="3" t="s">
        <v>35</v>
      </c>
      <c r="C6413" s="4" t="str">
        <f t="shared" si="515"/>
        <v>Quảng Nam</v>
      </c>
      <c r="D6413" s="3" t="s">
        <v>425</v>
      </c>
      <c r="E6413" s="4" t="str">
        <f t="shared" si="516"/>
        <v>Thành phố Tam Kỳ</v>
      </c>
      <c r="F6413" s="3" t="s">
        <v>7174</v>
      </c>
      <c r="G6413" s="4" t="str">
        <f>HYPERLINK("https://diaocthongthai.com/phuong-an-xuan-tp-tam-ky/","Phường An Xuân")</f>
        <v>Phường An Xuân</v>
      </c>
    </row>
    <row r="6414" spans="1:7" x14ac:dyDescent="0.25">
      <c r="A6414" s="2">
        <v>6413</v>
      </c>
      <c r="B6414" s="3" t="s">
        <v>35</v>
      </c>
      <c r="C6414" s="4" t="str">
        <f t="shared" si="515"/>
        <v>Quảng Nam</v>
      </c>
      <c r="D6414" s="3" t="s">
        <v>425</v>
      </c>
      <c r="E6414" s="4" t="str">
        <f t="shared" si="516"/>
        <v>Thành phố Tam Kỳ</v>
      </c>
      <c r="F6414" s="3" t="s">
        <v>7175</v>
      </c>
      <c r="G6414" s="4" t="str">
        <f>HYPERLINK("https://diaocthongthai.com/phuong-an-son-tp-tam-ky/","Phường An Sơn")</f>
        <v>Phường An Sơn</v>
      </c>
    </row>
    <row r="6415" spans="1:7" x14ac:dyDescent="0.25">
      <c r="A6415" s="2">
        <v>6414</v>
      </c>
      <c r="B6415" s="3" t="s">
        <v>35</v>
      </c>
      <c r="C6415" s="4" t="str">
        <f t="shared" si="515"/>
        <v>Quảng Nam</v>
      </c>
      <c r="D6415" s="3" t="s">
        <v>425</v>
      </c>
      <c r="E6415" s="4" t="str">
        <f t="shared" si="516"/>
        <v>Thành phố Tam Kỳ</v>
      </c>
      <c r="F6415" s="3" t="s">
        <v>7176</v>
      </c>
      <c r="G6415" s="4" t="str">
        <f>HYPERLINK("https://diaocthongthai.com/phuong-truong-xuan-tp-tam-ky/","Phường Trường Xuân")</f>
        <v>Phường Trường Xuân</v>
      </c>
    </row>
    <row r="6416" spans="1:7" x14ac:dyDescent="0.25">
      <c r="A6416" s="2">
        <v>6415</v>
      </c>
      <c r="B6416" s="3" t="s">
        <v>35</v>
      </c>
      <c r="C6416" s="4" t="str">
        <f t="shared" si="515"/>
        <v>Quảng Nam</v>
      </c>
      <c r="D6416" s="3" t="s">
        <v>425</v>
      </c>
      <c r="E6416" s="4" t="str">
        <f t="shared" si="516"/>
        <v>Thành phố Tam Kỳ</v>
      </c>
      <c r="F6416" s="3" t="s">
        <v>7177</v>
      </c>
      <c r="G6416" s="4" t="str">
        <f>HYPERLINK("https://diaocthongthai.com/phuong-an-phu-tp-tam-ky/","Phường An Phú")</f>
        <v>Phường An Phú</v>
      </c>
    </row>
    <row r="6417" spans="1:7" x14ac:dyDescent="0.25">
      <c r="A6417" s="2">
        <v>6416</v>
      </c>
      <c r="B6417" s="3" t="s">
        <v>35</v>
      </c>
      <c r="C6417" s="4" t="str">
        <f t="shared" si="515"/>
        <v>Quảng Nam</v>
      </c>
      <c r="D6417" s="3" t="s">
        <v>425</v>
      </c>
      <c r="E6417" s="4" t="str">
        <f t="shared" si="516"/>
        <v>Thành phố Tam Kỳ</v>
      </c>
      <c r="F6417" s="3" t="s">
        <v>7178</v>
      </c>
      <c r="G6417" s="4" t="str">
        <f>HYPERLINK("https://diaocthongthai.com/xa-tam-thanh-tp-tam-ky/","Xã Tam Thanh")</f>
        <v>Xã Tam Thanh</v>
      </c>
    </row>
    <row r="6418" spans="1:7" x14ac:dyDescent="0.25">
      <c r="A6418" s="2">
        <v>6417</v>
      </c>
      <c r="B6418" s="3" t="s">
        <v>35</v>
      </c>
      <c r="C6418" s="4" t="str">
        <f t="shared" si="515"/>
        <v>Quảng Nam</v>
      </c>
      <c r="D6418" s="3" t="s">
        <v>425</v>
      </c>
      <c r="E6418" s="4" t="str">
        <f t="shared" si="516"/>
        <v>Thành phố Tam Kỳ</v>
      </c>
      <c r="F6418" s="3" t="s">
        <v>7179</v>
      </c>
      <c r="G6418" s="4" t="str">
        <f>HYPERLINK("https://diaocthongthai.com/xa-tam-thang-tp-tam-ky/","Xã Tam Thăng")</f>
        <v>Xã Tam Thăng</v>
      </c>
    </row>
    <row r="6419" spans="1:7" x14ac:dyDescent="0.25">
      <c r="A6419" s="2">
        <v>6418</v>
      </c>
      <c r="B6419" s="3" t="s">
        <v>35</v>
      </c>
      <c r="C6419" s="4" t="str">
        <f t="shared" si="515"/>
        <v>Quảng Nam</v>
      </c>
      <c r="D6419" s="3" t="s">
        <v>425</v>
      </c>
      <c r="E6419" s="4" t="str">
        <f t="shared" si="516"/>
        <v>Thành phố Tam Kỳ</v>
      </c>
      <c r="F6419" s="3" t="s">
        <v>7180</v>
      </c>
      <c r="G6419" s="4" t="str">
        <f>HYPERLINK("https://diaocthongthai.com/xa-tam-phu-tp-tam-ky/","Xã Tam Phú")</f>
        <v>Xã Tam Phú</v>
      </c>
    </row>
    <row r="6420" spans="1:7" x14ac:dyDescent="0.25">
      <c r="A6420" s="2">
        <v>6419</v>
      </c>
      <c r="B6420" s="3" t="s">
        <v>35</v>
      </c>
      <c r="C6420" s="4" t="str">
        <f t="shared" si="515"/>
        <v>Quảng Nam</v>
      </c>
      <c r="D6420" s="3" t="s">
        <v>425</v>
      </c>
      <c r="E6420" s="4" t="str">
        <f t="shared" si="516"/>
        <v>Thành phố Tam Kỳ</v>
      </c>
      <c r="F6420" s="3" t="s">
        <v>7181</v>
      </c>
      <c r="G6420" s="4" t="str">
        <f>HYPERLINK("https://diaocthongthai.com/phuong-hoa-thuan-tp-tam-ky/","Phường Hoà Thuận")</f>
        <v>Phường Hoà Thuận</v>
      </c>
    </row>
    <row r="6421" spans="1:7" x14ac:dyDescent="0.25">
      <c r="A6421" s="2">
        <v>6420</v>
      </c>
      <c r="B6421" s="3" t="s">
        <v>35</v>
      </c>
      <c r="C6421" s="4" t="str">
        <f t="shared" si="515"/>
        <v>Quảng Nam</v>
      </c>
      <c r="D6421" s="3" t="s">
        <v>425</v>
      </c>
      <c r="E6421" s="4" t="str">
        <f t="shared" si="516"/>
        <v>Thành phố Tam Kỳ</v>
      </c>
      <c r="F6421" s="3" t="s">
        <v>7182</v>
      </c>
      <c r="G6421" s="4" t="str">
        <f>HYPERLINK("https://diaocthongthai.com/xa-tam-ngoc-tp-tam-ky/","Xã Tam Ngọc")</f>
        <v>Xã Tam Ngọc</v>
      </c>
    </row>
    <row r="6422" spans="1:7" x14ac:dyDescent="0.25">
      <c r="A6422" s="2">
        <v>6421</v>
      </c>
      <c r="B6422" s="3" t="s">
        <v>35</v>
      </c>
      <c r="C6422" s="4" t="str">
        <f t="shared" si="515"/>
        <v>Quảng Nam</v>
      </c>
      <c r="D6422" s="3" t="s">
        <v>426</v>
      </c>
      <c r="E6422" s="4" t="str">
        <f t="shared" ref="E6422:E6434" si="517">HYPERLINK("https://diaocthongthai.com/ban-do-tp-hoi-an-quang-nam/","Thành phố Hội An")</f>
        <v>Thành phố Hội An</v>
      </c>
      <c r="F6422" s="3" t="s">
        <v>7183</v>
      </c>
      <c r="G6422" s="4" t="str">
        <f>HYPERLINK("https://diaocthongthai.com/phuong-minh-an-tp-hoi-an/","Phường Minh An")</f>
        <v>Phường Minh An</v>
      </c>
    </row>
    <row r="6423" spans="1:7" x14ac:dyDescent="0.25">
      <c r="A6423" s="2">
        <v>6422</v>
      </c>
      <c r="B6423" s="3" t="s">
        <v>35</v>
      </c>
      <c r="C6423" s="4" t="str">
        <f t="shared" si="515"/>
        <v>Quảng Nam</v>
      </c>
      <c r="D6423" s="3" t="s">
        <v>426</v>
      </c>
      <c r="E6423" s="4" t="str">
        <f t="shared" si="517"/>
        <v>Thành phố Hội An</v>
      </c>
      <c r="F6423" s="3" t="s">
        <v>7184</v>
      </c>
      <c r="G6423" s="4" t="str">
        <f>HYPERLINK("https://diaocthongthai.com/phuong-tan-an-tp-hoi-an/","Phường Tân An")</f>
        <v>Phường Tân An</v>
      </c>
    </row>
    <row r="6424" spans="1:7" x14ac:dyDescent="0.25">
      <c r="A6424" s="2">
        <v>6423</v>
      </c>
      <c r="B6424" s="3" t="s">
        <v>35</v>
      </c>
      <c r="C6424" s="4" t="str">
        <f t="shared" si="515"/>
        <v>Quảng Nam</v>
      </c>
      <c r="D6424" s="3" t="s">
        <v>426</v>
      </c>
      <c r="E6424" s="4" t="str">
        <f t="shared" si="517"/>
        <v>Thành phố Hội An</v>
      </c>
      <c r="F6424" s="3" t="s">
        <v>7185</v>
      </c>
      <c r="G6424" s="4" t="str">
        <f>HYPERLINK("https://diaocthongthai.com/phuong-cam-pho-tp-hoi-an/","Phường Cẩm Phô")</f>
        <v>Phường Cẩm Phô</v>
      </c>
    </row>
    <row r="6425" spans="1:7" x14ac:dyDescent="0.25">
      <c r="A6425" s="2">
        <v>6424</v>
      </c>
      <c r="B6425" s="3" t="s">
        <v>35</v>
      </c>
      <c r="C6425" s="4" t="str">
        <f t="shared" si="515"/>
        <v>Quảng Nam</v>
      </c>
      <c r="D6425" s="3" t="s">
        <v>426</v>
      </c>
      <c r="E6425" s="4" t="str">
        <f t="shared" si="517"/>
        <v>Thành phố Hội An</v>
      </c>
      <c r="F6425" s="3" t="s">
        <v>7186</v>
      </c>
      <c r="G6425" s="4" t="str">
        <f>HYPERLINK("https://diaocthongthai.com/phuong-thanh-ha-tp-hoi-an/","Phường Thanh Hà")</f>
        <v>Phường Thanh Hà</v>
      </c>
    </row>
    <row r="6426" spans="1:7" x14ac:dyDescent="0.25">
      <c r="A6426" s="2">
        <v>6425</v>
      </c>
      <c r="B6426" s="3" t="s">
        <v>35</v>
      </c>
      <c r="C6426" s="4" t="str">
        <f t="shared" si="515"/>
        <v>Quảng Nam</v>
      </c>
      <c r="D6426" s="3" t="s">
        <v>426</v>
      </c>
      <c r="E6426" s="4" t="str">
        <f t="shared" si="517"/>
        <v>Thành phố Hội An</v>
      </c>
      <c r="F6426" s="3" t="s">
        <v>7187</v>
      </c>
      <c r="G6426" s="4" t="str">
        <f>HYPERLINK("https://diaocthongthai.com/phuong-son-phong-tp-hoi-an/","Phường Sơn Phong")</f>
        <v>Phường Sơn Phong</v>
      </c>
    </row>
    <row r="6427" spans="1:7" x14ac:dyDescent="0.25">
      <c r="A6427" s="2">
        <v>6426</v>
      </c>
      <c r="B6427" s="3" t="s">
        <v>35</v>
      </c>
      <c r="C6427" s="4" t="str">
        <f t="shared" si="515"/>
        <v>Quảng Nam</v>
      </c>
      <c r="D6427" s="3" t="s">
        <v>426</v>
      </c>
      <c r="E6427" s="4" t="str">
        <f t="shared" si="517"/>
        <v>Thành phố Hội An</v>
      </c>
      <c r="F6427" s="3" t="s">
        <v>7188</v>
      </c>
      <c r="G6427" s="4" t="str">
        <f>HYPERLINK("https://diaocthongthai.com/phuong-cam-chau-tp-hoi-an/","Phường Cẩm Châu")</f>
        <v>Phường Cẩm Châu</v>
      </c>
    </row>
    <row r="6428" spans="1:7" x14ac:dyDescent="0.25">
      <c r="A6428" s="2">
        <v>6427</v>
      </c>
      <c r="B6428" s="3" t="s">
        <v>35</v>
      </c>
      <c r="C6428" s="4" t="str">
        <f t="shared" si="515"/>
        <v>Quảng Nam</v>
      </c>
      <c r="D6428" s="3" t="s">
        <v>426</v>
      </c>
      <c r="E6428" s="4" t="str">
        <f t="shared" si="517"/>
        <v>Thành phố Hội An</v>
      </c>
      <c r="F6428" s="3" t="s">
        <v>7189</v>
      </c>
      <c r="G6428" s="4" t="str">
        <f>HYPERLINK("https://diaocthongthai.com/phuong-cua-dai-tp-hoi-an/","Phường Cửa Đại")</f>
        <v>Phường Cửa Đại</v>
      </c>
    </row>
    <row r="6429" spans="1:7" x14ac:dyDescent="0.25">
      <c r="A6429" s="2">
        <v>6428</v>
      </c>
      <c r="B6429" s="3" t="s">
        <v>35</v>
      </c>
      <c r="C6429" s="4" t="str">
        <f t="shared" si="515"/>
        <v>Quảng Nam</v>
      </c>
      <c r="D6429" s="3" t="s">
        <v>426</v>
      </c>
      <c r="E6429" s="4" t="str">
        <f t="shared" si="517"/>
        <v>Thành phố Hội An</v>
      </c>
      <c r="F6429" s="3" t="s">
        <v>7190</v>
      </c>
      <c r="G6429" s="4" t="str">
        <f>HYPERLINK("https://diaocthongthai.com/phuong-cam-an-tp-hoi-an/","Phường Cẩm An")</f>
        <v>Phường Cẩm An</v>
      </c>
    </row>
    <row r="6430" spans="1:7" x14ac:dyDescent="0.25">
      <c r="A6430" s="2">
        <v>6429</v>
      </c>
      <c r="B6430" s="3" t="s">
        <v>35</v>
      </c>
      <c r="C6430" s="4" t="str">
        <f t="shared" si="515"/>
        <v>Quảng Nam</v>
      </c>
      <c r="D6430" s="3" t="s">
        <v>426</v>
      </c>
      <c r="E6430" s="4" t="str">
        <f t="shared" si="517"/>
        <v>Thành phố Hội An</v>
      </c>
      <c r="F6430" s="3" t="s">
        <v>7191</v>
      </c>
      <c r="G6430" s="4" t="str">
        <f>HYPERLINK("https://diaocthongthai.com/xa-cam-ha-tp-hoi-an/","Xã Cẩm Hà")</f>
        <v>Xã Cẩm Hà</v>
      </c>
    </row>
    <row r="6431" spans="1:7" x14ac:dyDescent="0.25">
      <c r="A6431" s="2">
        <v>6430</v>
      </c>
      <c r="B6431" s="3" t="s">
        <v>35</v>
      </c>
      <c r="C6431" s="4" t="str">
        <f t="shared" si="515"/>
        <v>Quảng Nam</v>
      </c>
      <c r="D6431" s="3" t="s">
        <v>426</v>
      </c>
      <c r="E6431" s="4" t="str">
        <f t="shared" si="517"/>
        <v>Thành phố Hội An</v>
      </c>
      <c r="F6431" s="3" t="s">
        <v>7192</v>
      </c>
      <c r="G6431" s="4" t="str">
        <f>HYPERLINK("https://diaocthongthai.com/xa-cam-kim-tp-hoi-an/","Xã Cẩm Kim")</f>
        <v>Xã Cẩm Kim</v>
      </c>
    </row>
    <row r="6432" spans="1:7" x14ac:dyDescent="0.25">
      <c r="A6432" s="2">
        <v>6431</v>
      </c>
      <c r="B6432" s="3" t="s">
        <v>35</v>
      </c>
      <c r="C6432" s="4" t="str">
        <f t="shared" si="515"/>
        <v>Quảng Nam</v>
      </c>
      <c r="D6432" s="3" t="s">
        <v>426</v>
      </c>
      <c r="E6432" s="4" t="str">
        <f t="shared" si="517"/>
        <v>Thành phố Hội An</v>
      </c>
      <c r="F6432" s="3" t="s">
        <v>7193</v>
      </c>
      <c r="G6432" s="4" t="str">
        <f>HYPERLINK("https://diaocthongthai.com/phuong-cam-nam-tp-hoi-an/","Phường Cẩm Nam")</f>
        <v>Phường Cẩm Nam</v>
      </c>
    </row>
    <row r="6433" spans="1:7" x14ac:dyDescent="0.25">
      <c r="A6433" s="2">
        <v>6432</v>
      </c>
      <c r="B6433" s="3" t="s">
        <v>35</v>
      </c>
      <c r="C6433" s="4" t="str">
        <f t="shared" si="515"/>
        <v>Quảng Nam</v>
      </c>
      <c r="D6433" s="3" t="s">
        <v>426</v>
      </c>
      <c r="E6433" s="4" t="str">
        <f t="shared" si="517"/>
        <v>Thành phố Hội An</v>
      </c>
      <c r="F6433" s="3" t="s">
        <v>7194</v>
      </c>
      <c r="G6433" s="4" t="str">
        <f>HYPERLINK("https://diaocthongthai.com/xa-cam-thanh-tp-hoi-an/","Xã Cẩm Thanh")</f>
        <v>Xã Cẩm Thanh</v>
      </c>
    </row>
    <row r="6434" spans="1:7" x14ac:dyDescent="0.25">
      <c r="A6434" s="2">
        <v>6433</v>
      </c>
      <c r="B6434" s="3" t="s">
        <v>35</v>
      </c>
      <c r="C6434" s="4" t="str">
        <f t="shared" si="515"/>
        <v>Quảng Nam</v>
      </c>
      <c r="D6434" s="3" t="s">
        <v>426</v>
      </c>
      <c r="E6434" s="4" t="str">
        <f t="shared" si="517"/>
        <v>Thành phố Hội An</v>
      </c>
      <c r="F6434" s="3" t="s">
        <v>7195</v>
      </c>
      <c r="G6434" s="4" t="str">
        <f>HYPERLINK("https://diaocthongthai.com/xa-tan-hiep-tp-hoi-an/","Xã Tân Hiệp")</f>
        <v>Xã Tân Hiệp</v>
      </c>
    </row>
    <row r="6435" spans="1:7" x14ac:dyDescent="0.25">
      <c r="A6435" s="2">
        <v>6434</v>
      </c>
      <c r="B6435" s="3" t="s">
        <v>35</v>
      </c>
      <c r="C6435" s="4" t="str">
        <f t="shared" si="515"/>
        <v>Quảng Nam</v>
      </c>
      <c r="D6435" s="3" t="s">
        <v>427</v>
      </c>
      <c r="E6435" s="4" t="str">
        <f t="shared" ref="E6435:E6444" si="518">HYPERLINK("https://diaocthongthai.com/ban-do-huyen-tay-giang-quang-nam/","Huyện Tây Giang")</f>
        <v>Huyện Tây Giang</v>
      </c>
      <c r="F6435" s="3" t="s">
        <v>7196</v>
      </c>
      <c r="G6435" s="4" t="str">
        <f>HYPERLINK("https://diaocthongthai.com/xa-ch-om-tay-giang/","Xã Ch'ơm")</f>
        <v>Xã Ch'ơm</v>
      </c>
    </row>
    <row r="6436" spans="1:7" x14ac:dyDescent="0.25">
      <c r="A6436" s="2">
        <v>6435</v>
      </c>
      <c r="B6436" s="3" t="s">
        <v>35</v>
      </c>
      <c r="C6436" s="4" t="str">
        <f t="shared" si="515"/>
        <v>Quảng Nam</v>
      </c>
      <c r="D6436" s="3" t="s">
        <v>427</v>
      </c>
      <c r="E6436" s="4" t="str">
        <f t="shared" si="518"/>
        <v>Huyện Tây Giang</v>
      </c>
      <c r="F6436" s="3" t="s">
        <v>7197</v>
      </c>
      <c r="G6436" s="4" t="str">
        <f>HYPERLINK("https://diaocthongthai.com/xa-ga-ri-tay-giang/","Xã Ga Ri")</f>
        <v>Xã Ga Ri</v>
      </c>
    </row>
    <row r="6437" spans="1:7" x14ac:dyDescent="0.25">
      <c r="A6437" s="2">
        <v>6436</v>
      </c>
      <c r="B6437" s="3" t="s">
        <v>35</v>
      </c>
      <c r="C6437" s="4" t="str">
        <f t="shared" si="515"/>
        <v>Quảng Nam</v>
      </c>
      <c r="D6437" s="3" t="s">
        <v>427</v>
      </c>
      <c r="E6437" s="4" t="str">
        <f t="shared" si="518"/>
        <v>Huyện Tây Giang</v>
      </c>
      <c r="F6437" s="3" t="s">
        <v>7198</v>
      </c>
      <c r="G6437" s="4" t="str">
        <f>HYPERLINK("https://diaocthongthai.com/xa-a-xan-tay-giang/","Xã A Xan")</f>
        <v>Xã A Xan</v>
      </c>
    </row>
    <row r="6438" spans="1:7" x14ac:dyDescent="0.25">
      <c r="A6438" s="2">
        <v>6437</v>
      </c>
      <c r="B6438" s="3" t="s">
        <v>35</v>
      </c>
      <c r="C6438" s="4" t="str">
        <f t="shared" si="515"/>
        <v>Quảng Nam</v>
      </c>
      <c r="D6438" s="3" t="s">
        <v>427</v>
      </c>
      <c r="E6438" s="4" t="str">
        <f t="shared" si="518"/>
        <v>Huyện Tây Giang</v>
      </c>
      <c r="F6438" s="3" t="s">
        <v>7199</v>
      </c>
      <c r="G6438" s="4" t="str">
        <f>HYPERLINK("https://diaocthongthai.com/xa-tr-hy-tay-giang/","Xã Tr'Hy")</f>
        <v>Xã Tr'Hy</v>
      </c>
    </row>
    <row r="6439" spans="1:7" x14ac:dyDescent="0.25">
      <c r="A6439" s="2">
        <v>6438</v>
      </c>
      <c r="B6439" s="3" t="s">
        <v>35</v>
      </c>
      <c r="C6439" s="4" t="str">
        <f t="shared" si="515"/>
        <v>Quảng Nam</v>
      </c>
      <c r="D6439" s="3" t="s">
        <v>427</v>
      </c>
      <c r="E6439" s="4" t="str">
        <f t="shared" si="518"/>
        <v>Huyện Tây Giang</v>
      </c>
      <c r="F6439" s="3" t="s">
        <v>7200</v>
      </c>
      <c r="G6439" s="4" t="str">
        <f>HYPERLINK("https://diaocthongthai.com/xa-lang-tay-giang/","Xã Lăng")</f>
        <v>Xã Lăng</v>
      </c>
    </row>
    <row r="6440" spans="1:7" x14ac:dyDescent="0.25">
      <c r="A6440" s="2">
        <v>6439</v>
      </c>
      <c r="B6440" s="3" t="s">
        <v>35</v>
      </c>
      <c r="C6440" s="4" t="str">
        <f t="shared" si="515"/>
        <v>Quảng Nam</v>
      </c>
      <c r="D6440" s="3" t="s">
        <v>427</v>
      </c>
      <c r="E6440" s="4" t="str">
        <f t="shared" si="518"/>
        <v>Huyện Tây Giang</v>
      </c>
      <c r="F6440" s="3" t="s">
        <v>7201</v>
      </c>
      <c r="G6440" s="4" t="str">
        <f>HYPERLINK("https://diaocthongthai.com/xa-a-nong-tay-giang/","Xã A Nông")</f>
        <v>Xã A Nông</v>
      </c>
    </row>
    <row r="6441" spans="1:7" x14ac:dyDescent="0.25">
      <c r="A6441" s="2">
        <v>6440</v>
      </c>
      <c r="B6441" s="3" t="s">
        <v>35</v>
      </c>
      <c r="C6441" s="4" t="str">
        <f t="shared" si="515"/>
        <v>Quảng Nam</v>
      </c>
      <c r="D6441" s="3" t="s">
        <v>427</v>
      </c>
      <c r="E6441" s="4" t="str">
        <f t="shared" si="518"/>
        <v>Huyện Tây Giang</v>
      </c>
      <c r="F6441" s="3" t="s">
        <v>7202</v>
      </c>
      <c r="G6441" s="4" t="str">
        <f>HYPERLINK("https://diaocthongthai.com/xa-a-tieng-tay-giang/","Xã A Tiêng")</f>
        <v>Xã A Tiêng</v>
      </c>
    </row>
    <row r="6442" spans="1:7" x14ac:dyDescent="0.25">
      <c r="A6442" s="2">
        <v>6441</v>
      </c>
      <c r="B6442" s="3" t="s">
        <v>35</v>
      </c>
      <c r="C6442" s="4" t="str">
        <f t="shared" si="515"/>
        <v>Quảng Nam</v>
      </c>
      <c r="D6442" s="3" t="s">
        <v>427</v>
      </c>
      <c r="E6442" s="4" t="str">
        <f t="shared" si="518"/>
        <v>Huyện Tây Giang</v>
      </c>
      <c r="F6442" s="3" t="s">
        <v>7203</v>
      </c>
      <c r="G6442" s="4" t="str">
        <f>HYPERLINK("https://diaocthongthai.com/xa-bha-lee-tay-giang/","Xã Bha Lê")</f>
        <v>Xã Bha Lê</v>
      </c>
    </row>
    <row r="6443" spans="1:7" x14ac:dyDescent="0.25">
      <c r="A6443" s="2">
        <v>6442</v>
      </c>
      <c r="B6443" s="3" t="s">
        <v>35</v>
      </c>
      <c r="C6443" s="4" t="str">
        <f t="shared" si="515"/>
        <v>Quảng Nam</v>
      </c>
      <c r="D6443" s="3" t="s">
        <v>427</v>
      </c>
      <c r="E6443" s="4" t="str">
        <f t="shared" si="518"/>
        <v>Huyện Tây Giang</v>
      </c>
      <c r="F6443" s="3" t="s">
        <v>7204</v>
      </c>
      <c r="G6443" s="4" t="str">
        <f>HYPERLINK("https://diaocthongthai.com/xa-a-vuong-tay-giang/","Xã A Vương")</f>
        <v>Xã A Vương</v>
      </c>
    </row>
    <row r="6444" spans="1:7" x14ac:dyDescent="0.25">
      <c r="A6444" s="2">
        <v>6443</v>
      </c>
      <c r="B6444" s="3" t="s">
        <v>35</v>
      </c>
      <c r="C6444" s="4" t="str">
        <f t="shared" si="515"/>
        <v>Quảng Nam</v>
      </c>
      <c r="D6444" s="3" t="s">
        <v>427</v>
      </c>
      <c r="E6444" s="4" t="str">
        <f t="shared" si="518"/>
        <v>Huyện Tây Giang</v>
      </c>
      <c r="F6444" s="3" t="s">
        <v>7205</v>
      </c>
      <c r="G6444" s="4" t="str">
        <f>HYPERLINK("https://diaocthongthai.com/xa-dang-tay-giang/","Xã Dang")</f>
        <v>Xã Dang</v>
      </c>
    </row>
    <row r="6445" spans="1:7" x14ac:dyDescent="0.25">
      <c r="A6445" s="2">
        <v>6444</v>
      </c>
      <c r="B6445" s="3" t="s">
        <v>35</v>
      </c>
      <c r="C6445" s="4" t="str">
        <f t="shared" si="515"/>
        <v>Quảng Nam</v>
      </c>
      <c r="D6445" s="3" t="s">
        <v>428</v>
      </c>
      <c r="E6445" s="4" t="str">
        <f t="shared" ref="E6445:E6455" si="519">HYPERLINK("https://diaocthongthai.com/ban-do-huyen-dong-giang-quang-nam/","Huyện Đông Giang")</f>
        <v>Huyện Đông Giang</v>
      </c>
      <c r="F6445" s="3" t="s">
        <v>7206</v>
      </c>
      <c r="G6445" s="4" t="str">
        <f>HYPERLINK("https://diaocthongthai.com/thi-tran-prao-dong-giang/","Thị trấn P Rao")</f>
        <v>Thị trấn P Rao</v>
      </c>
    </row>
    <row r="6446" spans="1:7" x14ac:dyDescent="0.25">
      <c r="A6446" s="2">
        <v>6445</v>
      </c>
      <c r="B6446" s="3" t="s">
        <v>35</v>
      </c>
      <c r="C6446" s="4" t="str">
        <f t="shared" si="515"/>
        <v>Quảng Nam</v>
      </c>
      <c r="D6446" s="3" t="s">
        <v>428</v>
      </c>
      <c r="E6446" s="4" t="str">
        <f t="shared" si="519"/>
        <v>Huyện Đông Giang</v>
      </c>
      <c r="F6446" s="3" t="s">
        <v>7207</v>
      </c>
      <c r="G6446" s="4" t="str">
        <f>HYPERLINK("https://diaocthongthai.com/xa-ta-lu-dong-giang/","Xã Tà Lu")</f>
        <v>Xã Tà Lu</v>
      </c>
    </row>
    <row r="6447" spans="1:7" x14ac:dyDescent="0.25">
      <c r="A6447" s="2">
        <v>6446</v>
      </c>
      <c r="B6447" s="3" t="s">
        <v>35</v>
      </c>
      <c r="C6447" s="4" t="str">
        <f t="shared" si="515"/>
        <v>Quảng Nam</v>
      </c>
      <c r="D6447" s="3" t="s">
        <v>428</v>
      </c>
      <c r="E6447" s="4" t="str">
        <f t="shared" si="519"/>
        <v>Huyện Đông Giang</v>
      </c>
      <c r="F6447" s="3" t="s">
        <v>7208</v>
      </c>
      <c r="G6447" s="4" t="str">
        <f>HYPERLINK("https://diaocthongthai.com/xa-song-kon-dong-giang/","Xã Sông Kôn")</f>
        <v>Xã Sông Kôn</v>
      </c>
    </row>
    <row r="6448" spans="1:7" x14ac:dyDescent="0.25">
      <c r="A6448" s="2">
        <v>6447</v>
      </c>
      <c r="B6448" s="3" t="s">
        <v>35</v>
      </c>
      <c r="C6448" s="4" t="str">
        <f t="shared" si="515"/>
        <v>Quảng Nam</v>
      </c>
      <c r="D6448" s="3" t="s">
        <v>428</v>
      </c>
      <c r="E6448" s="4" t="str">
        <f t="shared" si="519"/>
        <v>Huyện Đông Giang</v>
      </c>
      <c r="F6448" s="3" t="s">
        <v>7209</v>
      </c>
      <c r="G6448" s="4" t="str">
        <f>HYPERLINK("https://diaocthongthai.com/xa-jo-ngay-dong-giang/","Xã Jơ Ngây")</f>
        <v>Xã Jơ Ngây</v>
      </c>
    </row>
    <row r="6449" spans="1:7" x14ac:dyDescent="0.25">
      <c r="A6449" s="2">
        <v>6448</v>
      </c>
      <c r="B6449" s="3" t="s">
        <v>35</v>
      </c>
      <c r="C6449" s="4" t="str">
        <f t="shared" si="515"/>
        <v>Quảng Nam</v>
      </c>
      <c r="D6449" s="3" t="s">
        <v>428</v>
      </c>
      <c r="E6449" s="4" t="str">
        <f t="shared" si="519"/>
        <v>Huyện Đông Giang</v>
      </c>
      <c r="F6449" s="3" t="s">
        <v>7210</v>
      </c>
      <c r="G6449" s="4" t="str">
        <f>HYPERLINK("https://diaocthongthai.com/xa-a-ting-dong-giang/","Xã A Ting")</f>
        <v>Xã A Ting</v>
      </c>
    </row>
    <row r="6450" spans="1:7" x14ac:dyDescent="0.25">
      <c r="A6450" s="2">
        <v>6449</v>
      </c>
      <c r="B6450" s="3" t="s">
        <v>35</v>
      </c>
      <c r="C6450" s="4" t="str">
        <f t="shared" si="515"/>
        <v>Quảng Nam</v>
      </c>
      <c r="D6450" s="3" t="s">
        <v>428</v>
      </c>
      <c r="E6450" s="4" t="str">
        <f t="shared" si="519"/>
        <v>Huyện Đông Giang</v>
      </c>
      <c r="F6450" s="3" t="s">
        <v>7211</v>
      </c>
      <c r="G6450" s="4" t="str">
        <f>HYPERLINK("https://diaocthongthai.com/xa-tu-dong-giang/","Xã  Tư")</f>
        <v>Xã  Tư</v>
      </c>
    </row>
    <row r="6451" spans="1:7" x14ac:dyDescent="0.25">
      <c r="A6451" s="2">
        <v>6450</v>
      </c>
      <c r="B6451" s="3" t="s">
        <v>35</v>
      </c>
      <c r="C6451" s="4" t="str">
        <f t="shared" si="515"/>
        <v>Quảng Nam</v>
      </c>
      <c r="D6451" s="3" t="s">
        <v>428</v>
      </c>
      <c r="E6451" s="4" t="str">
        <f t="shared" si="519"/>
        <v>Huyện Đông Giang</v>
      </c>
      <c r="F6451" s="3" t="s">
        <v>7212</v>
      </c>
      <c r="G6451" s="4" t="str">
        <f>HYPERLINK("https://diaocthongthai.com/xa-ba-dong-giang/","Xã Ba")</f>
        <v>Xã Ba</v>
      </c>
    </row>
    <row r="6452" spans="1:7" x14ac:dyDescent="0.25">
      <c r="A6452" s="2">
        <v>6451</v>
      </c>
      <c r="B6452" s="3" t="s">
        <v>35</v>
      </c>
      <c r="C6452" s="4" t="str">
        <f t="shared" si="515"/>
        <v>Quảng Nam</v>
      </c>
      <c r="D6452" s="3" t="s">
        <v>428</v>
      </c>
      <c r="E6452" s="4" t="str">
        <f t="shared" si="519"/>
        <v>Huyện Đông Giang</v>
      </c>
      <c r="F6452" s="3" t="s">
        <v>7213</v>
      </c>
      <c r="G6452" s="4" t="str">
        <f>HYPERLINK("https://diaocthongthai.com/xa-a-rooi-dong-giang/","Xã A Rooi")</f>
        <v>Xã A Rooi</v>
      </c>
    </row>
    <row r="6453" spans="1:7" x14ac:dyDescent="0.25">
      <c r="A6453" s="2">
        <v>6452</v>
      </c>
      <c r="B6453" s="3" t="s">
        <v>35</v>
      </c>
      <c r="C6453" s="4" t="str">
        <f t="shared" si="515"/>
        <v>Quảng Nam</v>
      </c>
      <c r="D6453" s="3" t="s">
        <v>428</v>
      </c>
      <c r="E6453" s="4" t="str">
        <f t="shared" si="519"/>
        <v>Huyện Đông Giang</v>
      </c>
      <c r="F6453" s="3" t="s">
        <v>7214</v>
      </c>
      <c r="G6453" s="4" t="str">
        <f>HYPERLINK("https://diaocthongthai.com/xa-za-hung-dong-giang/","Xã Za Hung")</f>
        <v>Xã Za Hung</v>
      </c>
    </row>
    <row r="6454" spans="1:7" x14ac:dyDescent="0.25">
      <c r="A6454" s="2">
        <v>6453</v>
      </c>
      <c r="B6454" s="3" t="s">
        <v>35</v>
      </c>
      <c r="C6454" s="4" t="str">
        <f t="shared" si="515"/>
        <v>Quảng Nam</v>
      </c>
      <c r="D6454" s="3" t="s">
        <v>428</v>
      </c>
      <c r="E6454" s="4" t="str">
        <f t="shared" si="519"/>
        <v>Huyện Đông Giang</v>
      </c>
      <c r="F6454" s="3" t="s">
        <v>7215</v>
      </c>
      <c r="G6454" s="4" t="str">
        <f>HYPERLINK("https://diaocthongthai.com/xa-ma-cooih-dong-giang/","Xã Mà Cooi")</f>
        <v>Xã Mà Cooi</v>
      </c>
    </row>
    <row r="6455" spans="1:7" x14ac:dyDescent="0.25">
      <c r="A6455" s="2">
        <v>6454</v>
      </c>
      <c r="B6455" s="3" t="s">
        <v>35</v>
      </c>
      <c r="C6455" s="4" t="str">
        <f t="shared" si="515"/>
        <v>Quảng Nam</v>
      </c>
      <c r="D6455" s="3" t="s">
        <v>428</v>
      </c>
      <c r="E6455" s="4" t="str">
        <f t="shared" si="519"/>
        <v>Huyện Đông Giang</v>
      </c>
      <c r="F6455" s="3" t="s">
        <v>7216</v>
      </c>
      <c r="G6455" s="4" t="str">
        <f>HYPERLINK("https://diaocthongthai.com/xa-ka-dang-dong-giang/","Xã Ka Dăng")</f>
        <v>Xã Ka Dăng</v>
      </c>
    </row>
    <row r="6456" spans="1:7" x14ac:dyDescent="0.25">
      <c r="A6456" s="2">
        <v>6455</v>
      </c>
      <c r="B6456" s="3" t="s">
        <v>35</v>
      </c>
      <c r="C6456" s="4" t="str">
        <f t="shared" si="515"/>
        <v>Quảng Nam</v>
      </c>
      <c r="D6456" s="3" t="s">
        <v>429</v>
      </c>
      <c r="E6456" s="4" t="str">
        <f t="shared" ref="E6456:E6473" si="520">HYPERLINK("https://diaocthongthai.com/ban-do-huyen-dai-loc-quang-nam/","Huyện Đại Lộc")</f>
        <v>Huyện Đại Lộc</v>
      </c>
      <c r="F6456" s="3" t="s">
        <v>7217</v>
      </c>
      <c r="G6456" s="4" t="str">
        <f>HYPERLINK("https://diaocthongthai.com/thi-tran-ai-nghia-dai-loc/","Thị Trấn Ái Nghĩa")</f>
        <v>Thị Trấn Ái Nghĩa</v>
      </c>
    </row>
    <row r="6457" spans="1:7" x14ac:dyDescent="0.25">
      <c r="A6457" s="2">
        <v>6456</v>
      </c>
      <c r="B6457" s="3" t="s">
        <v>35</v>
      </c>
      <c r="C6457" s="4" t="str">
        <f t="shared" si="515"/>
        <v>Quảng Nam</v>
      </c>
      <c r="D6457" s="3" t="s">
        <v>429</v>
      </c>
      <c r="E6457" s="4" t="str">
        <f t="shared" si="520"/>
        <v>Huyện Đại Lộc</v>
      </c>
      <c r="F6457" s="3" t="s">
        <v>7218</v>
      </c>
      <c r="G6457" s="4" t="str">
        <f>HYPERLINK("https://diaocthongthai.com/xa-dai-son-dai-loc/","Xã Đại Sơn")</f>
        <v>Xã Đại Sơn</v>
      </c>
    </row>
    <row r="6458" spans="1:7" x14ac:dyDescent="0.25">
      <c r="A6458" s="2">
        <v>6457</v>
      </c>
      <c r="B6458" s="3" t="s">
        <v>35</v>
      </c>
      <c r="C6458" s="4" t="str">
        <f t="shared" si="515"/>
        <v>Quảng Nam</v>
      </c>
      <c r="D6458" s="3" t="s">
        <v>429</v>
      </c>
      <c r="E6458" s="4" t="str">
        <f t="shared" si="520"/>
        <v>Huyện Đại Lộc</v>
      </c>
      <c r="F6458" s="3" t="s">
        <v>7219</v>
      </c>
      <c r="G6458" s="4" t="str">
        <f>HYPERLINK("https://diaocthongthai.com/xa-dai-lanh-dai-loc/","Xã Đại Lãnh")</f>
        <v>Xã Đại Lãnh</v>
      </c>
    </row>
    <row r="6459" spans="1:7" x14ac:dyDescent="0.25">
      <c r="A6459" s="2">
        <v>6458</v>
      </c>
      <c r="B6459" s="3" t="s">
        <v>35</v>
      </c>
      <c r="C6459" s="4" t="str">
        <f t="shared" si="515"/>
        <v>Quảng Nam</v>
      </c>
      <c r="D6459" s="3" t="s">
        <v>429</v>
      </c>
      <c r="E6459" s="4" t="str">
        <f t="shared" si="520"/>
        <v>Huyện Đại Lộc</v>
      </c>
      <c r="F6459" s="3" t="s">
        <v>7220</v>
      </c>
      <c r="G6459" s="4" t="str">
        <f>HYPERLINK("https://diaocthongthai.com/xa-dai-hung-dai-loc/","Xã Đại Hưng")</f>
        <v>Xã Đại Hưng</v>
      </c>
    </row>
    <row r="6460" spans="1:7" x14ac:dyDescent="0.25">
      <c r="A6460" s="2">
        <v>6459</v>
      </c>
      <c r="B6460" s="3" t="s">
        <v>35</v>
      </c>
      <c r="C6460" s="4" t="str">
        <f t="shared" si="515"/>
        <v>Quảng Nam</v>
      </c>
      <c r="D6460" s="3" t="s">
        <v>429</v>
      </c>
      <c r="E6460" s="4" t="str">
        <f t="shared" si="520"/>
        <v>Huyện Đại Lộc</v>
      </c>
      <c r="F6460" s="3" t="s">
        <v>7221</v>
      </c>
      <c r="G6460" s="4" t="str">
        <f>HYPERLINK("https://diaocthongthai.com/xa-dai-hong-dai-loc/","Xã Đại Hồng")</f>
        <v>Xã Đại Hồng</v>
      </c>
    </row>
    <row r="6461" spans="1:7" x14ac:dyDescent="0.25">
      <c r="A6461" s="2">
        <v>6460</v>
      </c>
      <c r="B6461" s="3" t="s">
        <v>35</v>
      </c>
      <c r="C6461" s="4" t="str">
        <f t="shared" si="515"/>
        <v>Quảng Nam</v>
      </c>
      <c r="D6461" s="3" t="s">
        <v>429</v>
      </c>
      <c r="E6461" s="4" t="str">
        <f t="shared" si="520"/>
        <v>Huyện Đại Lộc</v>
      </c>
      <c r="F6461" s="3" t="s">
        <v>7222</v>
      </c>
      <c r="G6461" s="4" t="str">
        <f>HYPERLINK("https://diaocthongthai.com/xa-dai-dong-dai-loc/","Xã Đại Đồng")</f>
        <v>Xã Đại Đồng</v>
      </c>
    </row>
    <row r="6462" spans="1:7" x14ac:dyDescent="0.25">
      <c r="A6462" s="2">
        <v>6461</v>
      </c>
      <c r="B6462" s="3" t="s">
        <v>35</v>
      </c>
      <c r="C6462" s="4" t="str">
        <f t="shared" si="515"/>
        <v>Quảng Nam</v>
      </c>
      <c r="D6462" s="3" t="s">
        <v>429</v>
      </c>
      <c r="E6462" s="4" t="str">
        <f t="shared" si="520"/>
        <v>Huyện Đại Lộc</v>
      </c>
      <c r="F6462" s="3" t="s">
        <v>7223</v>
      </c>
      <c r="G6462" s="4" t="str">
        <f>HYPERLINK("https://diaocthongthai.com/xa-dai-quang-dai-loc/","Xã Đại Quang")</f>
        <v>Xã Đại Quang</v>
      </c>
    </row>
    <row r="6463" spans="1:7" x14ac:dyDescent="0.25">
      <c r="A6463" s="2">
        <v>6462</v>
      </c>
      <c r="B6463" s="3" t="s">
        <v>35</v>
      </c>
      <c r="C6463" s="4" t="str">
        <f t="shared" si="515"/>
        <v>Quảng Nam</v>
      </c>
      <c r="D6463" s="3" t="s">
        <v>429</v>
      </c>
      <c r="E6463" s="4" t="str">
        <f t="shared" si="520"/>
        <v>Huyện Đại Lộc</v>
      </c>
      <c r="F6463" s="3" t="s">
        <v>7224</v>
      </c>
      <c r="G6463" s="4" t="str">
        <f>HYPERLINK("https://diaocthongthai.com/xa-dai-nghia-dai-loc/","Xã Đại Nghĩa")</f>
        <v>Xã Đại Nghĩa</v>
      </c>
    </row>
    <row r="6464" spans="1:7" x14ac:dyDescent="0.25">
      <c r="A6464" s="2">
        <v>6463</v>
      </c>
      <c r="B6464" s="3" t="s">
        <v>35</v>
      </c>
      <c r="C6464" s="4" t="str">
        <f t="shared" si="515"/>
        <v>Quảng Nam</v>
      </c>
      <c r="D6464" s="3" t="s">
        <v>429</v>
      </c>
      <c r="E6464" s="4" t="str">
        <f t="shared" si="520"/>
        <v>Huyện Đại Lộc</v>
      </c>
      <c r="F6464" s="3" t="s">
        <v>7225</v>
      </c>
      <c r="G6464" s="4" t="str">
        <f>HYPERLINK("https://diaocthongthai.com/xa-dai-hiep-dai-loc/","Xã Đại Hiệp")</f>
        <v>Xã Đại Hiệp</v>
      </c>
    </row>
    <row r="6465" spans="1:7" x14ac:dyDescent="0.25">
      <c r="A6465" s="2">
        <v>6464</v>
      </c>
      <c r="B6465" s="3" t="s">
        <v>35</v>
      </c>
      <c r="C6465" s="4" t="str">
        <f t="shared" si="515"/>
        <v>Quảng Nam</v>
      </c>
      <c r="D6465" s="3" t="s">
        <v>429</v>
      </c>
      <c r="E6465" s="4" t="str">
        <f t="shared" si="520"/>
        <v>Huyện Đại Lộc</v>
      </c>
      <c r="F6465" s="3" t="s">
        <v>7226</v>
      </c>
      <c r="G6465" s="4" t="str">
        <f>HYPERLINK("https://diaocthongthai.com/xa-dai-thanh-dai-loc/","Xã Đại Thạnh")</f>
        <v>Xã Đại Thạnh</v>
      </c>
    </row>
    <row r="6466" spans="1:7" x14ac:dyDescent="0.25">
      <c r="A6466" s="2">
        <v>6465</v>
      </c>
      <c r="B6466" s="3" t="s">
        <v>35</v>
      </c>
      <c r="C6466" s="4" t="str">
        <f t="shared" si="515"/>
        <v>Quảng Nam</v>
      </c>
      <c r="D6466" s="3" t="s">
        <v>429</v>
      </c>
      <c r="E6466" s="4" t="str">
        <f t="shared" si="520"/>
        <v>Huyện Đại Lộc</v>
      </c>
      <c r="F6466" s="3" t="s">
        <v>7227</v>
      </c>
      <c r="G6466" s="4" t="str">
        <f>HYPERLINK("https://diaocthongthai.com/xa-dai-chanh-dai-loc/","Xã Đại Chánh")</f>
        <v>Xã Đại Chánh</v>
      </c>
    </row>
    <row r="6467" spans="1:7" x14ac:dyDescent="0.25">
      <c r="A6467" s="2">
        <v>6466</v>
      </c>
      <c r="B6467" s="3" t="s">
        <v>35</v>
      </c>
      <c r="C6467" s="4" t="str">
        <f t="shared" si="515"/>
        <v>Quảng Nam</v>
      </c>
      <c r="D6467" s="3" t="s">
        <v>429</v>
      </c>
      <c r="E6467" s="4" t="str">
        <f t="shared" si="520"/>
        <v>Huyện Đại Lộc</v>
      </c>
      <c r="F6467" s="3" t="s">
        <v>7228</v>
      </c>
      <c r="G6467" s="4" t="str">
        <f>HYPERLINK("https://diaocthongthai.com/xa-dai-tan-dai-loc/","Xã Đại Tân")</f>
        <v>Xã Đại Tân</v>
      </c>
    </row>
    <row r="6468" spans="1:7" x14ac:dyDescent="0.25">
      <c r="A6468" s="2">
        <v>6467</v>
      </c>
      <c r="B6468" s="3" t="s">
        <v>35</v>
      </c>
      <c r="C6468" s="4" t="str">
        <f t="shared" si="515"/>
        <v>Quảng Nam</v>
      </c>
      <c r="D6468" s="3" t="s">
        <v>429</v>
      </c>
      <c r="E6468" s="4" t="str">
        <f t="shared" si="520"/>
        <v>Huyện Đại Lộc</v>
      </c>
      <c r="F6468" s="3" t="s">
        <v>7229</v>
      </c>
      <c r="G6468" s="4" t="str">
        <f>HYPERLINK("https://diaocthongthai.com/xa-dai-phong-dai-loc/","Xã Đại Phong")</f>
        <v>Xã Đại Phong</v>
      </c>
    </row>
    <row r="6469" spans="1:7" x14ac:dyDescent="0.25">
      <c r="A6469" s="2">
        <v>6468</v>
      </c>
      <c r="B6469" s="3" t="s">
        <v>35</v>
      </c>
      <c r="C6469" s="4" t="str">
        <f t="shared" si="515"/>
        <v>Quảng Nam</v>
      </c>
      <c r="D6469" s="3" t="s">
        <v>429</v>
      </c>
      <c r="E6469" s="4" t="str">
        <f t="shared" si="520"/>
        <v>Huyện Đại Lộc</v>
      </c>
      <c r="F6469" s="3" t="s">
        <v>7230</v>
      </c>
      <c r="G6469" s="4" t="str">
        <f>HYPERLINK("https://diaocthongthai.com/xa-dai-minh-dai-loc/","Xã Đại Minh")</f>
        <v>Xã Đại Minh</v>
      </c>
    </row>
    <row r="6470" spans="1:7" x14ac:dyDescent="0.25">
      <c r="A6470" s="2">
        <v>6469</v>
      </c>
      <c r="B6470" s="3" t="s">
        <v>35</v>
      </c>
      <c r="C6470" s="4" t="str">
        <f t="shared" si="515"/>
        <v>Quảng Nam</v>
      </c>
      <c r="D6470" s="3" t="s">
        <v>429</v>
      </c>
      <c r="E6470" s="4" t="str">
        <f t="shared" si="520"/>
        <v>Huyện Đại Lộc</v>
      </c>
      <c r="F6470" s="3" t="s">
        <v>7231</v>
      </c>
      <c r="G6470" s="4" t="str">
        <f>HYPERLINK("https://diaocthongthai.com/xa-dai-thang-dai-loc/","Xã Đại Thắng")</f>
        <v>Xã Đại Thắng</v>
      </c>
    </row>
    <row r="6471" spans="1:7" x14ac:dyDescent="0.25">
      <c r="A6471" s="2">
        <v>6470</v>
      </c>
      <c r="B6471" s="3" t="s">
        <v>35</v>
      </c>
      <c r="C6471" s="4" t="str">
        <f t="shared" si="515"/>
        <v>Quảng Nam</v>
      </c>
      <c r="D6471" s="3" t="s">
        <v>429</v>
      </c>
      <c r="E6471" s="4" t="str">
        <f t="shared" si="520"/>
        <v>Huyện Đại Lộc</v>
      </c>
      <c r="F6471" s="3" t="s">
        <v>7232</v>
      </c>
      <c r="G6471" s="4" t="str">
        <f>HYPERLINK("https://diaocthongthai.com/xa-dai-cuong-dai-loc/","Xã Đại Cường")</f>
        <v>Xã Đại Cường</v>
      </c>
    </row>
    <row r="6472" spans="1:7" x14ac:dyDescent="0.25">
      <c r="A6472" s="2">
        <v>6471</v>
      </c>
      <c r="B6472" s="3" t="s">
        <v>35</v>
      </c>
      <c r="C6472" s="4" t="str">
        <f t="shared" si="515"/>
        <v>Quảng Nam</v>
      </c>
      <c r="D6472" s="3" t="s">
        <v>429</v>
      </c>
      <c r="E6472" s="4" t="str">
        <f t="shared" si="520"/>
        <v>Huyện Đại Lộc</v>
      </c>
      <c r="F6472" s="3" t="s">
        <v>7233</v>
      </c>
      <c r="G6472" s="4" t="str">
        <f>HYPERLINK("https://diaocthongthai.com/xa-dai-an-dai-loc/","Xã Đại An")</f>
        <v>Xã Đại An</v>
      </c>
    </row>
    <row r="6473" spans="1:7" x14ac:dyDescent="0.25">
      <c r="A6473" s="2">
        <v>6472</v>
      </c>
      <c r="B6473" s="3" t="s">
        <v>35</v>
      </c>
      <c r="C6473" s="4" t="str">
        <f t="shared" ref="C6473:C6536" si="521">HYPERLINK("https://diaocthongthai.com/ban-do-quang-nam/","Quảng Nam")</f>
        <v>Quảng Nam</v>
      </c>
      <c r="D6473" s="3" t="s">
        <v>429</v>
      </c>
      <c r="E6473" s="4" t="str">
        <f t="shared" si="520"/>
        <v>Huyện Đại Lộc</v>
      </c>
      <c r="F6473" s="3" t="s">
        <v>7234</v>
      </c>
      <c r="G6473" s="4" t="str">
        <f>HYPERLINK("https://diaocthongthai.com/xa-dai-hoa-dai-loc/","Xã Đại Hòa")</f>
        <v>Xã Đại Hòa</v>
      </c>
    </row>
    <row r="6474" spans="1:7" x14ac:dyDescent="0.25">
      <c r="A6474" s="2">
        <v>6473</v>
      </c>
      <c r="B6474" s="3" t="s">
        <v>35</v>
      </c>
      <c r="C6474" s="4" t="str">
        <f t="shared" si="521"/>
        <v>Quảng Nam</v>
      </c>
      <c r="D6474" s="3" t="s">
        <v>430</v>
      </c>
      <c r="E6474" s="4" t="str">
        <f t="shared" ref="E6474:E6493" si="522">HYPERLINK("https://diaocthongthai.com/ban-do-thi-xa-dien-ban-quang-nam/","Thị xã Điện Bàn")</f>
        <v>Thị xã Điện Bàn</v>
      </c>
      <c r="F6474" s="3" t="s">
        <v>7235</v>
      </c>
      <c r="G6474" s="4" t="str">
        <f>HYPERLINK("https://diaocthongthai.com/phuong-vinh-dien-dien-ban/","Phường Vĩnh Điện")</f>
        <v>Phường Vĩnh Điện</v>
      </c>
    </row>
    <row r="6475" spans="1:7" x14ac:dyDescent="0.25">
      <c r="A6475" s="2">
        <v>6474</v>
      </c>
      <c r="B6475" s="3" t="s">
        <v>35</v>
      </c>
      <c r="C6475" s="4" t="str">
        <f t="shared" si="521"/>
        <v>Quảng Nam</v>
      </c>
      <c r="D6475" s="3" t="s">
        <v>430</v>
      </c>
      <c r="E6475" s="4" t="str">
        <f t="shared" si="522"/>
        <v>Thị xã Điện Bàn</v>
      </c>
      <c r="F6475" s="3" t="s">
        <v>7236</v>
      </c>
      <c r="G6475" s="4" t="str">
        <f>HYPERLINK("https://diaocthongthai.com/xa-dien-tien-dien-ban/","Xã Điện Tiến")</f>
        <v>Xã Điện Tiến</v>
      </c>
    </row>
    <row r="6476" spans="1:7" x14ac:dyDescent="0.25">
      <c r="A6476" s="2">
        <v>6475</v>
      </c>
      <c r="B6476" s="3" t="s">
        <v>35</v>
      </c>
      <c r="C6476" s="4" t="str">
        <f t="shared" si="521"/>
        <v>Quảng Nam</v>
      </c>
      <c r="D6476" s="3" t="s">
        <v>430</v>
      </c>
      <c r="E6476" s="4" t="str">
        <f t="shared" si="522"/>
        <v>Thị xã Điện Bàn</v>
      </c>
      <c r="F6476" s="3" t="s">
        <v>7237</v>
      </c>
      <c r="G6476" s="4" t="str">
        <f>HYPERLINK("https://diaocthongthai.com/xa-dien-hoa-dien-ban/","Xã Điện Hòa")</f>
        <v>Xã Điện Hòa</v>
      </c>
    </row>
    <row r="6477" spans="1:7" x14ac:dyDescent="0.25">
      <c r="A6477" s="2">
        <v>6476</v>
      </c>
      <c r="B6477" s="3" t="s">
        <v>35</v>
      </c>
      <c r="C6477" s="4" t="str">
        <f t="shared" si="521"/>
        <v>Quảng Nam</v>
      </c>
      <c r="D6477" s="3" t="s">
        <v>430</v>
      </c>
      <c r="E6477" s="4" t="str">
        <f t="shared" si="522"/>
        <v>Thị xã Điện Bàn</v>
      </c>
      <c r="F6477" s="3" t="s">
        <v>7238</v>
      </c>
      <c r="G6477" s="4" t="str">
        <f>HYPERLINK("https://diaocthongthai.com/xa-dien-thang-bac-dien-ban/","Xã Điện Thắng Bắc")</f>
        <v>Xã Điện Thắng Bắc</v>
      </c>
    </row>
    <row r="6478" spans="1:7" x14ac:dyDescent="0.25">
      <c r="A6478" s="2">
        <v>6477</v>
      </c>
      <c r="B6478" s="3" t="s">
        <v>35</v>
      </c>
      <c r="C6478" s="4" t="str">
        <f t="shared" si="521"/>
        <v>Quảng Nam</v>
      </c>
      <c r="D6478" s="3" t="s">
        <v>430</v>
      </c>
      <c r="E6478" s="4" t="str">
        <f t="shared" si="522"/>
        <v>Thị xã Điện Bàn</v>
      </c>
      <c r="F6478" s="3" t="s">
        <v>7239</v>
      </c>
      <c r="G6478" s="4" t="str">
        <f>HYPERLINK("https://diaocthongthai.com/xa-dien-thang-trung-dien-ban/","Xã Điện Thắng Trung")</f>
        <v>Xã Điện Thắng Trung</v>
      </c>
    </row>
    <row r="6479" spans="1:7" x14ac:dyDescent="0.25">
      <c r="A6479" s="2">
        <v>6478</v>
      </c>
      <c r="B6479" s="3" t="s">
        <v>35</v>
      </c>
      <c r="C6479" s="4" t="str">
        <f t="shared" si="521"/>
        <v>Quảng Nam</v>
      </c>
      <c r="D6479" s="3" t="s">
        <v>430</v>
      </c>
      <c r="E6479" s="4" t="str">
        <f t="shared" si="522"/>
        <v>Thị xã Điện Bàn</v>
      </c>
      <c r="F6479" s="3" t="s">
        <v>7240</v>
      </c>
      <c r="G6479" s="4" t="str">
        <f>HYPERLINK("https://diaocthongthai.com/xa-dien-thang-nam-dien-ban/","Xã Điện Thắng Nam")</f>
        <v>Xã Điện Thắng Nam</v>
      </c>
    </row>
    <row r="6480" spans="1:7" x14ac:dyDescent="0.25">
      <c r="A6480" s="2">
        <v>6479</v>
      </c>
      <c r="B6480" s="3" t="s">
        <v>35</v>
      </c>
      <c r="C6480" s="4" t="str">
        <f t="shared" si="521"/>
        <v>Quảng Nam</v>
      </c>
      <c r="D6480" s="3" t="s">
        <v>430</v>
      </c>
      <c r="E6480" s="4" t="str">
        <f t="shared" si="522"/>
        <v>Thị xã Điện Bàn</v>
      </c>
      <c r="F6480" s="3" t="s">
        <v>7241</v>
      </c>
      <c r="G6480" s="4" t="str">
        <f>HYPERLINK("https://diaocthongthai.com/phuong-dien-ngoc-dien-ban/","Phường Điện Ngọc")</f>
        <v>Phường Điện Ngọc</v>
      </c>
    </row>
    <row r="6481" spans="1:7" x14ac:dyDescent="0.25">
      <c r="A6481" s="2">
        <v>6480</v>
      </c>
      <c r="B6481" s="3" t="s">
        <v>35</v>
      </c>
      <c r="C6481" s="4" t="str">
        <f t="shared" si="521"/>
        <v>Quảng Nam</v>
      </c>
      <c r="D6481" s="3" t="s">
        <v>430</v>
      </c>
      <c r="E6481" s="4" t="str">
        <f t="shared" si="522"/>
        <v>Thị xã Điện Bàn</v>
      </c>
      <c r="F6481" s="3" t="s">
        <v>7242</v>
      </c>
      <c r="G6481" s="4" t="str">
        <f>HYPERLINK("https://diaocthongthai.com/xa-dien-hong-dien-ban/","Xã Điện Hồng")</f>
        <v>Xã Điện Hồng</v>
      </c>
    </row>
    <row r="6482" spans="1:7" x14ac:dyDescent="0.25">
      <c r="A6482" s="2">
        <v>6481</v>
      </c>
      <c r="B6482" s="3" t="s">
        <v>35</v>
      </c>
      <c r="C6482" s="4" t="str">
        <f t="shared" si="521"/>
        <v>Quảng Nam</v>
      </c>
      <c r="D6482" s="3" t="s">
        <v>430</v>
      </c>
      <c r="E6482" s="4" t="str">
        <f t="shared" si="522"/>
        <v>Thị xã Điện Bàn</v>
      </c>
      <c r="F6482" s="3" t="s">
        <v>7243</v>
      </c>
      <c r="G6482" s="4" t="str">
        <f>HYPERLINK("https://diaocthongthai.com/xa-dien-tho-dien-ban/","Xã Điện Thọ")</f>
        <v>Xã Điện Thọ</v>
      </c>
    </row>
    <row r="6483" spans="1:7" x14ac:dyDescent="0.25">
      <c r="A6483" s="2">
        <v>6482</v>
      </c>
      <c r="B6483" s="3" t="s">
        <v>35</v>
      </c>
      <c r="C6483" s="4" t="str">
        <f t="shared" si="521"/>
        <v>Quảng Nam</v>
      </c>
      <c r="D6483" s="3" t="s">
        <v>430</v>
      </c>
      <c r="E6483" s="4" t="str">
        <f t="shared" si="522"/>
        <v>Thị xã Điện Bàn</v>
      </c>
      <c r="F6483" s="3" t="s">
        <v>7244</v>
      </c>
      <c r="G6483" s="4" t="str">
        <f>HYPERLINK("https://diaocthongthai.com/xa-dien-phuoc-dien-ban/","Xã Điện Phước")</f>
        <v>Xã Điện Phước</v>
      </c>
    </row>
    <row r="6484" spans="1:7" x14ac:dyDescent="0.25">
      <c r="A6484" s="2">
        <v>6483</v>
      </c>
      <c r="B6484" s="3" t="s">
        <v>35</v>
      </c>
      <c r="C6484" s="4" t="str">
        <f t="shared" si="521"/>
        <v>Quảng Nam</v>
      </c>
      <c r="D6484" s="3" t="s">
        <v>430</v>
      </c>
      <c r="E6484" s="4" t="str">
        <f t="shared" si="522"/>
        <v>Thị xã Điện Bàn</v>
      </c>
      <c r="F6484" s="3" t="s">
        <v>7245</v>
      </c>
      <c r="G6484" s="4" t="str">
        <f>HYPERLINK("https://diaocthongthai.com/phuong-dien-an-dien-ban/","Phường Điện An")</f>
        <v>Phường Điện An</v>
      </c>
    </row>
    <row r="6485" spans="1:7" x14ac:dyDescent="0.25">
      <c r="A6485" s="2">
        <v>6484</v>
      </c>
      <c r="B6485" s="3" t="s">
        <v>35</v>
      </c>
      <c r="C6485" s="4" t="str">
        <f t="shared" si="521"/>
        <v>Quảng Nam</v>
      </c>
      <c r="D6485" s="3" t="s">
        <v>430</v>
      </c>
      <c r="E6485" s="4" t="str">
        <f t="shared" si="522"/>
        <v>Thị xã Điện Bàn</v>
      </c>
      <c r="F6485" s="3" t="s">
        <v>7246</v>
      </c>
      <c r="G6485" s="4" t="str">
        <f>HYPERLINK("https://diaocthongthai.com/phuong-dien-nam-bac-dien-ban/","Phường Điện Nam Bắc")</f>
        <v>Phường Điện Nam Bắc</v>
      </c>
    </row>
    <row r="6486" spans="1:7" x14ac:dyDescent="0.25">
      <c r="A6486" s="2">
        <v>6485</v>
      </c>
      <c r="B6486" s="3" t="s">
        <v>35</v>
      </c>
      <c r="C6486" s="4" t="str">
        <f t="shared" si="521"/>
        <v>Quảng Nam</v>
      </c>
      <c r="D6486" s="3" t="s">
        <v>430</v>
      </c>
      <c r="E6486" s="4" t="str">
        <f t="shared" si="522"/>
        <v>Thị xã Điện Bàn</v>
      </c>
      <c r="F6486" s="3" t="s">
        <v>7247</v>
      </c>
      <c r="G6486" s="4" t="str">
        <f>HYPERLINK("https://diaocthongthai.com/phuong-dien-nam-trung-dien-ban/","Phường Điện Nam Trung")</f>
        <v>Phường Điện Nam Trung</v>
      </c>
    </row>
    <row r="6487" spans="1:7" x14ac:dyDescent="0.25">
      <c r="A6487" s="2">
        <v>6486</v>
      </c>
      <c r="B6487" s="3" t="s">
        <v>35</v>
      </c>
      <c r="C6487" s="4" t="str">
        <f t="shared" si="521"/>
        <v>Quảng Nam</v>
      </c>
      <c r="D6487" s="3" t="s">
        <v>430</v>
      </c>
      <c r="E6487" s="4" t="str">
        <f t="shared" si="522"/>
        <v>Thị xã Điện Bàn</v>
      </c>
      <c r="F6487" s="3" t="s">
        <v>7248</v>
      </c>
      <c r="G6487" s="4" t="str">
        <f>HYPERLINK("https://diaocthongthai.com/phuong-dien-nam-dong-dien-ban/","Phường Điện Nam Đông")</f>
        <v>Phường Điện Nam Đông</v>
      </c>
    </row>
    <row r="6488" spans="1:7" x14ac:dyDescent="0.25">
      <c r="A6488" s="2">
        <v>6487</v>
      </c>
      <c r="B6488" s="3" t="s">
        <v>35</v>
      </c>
      <c r="C6488" s="4" t="str">
        <f t="shared" si="521"/>
        <v>Quảng Nam</v>
      </c>
      <c r="D6488" s="3" t="s">
        <v>430</v>
      </c>
      <c r="E6488" s="4" t="str">
        <f t="shared" si="522"/>
        <v>Thị xã Điện Bàn</v>
      </c>
      <c r="F6488" s="3" t="s">
        <v>7249</v>
      </c>
      <c r="G6488" s="4" t="str">
        <f>HYPERLINK("https://diaocthongthai.com/phuong-dien-duong-dien-ban/","Phường Điện Dương")</f>
        <v>Phường Điện Dương</v>
      </c>
    </row>
    <row r="6489" spans="1:7" x14ac:dyDescent="0.25">
      <c r="A6489" s="2">
        <v>6488</v>
      </c>
      <c r="B6489" s="3" t="s">
        <v>35</v>
      </c>
      <c r="C6489" s="4" t="str">
        <f t="shared" si="521"/>
        <v>Quảng Nam</v>
      </c>
      <c r="D6489" s="3" t="s">
        <v>430</v>
      </c>
      <c r="E6489" s="4" t="str">
        <f t="shared" si="522"/>
        <v>Thị xã Điện Bàn</v>
      </c>
      <c r="F6489" s="3" t="s">
        <v>7250</v>
      </c>
      <c r="G6489" s="4" t="str">
        <f>HYPERLINK("https://diaocthongthai.com/xa-dien-quang-dien-ban/","Xã Điện Quang")</f>
        <v>Xã Điện Quang</v>
      </c>
    </row>
    <row r="6490" spans="1:7" x14ac:dyDescent="0.25">
      <c r="A6490" s="2">
        <v>6489</v>
      </c>
      <c r="B6490" s="3" t="s">
        <v>35</v>
      </c>
      <c r="C6490" s="4" t="str">
        <f t="shared" si="521"/>
        <v>Quảng Nam</v>
      </c>
      <c r="D6490" s="3" t="s">
        <v>430</v>
      </c>
      <c r="E6490" s="4" t="str">
        <f t="shared" si="522"/>
        <v>Thị xã Điện Bàn</v>
      </c>
      <c r="F6490" s="3" t="s">
        <v>7251</v>
      </c>
      <c r="G6490" s="4" t="str">
        <f>HYPERLINK("https://diaocthongthai.com/xa-dien-trung-dien-ban/","Xã Điện Trung")</f>
        <v>Xã Điện Trung</v>
      </c>
    </row>
    <row r="6491" spans="1:7" x14ac:dyDescent="0.25">
      <c r="A6491" s="2">
        <v>6490</v>
      </c>
      <c r="B6491" s="3" t="s">
        <v>35</v>
      </c>
      <c r="C6491" s="4" t="str">
        <f t="shared" si="521"/>
        <v>Quảng Nam</v>
      </c>
      <c r="D6491" s="3" t="s">
        <v>430</v>
      </c>
      <c r="E6491" s="4" t="str">
        <f t="shared" si="522"/>
        <v>Thị xã Điện Bàn</v>
      </c>
      <c r="F6491" s="3" t="s">
        <v>7252</v>
      </c>
      <c r="G6491" s="4" t="str">
        <f>HYPERLINK("https://diaocthongthai.com/xa-dien-phong-dien-ban/","Xã Điện Phong")</f>
        <v>Xã Điện Phong</v>
      </c>
    </row>
    <row r="6492" spans="1:7" x14ac:dyDescent="0.25">
      <c r="A6492" s="2">
        <v>6491</v>
      </c>
      <c r="B6492" s="3" t="s">
        <v>35</v>
      </c>
      <c r="C6492" s="4" t="str">
        <f t="shared" si="521"/>
        <v>Quảng Nam</v>
      </c>
      <c r="D6492" s="3" t="s">
        <v>430</v>
      </c>
      <c r="E6492" s="4" t="str">
        <f t="shared" si="522"/>
        <v>Thị xã Điện Bàn</v>
      </c>
      <c r="F6492" s="3" t="s">
        <v>7253</v>
      </c>
      <c r="G6492" s="4" t="str">
        <f>HYPERLINK("https://diaocthongthai.com/xa-dien-minh-dien-ban/","Xã Điện Minh")</f>
        <v>Xã Điện Minh</v>
      </c>
    </row>
    <row r="6493" spans="1:7" x14ac:dyDescent="0.25">
      <c r="A6493" s="2">
        <v>6492</v>
      </c>
      <c r="B6493" s="3" t="s">
        <v>35</v>
      </c>
      <c r="C6493" s="4" t="str">
        <f t="shared" si="521"/>
        <v>Quảng Nam</v>
      </c>
      <c r="D6493" s="3" t="s">
        <v>430</v>
      </c>
      <c r="E6493" s="4" t="str">
        <f t="shared" si="522"/>
        <v>Thị xã Điện Bàn</v>
      </c>
      <c r="F6493" s="3" t="s">
        <v>7254</v>
      </c>
      <c r="G6493" s="4" t="str">
        <f>HYPERLINK("https://diaocthongthai.com/xa-dien-phuong-dien-ban/","Xã Điện Phương")</f>
        <v>Xã Điện Phương</v>
      </c>
    </row>
    <row r="6494" spans="1:7" x14ac:dyDescent="0.25">
      <c r="A6494" s="2">
        <v>6493</v>
      </c>
      <c r="B6494" s="3" t="s">
        <v>35</v>
      </c>
      <c r="C6494" s="4" t="str">
        <f t="shared" si="521"/>
        <v>Quảng Nam</v>
      </c>
      <c r="D6494" s="3" t="s">
        <v>431</v>
      </c>
      <c r="E6494" s="4" t="str">
        <f t="shared" ref="E6494:E6507" si="523">HYPERLINK("https://diaocthongthai.com/ban-do-huyen-duy-xuyen-quang-nam/","Huyện Duy Xuyên")</f>
        <v>Huyện Duy Xuyên</v>
      </c>
      <c r="F6494" s="3" t="s">
        <v>7255</v>
      </c>
      <c r="G6494" s="4" t="str">
        <f>HYPERLINK("https://diaocthongthai.com/thi-tran-nam-phuoc-duy-xuyen/","Thị trấn Nam Phước")</f>
        <v>Thị trấn Nam Phước</v>
      </c>
    </row>
    <row r="6495" spans="1:7" x14ac:dyDescent="0.25">
      <c r="A6495" s="2">
        <v>6494</v>
      </c>
      <c r="B6495" s="3" t="s">
        <v>35</v>
      </c>
      <c r="C6495" s="4" t="str">
        <f t="shared" si="521"/>
        <v>Quảng Nam</v>
      </c>
      <c r="D6495" s="3" t="s">
        <v>431</v>
      </c>
      <c r="E6495" s="4" t="str">
        <f t="shared" si="523"/>
        <v>Huyện Duy Xuyên</v>
      </c>
      <c r="F6495" s="3" t="s">
        <v>7256</v>
      </c>
      <c r="G6495" s="4" t="str">
        <f>HYPERLINK("https://diaocthongthai.com/xa-duy-thu-duy-xuyen/","Xã Duy Thu")</f>
        <v>Xã Duy Thu</v>
      </c>
    </row>
    <row r="6496" spans="1:7" x14ac:dyDescent="0.25">
      <c r="A6496" s="2">
        <v>6495</v>
      </c>
      <c r="B6496" s="3" t="s">
        <v>35</v>
      </c>
      <c r="C6496" s="4" t="str">
        <f t="shared" si="521"/>
        <v>Quảng Nam</v>
      </c>
      <c r="D6496" s="3" t="s">
        <v>431</v>
      </c>
      <c r="E6496" s="4" t="str">
        <f t="shared" si="523"/>
        <v>Huyện Duy Xuyên</v>
      </c>
      <c r="F6496" s="3" t="s">
        <v>7257</v>
      </c>
      <c r="G6496" s="4" t="str">
        <f>HYPERLINK("https://diaocthongthai.com/xa-duy-phu-duy-xuyen/","Xã Duy Phú")</f>
        <v>Xã Duy Phú</v>
      </c>
    </row>
    <row r="6497" spans="1:7" x14ac:dyDescent="0.25">
      <c r="A6497" s="2">
        <v>6496</v>
      </c>
      <c r="B6497" s="3" t="s">
        <v>35</v>
      </c>
      <c r="C6497" s="4" t="str">
        <f t="shared" si="521"/>
        <v>Quảng Nam</v>
      </c>
      <c r="D6497" s="3" t="s">
        <v>431</v>
      </c>
      <c r="E6497" s="4" t="str">
        <f t="shared" si="523"/>
        <v>Huyện Duy Xuyên</v>
      </c>
      <c r="F6497" s="3" t="s">
        <v>7258</v>
      </c>
      <c r="G6497" s="4" t="str">
        <f>HYPERLINK("https://diaocthongthai.com/xa-duy-tan-duy-xuyen/","Xã Duy Tân")</f>
        <v>Xã Duy Tân</v>
      </c>
    </row>
    <row r="6498" spans="1:7" x14ac:dyDescent="0.25">
      <c r="A6498" s="2">
        <v>6497</v>
      </c>
      <c r="B6498" s="3" t="s">
        <v>35</v>
      </c>
      <c r="C6498" s="4" t="str">
        <f t="shared" si="521"/>
        <v>Quảng Nam</v>
      </c>
      <c r="D6498" s="3" t="s">
        <v>431</v>
      </c>
      <c r="E6498" s="4" t="str">
        <f t="shared" si="523"/>
        <v>Huyện Duy Xuyên</v>
      </c>
      <c r="F6498" s="3" t="s">
        <v>7259</v>
      </c>
      <c r="G6498" s="4" t="str">
        <f>HYPERLINK("https://diaocthongthai.com/xa-duy-hoa-duy-xuyen/","Xã Duy Hòa")</f>
        <v>Xã Duy Hòa</v>
      </c>
    </row>
    <row r="6499" spans="1:7" x14ac:dyDescent="0.25">
      <c r="A6499" s="2">
        <v>6498</v>
      </c>
      <c r="B6499" s="3" t="s">
        <v>35</v>
      </c>
      <c r="C6499" s="4" t="str">
        <f t="shared" si="521"/>
        <v>Quảng Nam</v>
      </c>
      <c r="D6499" s="3" t="s">
        <v>431</v>
      </c>
      <c r="E6499" s="4" t="str">
        <f t="shared" si="523"/>
        <v>Huyện Duy Xuyên</v>
      </c>
      <c r="F6499" s="3" t="s">
        <v>7260</v>
      </c>
      <c r="G6499" s="4" t="str">
        <f>HYPERLINK("https://diaocthongthai.com/xa-duy-chau-duy-xuyen/","Xã Duy Châu")</f>
        <v>Xã Duy Châu</v>
      </c>
    </row>
    <row r="6500" spans="1:7" x14ac:dyDescent="0.25">
      <c r="A6500" s="2">
        <v>6499</v>
      </c>
      <c r="B6500" s="3" t="s">
        <v>35</v>
      </c>
      <c r="C6500" s="4" t="str">
        <f t="shared" si="521"/>
        <v>Quảng Nam</v>
      </c>
      <c r="D6500" s="3" t="s">
        <v>431</v>
      </c>
      <c r="E6500" s="4" t="str">
        <f t="shared" si="523"/>
        <v>Huyện Duy Xuyên</v>
      </c>
      <c r="F6500" s="3" t="s">
        <v>7261</v>
      </c>
      <c r="G6500" s="4" t="str">
        <f>HYPERLINK("https://diaocthongthai.com/xa-duy-trinh-duy-xuyen/","Xã Duy Trinh")</f>
        <v>Xã Duy Trinh</v>
      </c>
    </row>
    <row r="6501" spans="1:7" x14ac:dyDescent="0.25">
      <c r="A6501" s="2">
        <v>6500</v>
      </c>
      <c r="B6501" s="3" t="s">
        <v>35</v>
      </c>
      <c r="C6501" s="4" t="str">
        <f t="shared" si="521"/>
        <v>Quảng Nam</v>
      </c>
      <c r="D6501" s="3" t="s">
        <v>431</v>
      </c>
      <c r="E6501" s="4" t="str">
        <f t="shared" si="523"/>
        <v>Huyện Duy Xuyên</v>
      </c>
      <c r="F6501" s="3" t="s">
        <v>7262</v>
      </c>
      <c r="G6501" s="4" t="str">
        <f>HYPERLINK("https://diaocthongthai.com/xa-duy-son-duy-xuyen/","Xã Duy Sơn")</f>
        <v>Xã Duy Sơn</v>
      </c>
    </row>
    <row r="6502" spans="1:7" x14ac:dyDescent="0.25">
      <c r="A6502" s="2">
        <v>6501</v>
      </c>
      <c r="B6502" s="3" t="s">
        <v>35</v>
      </c>
      <c r="C6502" s="4" t="str">
        <f t="shared" si="521"/>
        <v>Quảng Nam</v>
      </c>
      <c r="D6502" s="3" t="s">
        <v>431</v>
      </c>
      <c r="E6502" s="4" t="str">
        <f t="shared" si="523"/>
        <v>Huyện Duy Xuyên</v>
      </c>
      <c r="F6502" s="3" t="s">
        <v>7263</v>
      </c>
      <c r="G6502" s="4" t="str">
        <f>HYPERLINK("https://diaocthongthai.com/xa-duy-trung-duy-xuyen/","Xã Duy Trung")</f>
        <v>Xã Duy Trung</v>
      </c>
    </row>
    <row r="6503" spans="1:7" x14ac:dyDescent="0.25">
      <c r="A6503" s="2">
        <v>6502</v>
      </c>
      <c r="B6503" s="3" t="s">
        <v>35</v>
      </c>
      <c r="C6503" s="4" t="str">
        <f t="shared" si="521"/>
        <v>Quảng Nam</v>
      </c>
      <c r="D6503" s="3" t="s">
        <v>431</v>
      </c>
      <c r="E6503" s="4" t="str">
        <f t="shared" si="523"/>
        <v>Huyện Duy Xuyên</v>
      </c>
      <c r="F6503" s="3" t="s">
        <v>7264</v>
      </c>
      <c r="G6503" s="4" t="str">
        <f>HYPERLINK("https://diaocthongthai.com/xa-duy-phuoc-duy-xuyen/","Xã Duy Phước")</f>
        <v>Xã Duy Phước</v>
      </c>
    </row>
    <row r="6504" spans="1:7" x14ac:dyDescent="0.25">
      <c r="A6504" s="2">
        <v>6503</v>
      </c>
      <c r="B6504" s="3" t="s">
        <v>35</v>
      </c>
      <c r="C6504" s="4" t="str">
        <f t="shared" si="521"/>
        <v>Quảng Nam</v>
      </c>
      <c r="D6504" s="3" t="s">
        <v>431</v>
      </c>
      <c r="E6504" s="4" t="str">
        <f t="shared" si="523"/>
        <v>Huyện Duy Xuyên</v>
      </c>
      <c r="F6504" s="3" t="s">
        <v>7265</v>
      </c>
      <c r="G6504" s="4" t="str">
        <f>HYPERLINK("https://diaocthongthai.com/xa-duy-thanh-duy-xuyen/","Xã Duy Thành")</f>
        <v>Xã Duy Thành</v>
      </c>
    </row>
    <row r="6505" spans="1:7" x14ac:dyDescent="0.25">
      <c r="A6505" s="2">
        <v>6504</v>
      </c>
      <c r="B6505" s="3" t="s">
        <v>35</v>
      </c>
      <c r="C6505" s="4" t="str">
        <f t="shared" si="521"/>
        <v>Quảng Nam</v>
      </c>
      <c r="D6505" s="3" t="s">
        <v>431</v>
      </c>
      <c r="E6505" s="4" t="str">
        <f t="shared" si="523"/>
        <v>Huyện Duy Xuyên</v>
      </c>
      <c r="F6505" s="3" t="s">
        <v>7266</v>
      </c>
      <c r="G6505" s="4" t="str">
        <f>HYPERLINK("https://diaocthongthai.com/xa-duy-vinh-duy-xuyen/","Xã Duy Vinh")</f>
        <v>Xã Duy Vinh</v>
      </c>
    </row>
    <row r="6506" spans="1:7" x14ac:dyDescent="0.25">
      <c r="A6506" s="2">
        <v>6505</v>
      </c>
      <c r="B6506" s="3" t="s">
        <v>35</v>
      </c>
      <c r="C6506" s="4" t="str">
        <f t="shared" si="521"/>
        <v>Quảng Nam</v>
      </c>
      <c r="D6506" s="3" t="s">
        <v>431</v>
      </c>
      <c r="E6506" s="4" t="str">
        <f t="shared" si="523"/>
        <v>Huyện Duy Xuyên</v>
      </c>
      <c r="F6506" s="3" t="s">
        <v>7267</v>
      </c>
      <c r="G6506" s="4" t="str">
        <f>HYPERLINK("https://diaocthongthai.com/xa-duy-nghia-duy-xuyen/","Xã Duy Nghĩa")</f>
        <v>Xã Duy Nghĩa</v>
      </c>
    </row>
    <row r="6507" spans="1:7" x14ac:dyDescent="0.25">
      <c r="A6507" s="2">
        <v>6506</v>
      </c>
      <c r="B6507" s="3" t="s">
        <v>35</v>
      </c>
      <c r="C6507" s="4" t="str">
        <f t="shared" si="521"/>
        <v>Quảng Nam</v>
      </c>
      <c r="D6507" s="3" t="s">
        <v>431</v>
      </c>
      <c r="E6507" s="4" t="str">
        <f t="shared" si="523"/>
        <v>Huyện Duy Xuyên</v>
      </c>
      <c r="F6507" s="3" t="s">
        <v>7268</v>
      </c>
      <c r="G6507" s="4" t="str">
        <f>HYPERLINK("https://diaocthongthai.com/xa-duy-hai-duy-xuyen/","Xã Duy Hải")</f>
        <v>Xã Duy Hải</v>
      </c>
    </row>
    <row r="6508" spans="1:7" x14ac:dyDescent="0.25">
      <c r="A6508" s="2">
        <v>6507</v>
      </c>
      <c r="B6508" s="3" t="s">
        <v>35</v>
      </c>
      <c r="C6508" s="4" t="str">
        <f t="shared" si="521"/>
        <v>Quảng Nam</v>
      </c>
      <c r="D6508" s="3" t="s">
        <v>432</v>
      </c>
      <c r="E6508" s="4" t="str">
        <f t="shared" ref="E6508:E6520" si="524">HYPERLINK("https://diaocthongthai.com/ban-do-huyen-que-son-quang-nam/","Huyện Quế Sơn")</f>
        <v>Huyện Quế Sơn</v>
      </c>
      <c r="F6508" s="3" t="s">
        <v>7269</v>
      </c>
      <c r="G6508" s="4" t="str">
        <f>HYPERLINK("https://diaocthongthai.com/thi-tran-dong-phu-que-son/","Thị trấn Đông Phú")</f>
        <v>Thị trấn Đông Phú</v>
      </c>
    </row>
    <row r="6509" spans="1:7" x14ac:dyDescent="0.25">
      <c r="A6509" s="2">
        <v>6508</v>
      </c>
      <c r="B6509" s="3" t="s">
        <v>35</v>
      </c>
      <c r="C6509" s="4" t="str">
        <f t="shared" si="521"/>
        <v>Quảng Nam</v>
      </c>
      <c r="D6509" s="3" t="s">
        <v>432</v>
      </c>
      <c r="E6509" s="4" t="str">
        <f t="shared" si="524"/>
        <v>Huyện Quế Sơn</v>
      </c>
      <c r="F6509" s="3" t="s">
        <v>7270</v>
      </c>
      <c r="G6509" s="4" t="str">
        <f>HYPERLINK("https://diaocthongthai.com/xa-que-xuan-1-que-son/","Xã Quế Xuân 1")</f>
        <v>Xã Quế Xuân 1</v>
      </c>
    </row>
    <row r="6510" spans="1:7" x14ac:dyDescent="0.25">
      <c r="A6510" s="2">
        <v>6509</v>
      </c>
      <c r="B6510" s="3" t="s">
        <v>35</v>
      </c>
      <c r="C6510" s="4" t="str">
        <f t="shared" si="521"/>
        <v>Quảng Nam</v>
      </c>
      <c r="D6510" s="3" t="s">
        <v>432</v>
      </c>
      <c r="E6510" s="4" t="str">
        <f t="shared" si="524"/>
        <v>Huyện Quế Sơn</v>
      </c>
      <c r="F6510" s="3" t="s">
        <v>7271</v>
      </c>
      <c r="G6510" s="4" t="str">
        <f>HYPERLINK("https://diaocthongthai.com/xa-que-xuan-2-que-son/","Xã Quế Xuân 2")</f>
        <v>Xã Quế Xuân 2</v>
      </c>
    </row>
    <row r="6511" spans="1:7" x14ac:dyDescent="0.25">
      <c r="A6511" s="2">
        <v>6510</v>
      </c>
      <c r="B6511" s="3" t="s">
        <v>35</v>
      </c>
      <c r="C6511" s="4" t="str">
        <f t="shared" si="521"/>
        <v>Quảng Nam</v>
      </c>
      <c r="D6511" s="3" t="s">
        <v>432</v>
      </c>
      <c r="E6511" s="4" t="str">
        <f t="shared" si="524"/>
        <v>Huyện Quế Sơn</v>
      </c>
      <c r="F6511" s="3" t="s">
        <v>7272</v>
      </c>
      <c r="G6511" s="4" t="str">
        <f>HYPERLINK("https://diaocthongthai.com/xa-que-phu-que-son/","Xã Quế Phú")</f>
        <v>Xã Quế Phú</v>
      </c>
    </row>
    <row r="6512" spans="1:7" x14ac:dyDescent="0.25">
      <c r="A6512" s="2">
        <v>6511</v>
      </c>
      <c r="B6512" s="3" t="s">
        <v>35</v>
      </c>
      <c r="C6512" s="4" t="str">
        <f t="shared" si="521"/>
        <v>Quảng Nam</v>
      </c>
      <c r="D6512" s="3" t="s">
        <v>432</v>
      </c>
      <c r="E6512" s="4" t="str">
        <f t="shared" si="524"/>
        <v>Huyện Quế Sơn</v>
      </c>
      <c r="F6512" s="3" t="s">
        <v>7273</v>
      </c>
      <c r="G6512" s="4" t="str">
        <f>HYPERLINK("https://diaocthongthai.com/thi-tran-huong-an-que-son/","Thị trấn Hương An")</f>
        <v>Thị trấn Hương An</v>
      </c>
    </row>
    <row r="6513" spans="1:7" x14ac:dyDescent="0.25">
      <c r="A6513" s="2">
        <v>6512</v>
      </c>
      <c r="B6513" s="3" t="s">
        <v>35</v>
      </c>
      <c r="C6513" s="4" t="str">
        <f t="shared" si="521"/>
        <v>Quảng Nam</v>
      </c>
      <c r="D6513" s="3" t="s">
        <v>432</v>
      </c>
      <c r="E6513" s="4" t="str">
        <f t="shared" si="524"/>
        <v>Huyện Quế Sơn</v>
      </c>
      <c r="F6513" s="3" t="s">
        <v>7274</v>
      </c>
      <c r="G6513" s="4" t="str">
        <f>HYPERLINK("https://diaocthongthai.com/xa-que-hiep-que-son/","Xã Quế Hiệp")</f>
        <v>Xã Quế Hiệp</v>
      </c>
    </row>
    <row r="6514" spans="1:7" x14ac:dyDescent="0.25">
      <c r="A6514" s="2">
        <v>6513</v>
      </c>
      <c r="B6514" s="3" t="s">
        <v>35</v>
      </c>
      <c r="C6514" s="4" t="str">
        <f t="shared" si="521"/>
        <v>Quảng Nam</v>
      </c>
      <c r="D6514" s="3" t="s">
        <v>432</v>
      </c>
      <c r="E6514" s="4" t="str">
        <f t="shared" si="524"/>
        <v>Huyện Quế Sơn</v>
      </c>
      <c r="F6514" s="3" t="s">
        <v>7275</v>
      </c>
      <c r="G6514" s="4" t="str">
        <f>HYPERLINK("https://diaocthongthai.com/xa-que-thuan-que-son/","Xã Quế Thuận")</f>
        <v>Xã Quế Thuận</v>
      </c>
    </row>
    <row r="6515" spans="1:7" x14ac:dyDescent="0.25">
      <c r="A6515" s="2">
        <v>6514</v>
      </c>
      <c r="B6515" s="3" t="s">
        <v>35</v>
      </c>
      <c r="C6515" s="4" t="str">
        <f t="shared" si="521"/>
        <v>Quảng Nam</v>
      </c>
      <c r="D6515" s="3" t="s">
        <v>432</v>
      </c>
      <c r="E6515" s="4" t="str">
        <f t="shared" si="524"/>
        <v>Huyện Quế Sơn</v>
      </c>
      <c r="F6515" s="3" t="s">
        <v>7276</v>
      </c>
      <c r="G6515" s="4" t="str">
        <f>HYPERLINK("https://diaocthongthai.com/xa-que-my-que-son/","Xã Quế Mỹ")</f>
        <v>Xã Quế Mỹ</v>
      </c>
    </row>
    <row r="6516" spans="1:7" x14ac:dyDescent="0.25">
      <c r="A6516" s="2">
        <v>6515</v>
      </c>
      <c r="B6516" s="3" t="s">
        <v>35</v>
      </c>
      <c r="C6516" s="4" t="str">
        <f t="shared" si="521"/>
        <v>Quảng Nam</v>
      </c>
      <c r="D6516" s="3" t="s">
        <v>432</v>
      </c>
      <c r="E6516" s="4" t="str">
        <f t="shared" si="524"/>
        <v>Huyện Quế Sơn</v>
      </c>
      <c r="F6516" s="3" t="s">
        <v>7277</v>
      </c>
      <c r="G6516" s="4" t="str">
        <f>HYPERLINK("https://diaocthongthai.com/xa-que-long-que-son/","Xã Quế Long")</f>
        <v>Xã Quế Long</v>
      </c>
    </row>
    <row r="6517" spans="1:7" x14ac:dyDescent="0.25">
      <c r="A6517" s="2">
        <v>6516</v>
      </c>
      <c r="B6517" s="3" t="s">
        <v>35</v>
      </c>
      <c r="C6517" s="4" t="str">
        <f t="shared" si="521"/>
        <v>Quảng Nam</v>
      </c>
      <c r="D6517" s="3" t="s">
        <v>432</v>
      </c>
      <c r="E6517" s="4" t="str">
        <f t="shared" si="524"/>
        <v>Huyện Quế Sơn</v>
      </c>
      <c r="F6517" s="3" t="s">
        <v>7278</v>
      </c>
      <c r="G6517" s="4" t="str">
        <f>HYPERLINK("https://diaocthongthai.com/xa-que-chau-que-son/","Xã Quế Châu")</f>
        <v>Xã Quế Châu</v>
      </c>
    </row>
    <row r="6518" spans="1:7" x14ac:dyDescent="0.25">
      <c r="A6518" s="2">
        <v>6517</v>
      </c>
      <c r="B6518" s="3" t="s">
        <v>35</v>
      </c>
      <c r="C6518" s="4" t="str">
        <f t="shared" si="521"/>
        <v>Quảng Nam</v>
      </c>
      <c r="D6518" s="3" t="s">
        <v>432</v>
      </c>
      <c r="E6518" s="4" t="str">
        <f t="shared" si="524"/>
        <v>Huyện Quế Sơn</v>
      </c>
      <c r="F6518" s="3" t="s">
        <v>7279</v>
      </c>
      <c r="G6518" s="4" t="str">
        <f>HYPERLINK("https://diaocthongthai.com/xa-que-phong-que-son/","Xã Quế Phong")</f>
        <v>Xã Quế Phong</v>
      </c>
    </row>
    <row r="6519" spans="1:7" x14ac:dyDescent="0.25">
      <c r="A6519" s="2">
        <v>6518</v>
      </c>
      <c r="B6519" s="3" t="s">
        <v>35</v>
      </c>
      <c r="C6519" s="4" t="str">
        <f t="shared" si="521"/>
        <v>Quảng Nam</v>
      </c>
      <c r="D6519" s="3" t="s">
        <v>432</v>
      </c>
      <c r="E6519" s="4" t="str">
        <f t="shared" si="524"/>
        <v>Huyện Quế Sơn</v>
      </c>
      <c r="F6519" s="3" t="s">
        <v>7280</v>
      </c>
      <c r="G6519" s="4" t="str">
        <f>HYPERLINK("https://diaocthongthai.com/xa-que-an-que-son/","Xã Quế An")</f>
        <v>Xã Quế An</v>
      </c>
    </row>
    <row r="6520" spans="1:7" x14ac:dyDescent="0.25">
      <c r="A6520" s="2">
        <v>6519</v>
      </c>
      <c r="B6520" s="3" t="s">
        <v>35</v>
      </c>
      <c r="C6520" s="4" t="str">
        <f t="shared" si="521"/>
        <v>Quảng Nam</v>
      </c>
      <c r="D6520" s="3" t="s">
        <v>432</v>
      </c>
      <c r="E6520" s="4" t="str">
        <f t="shared" si="524"/>
        <v>Huyện Quế Sơn</v>
      </c>
      <c r="F6520" s="3" t="s">
        <v>7281</v>
      </c>
      <c r="G6520" s="4" t="str">
        <f>HYPERLINK("https://diaocthongthai.com/xa-que-minh-que-son/","Xã Quế Minh")</f>
        <v>Xã Quế Minh</v>
      </c>
    </row>
    <row r="6521" spans="1:7" x14ac:dyDescent="0.25">
      <c r="A6521" s="2">
        <v>6520</v>
      </c>
      <c r="B6521" s="3" t="s">
        <v>35</v>
      </c>
      <c r="C6521" s="4" t="str">
        <f t="shared" si="521"/>
        <v>Quảng Nam</v>
      </c>
      <c r="D6521" s="3" t="s">
        <v>433</v>
      </c>
      <c r="E6521" s="4" t="str">
        <f t="shared" ref="E6521:E6532" si="525">HYPERLINK("https://diaocthongthai.com/ban-do-huyen-nam-giang-quang-nam/","Huyện Nam Giang")</f>
        <v>Huyện Nam Giang</v>
      </c>
      <c r="F6521" s="3" t="s">
        <v>7282</v>
      </c>
      <c r="G6521" s="4" t="str">
        <f>HYPERLINK("https://diaocthongthai.com/thi-tran-thanh-my-nam-giang/","Thị trấn Thạnh Mỹ")</f>
        <v>Thị trấn Thạnh Mỹ</v>
      </c>
    </row>
    <row r="6522" spans="1:7" x14ac:dyDescent="0.25">
      <c r="A6522" s="2">
        <v>6521</v>
      </c>
      <c r="B6522" s="3" t="s">
        <v>35</v>
      </c>
      <c r="C6522" s="4" t="str">
        <f t="shared" si="521"/>
        <v>Quảng Nam</v>
      </c>
      <c r="D6522" s="3" t="s">
        <v>433</v>
      </c>
      <c r="E6522" s="4" t="str">
        <f t="shared" si="525"/>
        <v>Huyện Nam Giang</v>
      </c>
      <c r="F6522" s="3" t="s">
        <v>7283</v>
      </c>
      <c r="G6522" s="4" t="str">
        <f>HYPERLINK("https://diaocthongthai.com/xa-la-ee-nam-giang/","Xã Laêê")</f>
        <v>Xã Laêê</v>
      </c>
    </row>
    <row r="6523" spans="1:7" x14ac:dyDescent="0.25">
      <c r="A6523" s="2">
        <v>6522</v>
      </c>
      <c r="B6523" s="3" t="s">
        <v>35</v>
      </c>
      <c r="C6523" s="4" t="str">
        <f t="shared" si="521"/>
        <v>Quảng Nam</v>
      </c>
      <c r="D6523" s="3" t="s">
        <v>433</v>
      </c>
      <c r="E6523" s="4" t="str">
        <f t="shared" si="525"/>
        <v>Huyện Nam Giang</v>
      </c>
      <c r="F6523" s="3" t="s">
        <v>7284</v>
      </c>
      <c r="G6523" s="4" t="str">
        <f>HYPERLINK("https://diaocthongthai.com/xa-cho-chun-nam-giang/","Xã Chơ Chun")</f>
        <v>Xã Chơ Chun</v>
      </c>
    </row>
    <row r="6524" spans="1:7" x14ac:dyDescent="0.25">
      <c r="A6524" s="2">
        <v>6523</v>
      </c>
      <c r="B6524" s="3" t="s">
        <v>35</v>
      </c>
      <c r="C6524" s="4" t="str">
        <f t="shared" si="521"/>
        <v>Quảng Nam</v>
      </c>
      <c r="D6524" s="3" t="s">
        <v>433</v>
      </c>
      <c r="E6524" s="4" t="str">
        <f t="shared" si="525"/>
        <v>Huyện Nam Giang</v>
      </c>
      <c r="F6524" s="3" t="s">
        <v>7285</v>
      </c>
      <c r="G6524" s="4" t="str">
        <f>HYPERLINK("https://diaocthongthai.com/xa-zuoih-nam-giang/","Xã Zuôich")</f>
        <v>Xã Zuôich</v>
      </c>
    </row>
    <row r="6525" spans="1:7" x14ac:dyDescent="0.25">
      <c r="A6525" s="2">
        <v>6524</v>
      </c>
      <c r="B6525" s="3" t="s">
        <v>35</v>
      </c>
      <c r="C6525" s="4" t="str">
        <f t="shared" si="521"/>
        <v>Quảng Nam</v>
      </c>
      <c r="D6525" s="3" t="s">
        <v>433</v>
      </c>
      <c r="E6525" s="4" t="str">
        <f t="shared" si="525"/>
        <v>Huyện Nam Giang</v>
      </c>
      <c r="F6525" s="3" t="s">
        <v>7286</v>
      </c>
      <c r="G6525" s="4" t="str">
        <f>HYPERLINK("https://diaocthongthai.com/xa-ta-poo-nam-giang/","Xã Tà Pơơ")</f>
        <v>Xã Tà Pơơ</v>
      </c>
    </row>
    <row r="6526" spans="1:7" x14ac:dyDescent="0.25">
      <c r="A6526" s="2">
        <v>6525</v>
      </c>
      <c r="B6526" s="3" t="s">
        <v>35</v>
      </c>
      <c r="C6526" s="4" t="str">
        <f t="shared" si="521"/>
        <v>Quảng Nam</v>
      </c>
      <c r="D6526" s="3" t="s">
        <v>433</v>
      </c>
      <c r="E6526" s="4" t="str">
        <f t="shared" si="525"/>
        <v>Huyện Nam Giang</v>
      </c>
      <c r="F6526" s="3" t="s">
        <v>7287</v>
      </c>
      <c r="G6526" s="4" t="str">
        <f>HYPERLINK("https://diaocthongthai.com/xa-la-dee-nam-giang/","Xã La Dêê")</f>
        <v>Xã La Dêê</v>
      </c>
    </row>
    <row r="6527" spans="1:7" x14ac:dyDescent="0.25">
      <c r="A6527" s="2">
        <v>6526</v>
      </c>
      <c r="B6527" s="3" t="s">
        <v>35</v>
      </c>
      <c r="C6527" s="4" t="str">
        <f t="shared" si="521"/>
        <v>Quảng Nam</v>
      </c>
      <c r="D6527" s="3" t="s">
        <v>433</v>
      </c>
      <c r="E6527" s="4" t="str">
        <f t="shared" si="525"/>
        <v>Huyện Nam Giang</v>
      </c>
      <c r="F6527" s="3" t="s">
        <v>7288</v>
      </c>
      <c r="G6527" s="4" t="str">
        <f>HYPERLINK("https://diaocthongthai.com/xa-dac-toi-nam-giang/","Xã Đắc Tôi")</f>
        <v>Xã Đắc Tôi</v>
      </c>
    </row>
    <row r="6528" spans="1:7" x14ac:dyDescent="0.25">
      <c r="A6528" s="2">
        <v>6527</v>
      </c>
      <c r="B6528" s="3" t="s">
        <v>35</v>
      </c>
      <c r="C6528" s="4" t="str">
        <f t="shared" si="521"/>
        <v>Quảng Nam</v>
      </c>
      <c r="D6528" s="3" t="s">
        <v>433</v>
      </c>
      <c r="E6528" s="4" t="str">
        <f t="shared" si="525"/>
        <v>Huyện Nam Giang</v>
      </c>
      <c r="F6528" s="3" t="s">
        <v>7289</v>
      </c>
      <c r="G6528" s="4" t="str">
        <f>HYPERLINK("https://diaocthongthai.com/xa-cha-val-nam-giang/","Xã Chà Vàl")</f>
        <v>Xã Chà Vàl</v>
      </c>
    </row>
    <row r="6529" spans="1:7" x14ac:dyDescent="0.25">
      <c r="A6529" s="2">
        <v>6528</v>
      </c>
      <c r="B6529" s="3" t="s">
        <v>35</v>
      </c>
      <c r="C6529" s="4" t="str">
        <f t="shared" si="521"/>
        <v>Quảng Nam</v>
      </c>
      <c r="D6529" s="3" t="s">
        <v>433</v>
      </c>
      <c r="E6529" s="4" t="str">
        <f t="shared" si="525"/>
        <v>Huyện Nam Giang</v>
      </c>
      <c r="F6529" s="3" t="s">
        <v>7290</v>
      </c>
      <c r="G6529" s="4" t="str">
        <f>HYPERLINK("https://diaocthongthai.com/xa-ta-bhing-nam-giang/","Xã Tà Bhinh")</f>
        <v>Xã Tà Bhinh</v>
      </c>
    </row>
    <row r="6530" spans="1:7" x14ac:dyDescent="0.25">
      <c r="A6530" s="2">
        <v>6529</v>
      </c>
      <c r="B6530" s="3" t="s">
        <v>35</v>
      </c>
      <c r="C6530" s="4" t="str">
        <f t="shared" si="521"/>
        <v>Quảng Nam</v>
      </c>
      <c r="D6530" s="3" t="s">
        <v>433</v>
      </c>
      <c r="E6530" s="4" t="str">
        <f t="shared" si="525"/>
        <v>Huyện Nam Giang</v>
      </c>
      <c r="F6530" s="3" t="s">
        <v>7291</v>
      </c>
      <c r="G6530" s="4" t="str">
        <f>HYPERLINK("https://diaocthongthai.com/xa-ca-dy-nam-giang/","Xã Cà Dy")</f>
        <v>Xã Cà Dy</v>
      </c>
    </row>
    <row r="6531" spans="1:7" x14ac:dyDescent="0.25">
      <c r="A6531" s="2">
        <v>6530</v>
      </c>
      <c r="B6531" s="3" t="s">
        <v>35</v>
      </c>
      <c r="C6531" s="4" t="str">
        <f t="shared" si="521"/>
        <v>Quảng Nam</v>
      </c>
      <c r="D6531" s="3" t="s">
        <v>433</v>
      </c>
      <c r="E6531" s="4" t="str">
        <f t="shared" si="525"/>
        <v>Huyện Nam Giang</v>
      </c>
      <c r="F6531" s="3" t="s">
        <v>7292</v>
      </c>
      <c r="G6531" s="4" t="str">
        <f>HYPERLINK("https://diaocthongthai.com/xa-dac-pre-nam-giang/","Xã Đắc Pre")</f>
        <v>Xã Đắc Pre</v>
      </c>
    </row>
    <row r="6532" spans="1:7" x14ac:dyDescent="0.25">
      <c r="A6532" s="2">
        <v>6531</v>
      </c>
      <c r="B6532" s="3" t="s">
        <v>35</v>
      </c>
      <c r="C6532" s="4" t="str">
        <f t="shared" si="521"/>
        <v>Quảng Nam</v>
      </c>
      <c r="D6532" s="3" t="s">
        <v>433</v>
      </c>
      <c r="E6532" s="4" t="str">
        <f t="shared" si="525"/>
        <v>Huyện Nam Giang</v>
      </c>
      <c r="F6532" s="3" t="s">
        <v>7293</v>
      </c>
      <c r="G6532" s="4" t="str">
        <f>HYPERLINK("https://diaocthongthai.com/xa-dac-pring-nam-giang/","Xã Đắc Pring")</f>
        <v>Xã Đắc Pring</v>
      </c>
    </row>
    <row r="6533" spans="1:7" x14ac:dyDescent="0.25">
      <c r="A6533" s="2">
        <v>6532</v>
      </c>
      <c r="B6533" s="3" t="s">
        <v>35</v>
      </c>
      <c r="C6533" s="4" t="str">
        <f t="shared" si="521"/>
        <v>Quảng Nam</v>
      </c>
      <c r="D6533" s="3" t="s">
        <v>434</v>
      </c>
      <c r="E6533" s="4" t="str">
        <f t="shared" ref="E6533:E6544" si="526">HYPERLINK("https://diaocthongthai.com/ban-do-huyen-phuoc-son-quang-nam/","Huyện Phước Sơn")</f>
        <v>Huyện Phước Sơn</v>
      </c>
      <c r="F6533" s="3" t="s">
        <v>7294</v>
      </c>
      <c r="G6533" s="4" t="str">
        <f>HYPERLINK("https://diaocthongthai.com/thi-tran-kham-duc-phuoc-son/","Thị trấn Khâm Đức")</f>
        <v>Thị trấn Khâm Đức</v>
      </c>
    </row>
    <row r="6534" spans="1:7" x14ac:dyDescent="0.25">
      <c r="A6534" s="2">
        <v>6533</v>
      </c>
      <c r="B6534" s="3" t="s">
        <v>35</v>
      </c>
      <c r="C6534" s="4" t="str">
        <f t="shared" si="521"/>
        <v>Quảng Nam</v>
      </c>
      <c r="D6534" s="3" t="s">
        <v>434</v>
      </c>
      <c r="E6534" s="4" t="str">
        <f t="shared" si="526"/>
        <v>Huyện Phước Sơn</v>
      </c>
      <c r="F6534" s="3" t="s">
        <v>7295</v>
      </c>
      <c r="G6534" s="4" t="str">
        <f>HYPERLINK("https://diaocthongthai.com/xa-phuoc-xuan-phuoc-son/","Xã Phước Xuân")</f>
        <v>Xã Phước Xuân</v>
      </c>
    </row>
    <row r="6535" spans="1:7" x14ac:dyDescent="0.25">
      <c r="A6535" s="2">
        <v>6534</v>
      </c>
      <c r="B6535" s="3" t="s">
        <v>35</v>
      </c>
      <c r="C6535" s="4" t="str">
        <f t="shared" si="521"/>
        <v>Quảng Nam</v>
      </c>
      <c r="D6535" s="3" t="s">
        <v>434</v>
      </c>
      <c r="E6535" s="4" t="str">
        <f t="shared" si="526"/>
        <v>Huyện Phước Sơn</v>
      </c>
      <c r="F6535" s="3" t="s">
        <v>7296</v>
      </c>
      <c r="G6535" s="4" t="str">
        <f>HYPERLINK("https://diaocthongthai.com/xa-phuoc-hiep-phuoc-son/","Xã Phước Hiệp")</f>
        <v>Xã Phước Hiệp</v>
      </c>
    </row>
    <row r="6536" spans="1:7" x14ac:dyDescent="0.25">
      <c r="A6536" s="2">
        <v>6535</v>
      </c>
      <c r="B6536" s="3" t="s">
        <v>35</v>
      </c>
      <c r="C6536" s="4" t="str">
        <f t="shared" si="521"/>
        <v>Quảng Nam</v>
      </c>
      <c r="D6536" s="3" t="s">
        <v>434</v>
      </c>
      <c r="E6536" s="4" t="str">
        <f t="shared" si="526"/>
        <v>Huyện Phước Sơn</v>
      </c>
      <c r="F6536" s="3" t="s">
        <v>7297</v>
      </c>
      <c r="G6536" s="4" t="str">
        <f>HYPERLINK("https://diaocthongthai.com/xa-phuoc-hoa-phuoc-son/","Xã Phước Hoà")</f>
        <v>Xã Phước Hoà</v>
      </c>
    </row>
    <row r="6537" spans="1:7" x14ac:dyDescent="0.25">
      <c r="A6537" s="2">
        <v>6536</v>
      </c>
      <c r="B6537" s="3" t="s">
        <v>35</v>
      </c>
      <c r="C6537" s="4" t="str">
        <f t="shared" ref="C6537:C6600" si="527">HYPERLINK("https://diaocthongthai.com/ban-do-quang-nam/","Quảng Nam")</f>
        <v>Quảng Nam</v>
      </c>
      <c r="D6537" s="3" t="s">
        <v>434</v>
      </c>
      <c r="E6537" s="4" t="str">
        <f t="shared" si="526"/>
        <v>Huyện Phước Sơn</v>
      </c>
      <c r="F6537" s="3" t="s">
        <v>7298</v>
      </c>
      <c r="G6537" s="4" t="str">
        <f>HYPERLINK("https://diaocthongthai.com/xa-phuoc-duc-phuoc-son/","Xã Phước Đức")</f>
        <v>Xã Phước Đức</v>
      </c>
    </row>
    <row r="6538" spans="1:7" x14ac:dyDescent="0.25">
      <c r="A6538" s="2">
        <v>6537</v>
      </c>
      <c r="B6538" s="3" t="s">
        <v>35</v>
      </c>
      <c r="C6538" s="4" t="str">
        <f t="shared" si="527"/>
        <v>Quảng Nam</v>
      </c>
      <c r="D6538" s="3" t="s">
        <v>434</v>
      </c>
      <c r="E6538" s="4" t="str">
        <f t="shared" si="526"/>
        <v>Huyện Phước Sơn</v>
      </c>
      <c r="F6538" s="3" t="s">
        <v>7299</v>
      </c>
      <c r="G6538" s="4" t="str">
        <f>HYPERLINK("https://diaocthongthai.com/xa-phuoc-nang-phuoc-son/","Xã Phước Năng")</f>
        <v>Xã Phước Năng</v>
      </c>
    </row>
    <row r="6539" spans="1:7" x14ac:dyDescent="0.25">
      <c r="A6539" s="2">
        <v>6538</v>
      </c>
      <c r="B6539" s="3" t="s">
        <v>35</v>
      </c>
      <c r="C6539" s="4" t="str">
        <f t="shared" si="527"/>
        <v>Quảng Nam</v>
      </c>
      <c r="D6539" s="3" t="s">
        <v>434</v>
      </c>
      <c r="E6539" s="4" t="str">
        <f t="shared" si="526"/>
        <v>Huyện Phước Sơn</v>
      </c>
      <c r="F6539" s="3" t="s">
        <v>7300</v>
      </c>
      <c r="G6539" s="4" t="str">
        <f>HYPERLINK("https://diaocthongthai.com/xa-phuoc-my-phuoc-son/","Xã Phước Mỹ")</f>
        <v>Xã Phước Mỹ</v>
      </c>
    </row>
    <row r="6540" spans="1:7" x14ac:dyDescent="0.25">
      <c r="A6540" s="2">
        <v>6539</v>
      </c>
      <c r="B6540" s="3" t="s">
        <v>35</v>
      </c>
      <c r="C6540" s="4" t="str">
        <f t="shared" si="527"/>
        <v>Quảng Nam</v>
      </c>
      <c r="D6540" s="3" t="s">
        <v>434</v>
      </c>
      <c r="E6540" s="4" t="str">
        <f t="shared" si="526"/>
        <v>Huyện Phước Sơn</v>
      </c>
      <c r="F6540" s="3" t="s">
        <v>7301</v>
      </c>
      <c r="G6540" s="4" t="str">
        <f>HYPERLINK("https://diaocthongthai.com/xa-phuoc-chanh-phuoc-son/","Xã Phước Chánh")</f>
        <v>Xã Phước Chánh</v>
      </c>
    </row>
    <row r="6541" spans="1:7" x14ac:dyDescent="0.25">
      <c r="A6541" s="2">
        <v>6540</v>
      </c>
      <c r="B6541" s="3" t="s">
        <v>35</v>
      </c>
      <c r="C6541" s="4" t="str">
        <f t="shared" si="527"/>
        <v>Quảng Nam</v>
      </c>
      <c r="D6541" s="3" t="s">
        <v>434</v>
      </c>
      <c r="E6541" s="4" t="str">
        <f t="shared" si="526"/>
        <v>Huyện Phước Sơn</v>
      </c>
      <c r="F6541" s="3" t="s">
        <v>7302</v>
      </c>
      <c r="G6541" s="4" t="str">
        <f>HYPERLINK("https://diaocthongthai.com/xa-phuoc-cong-phuoc-son/","Xã Phước Công")</f>
        <v>Xã Phước Công</v>
      </c>
    </row>
    <row r="6542" spans="1:7" x14ac:dyDescent="0.25">
      <c r="A6542" s="2">
        <v>6541</v>
      </c>
      <c r="B6542" s="3" t="s">
        <v>35</v>
      </c>
      <c r="C6542" s="4" t="str">
        <f t="shared" si="527"/>
        <v>Quảng Nam</v>
      </c>
      <c r="D6542" s="3" t="s">
        <v>434</v>
      </c>
      <c r="E6542" s="4" t="str">
        <f t="shared" si="526"/>
        <v>Huyện Phước Sơn</v>
      </c>
      <c r="F6542" s="3" t="s">
        <v>7303</v>
      </c>
      <c r="G6542" s="4" t="str">
        <f>HYPERLINK("https://diaocthongthai.com/xa-phuoc-kim-phuoc-son/","Xã Phước Kim")</f>
        <v>Xã Phước Kim</v>
      </c>
    </row>
    <row r="6543" spans="1:7" x14ac:dyDescent="0.25">
      <c r="A6543" s="2">
        <v>6542</v>
      </c>
      <c r="B6543" s="3" t="s">
        <v>35</v>
      </c>
      <c r="C6543" s="4" t="str">
        <f t="shared" si="527"/>
        <v>Quảng Nam</v>
      </c>
      <c r="D6543" s="3" t="s">
        <v>434</v>
      </c>
      <c r="E6543" s="4" t="str">
        <f t="shared" si="526"/>
        <v>Huyện Phước Sơn</v>
      </c>
      <c r="F6543" s="3" t="s">
        <v>7304</v>
      </c>
      <c r="G6543" s="4" t="str">
        <f>HYPERLINK("https://diaocthongthai.com/xa-phuoc-loc-phuoc-son/","Xã Phước Lộc")</f>
        <v>Xã Phước Lộc</v>
      </c>
    </row>
    <row r="6544" spans="1:7" x14ac:dyDescent="0.25">
      <c r="A6544" s="2">
        <v>6543</v>
      </c>
      <c r="B6544" s="3" t="s">
        <v>35</v>
      </c>
      <c r="C6544" s="4" t="str">
        <f t="shared" si="527"/>
        <v>Quảng Nam</v>
      </c>
      <c r="D6544" s="3" t="s">
        <v>434</v>
      </c>
      <c r="E6544" s="4" t="str">
        <f t="shared" si="526"/>
        <v>Huyện Phước Sơn</v>
      </c>
      <c r="F6544" s="3" t="s">
        <v>7305</v>
      </c>
      <c r="G6544" s="4" t="str">
        <f>HYPERLINK("https://diaocthongthai.com/xa-phuoc-thanh-phuoc-son/","Xã Phước Thành")</f>
        <v>Xã Phước Thành</v>
      </c>
    </row>
    <row r="6545" spans="1:7" x14ac:dyDescent="0.25">
      <c r="A6545" s="2">
        <v>6544</v>
      </c>
      <c r="B6545" s="3" t="s">
        <v>35</v>
      </c>
      <c r="C6545" s="4" t="str">
        <f t="shared" si="527"/>
        <v>Quảng Nam</v>
      </c>
      <c r="D6545" s="3" t="s">
        <v>435</v>
      </c>
      <c r="E6545" s="4" t="str">
        <f t="shared" ref="E6545:E6555" si="528">HYPERLINK("https://diaocthongthai.com/ban-do-huyen-hiep-duc-quang-nam/","Huyện Hiệp Đức")</f>
        <v>Huyện Hiệp Đức</v>
      </c>
      <c r="F6545" s="3" t="s">
        <v>7306</v>
      </c>
      <c r="G6545" s="4" t="str">
        <f>HYPERLINK("https://diaocthongthai.com/xa-hiep-hoa-hiep-duc/","Xã Hiệp Hòa")</f>
        <v>Xã Hiệp Hòa</v>
      </c>
    </row>
    <row r="6546" spans="1:7" x14ac:dyDescent="0.25">
      <c r="A6546" s="2">
        <v>6545</v>
      </c>
      <c r="B6546" s="3" t="s">
        <v>35</v>
      </c>
      <c r="C6546" s="4" t="str">
        <f t="shared" si="527"/>
        <v>Quảng Nam</v>
      </c>
      <c r="D6546" s="3" t="s">
        <v>435</v>
      </c>
      <c r="E6546" s="4" t="str">
        <f t="shared" si="528"/>
        <v>Huyện Hiệp Đức</v>
      </c>
      <c r="F6546" s="3" t="s">
        <v>7307</v>
      </c>
      <c r="G6546" s="4" t="str">
        <f>HYPERLINK("https://diaocthongthai.com/xa-hiep-thuan-hiep-duc/","Xã Hiệp Thuận")</f>
        <v>Xã Hiệp Thuận</v>
      </c>
    </row>
    <row r="6547" spans="1:7" x14ac:dyDescent="0.25">
      <c r="A6547" s="2">
        <v>6546</v>
      </c>
      <c r="B6547" s="3" t="s">
        <v>35</v>
      </c>
      <c r="C6547" s="4" t="str">
        <f t="shared" si="527"/>
        <v>Quảng Nam</v>
      </c>
      <c r="D6547" s="3" t="s">
        <v>435</v>
      </c>
      <c r="E6547" s="4" t="str">
        <f t="shared" si="528"/>
        <v>Huyện Hiệp Đức</v>
      </c>
      <c r="F6547" s="3" t="s">
        <v>7308</v>
      </c>
      <c r="G6547" s="4" t="str">
        <f>HYPERLINK("https://diaocthongthai.com/xa-que-tho-hiep-duc/","Xã Quế Thọ")</f>
        <v>Xã Quế Thọ</v>
      </c>
    </row>
    <row r="6548" spans="1:7" x14ac:dyDescent="0.25">
      <c r="A6548" s="2">
        <v>6547</v>
      </c>
      <c r="B6548" s="3" t="s">
        <v>35</v>
      </c>
      <c r="C6548" s="4" t="str">
        <f t="shared" si="527"/>
        <v>Quảng Nam</v>
      </c>
      <c r="D6548" s="3" t="s">
        <v>435</v>
      </c>
      <c r="E6548" s="4" t="str">
        <f t="shared" si="528"/>
        <v>Huyện Hiệp Đức</v>
      </c>
      <c r="F6548" s="3" t="s">
        <v>7309</v>
      </c>
      <c r="G6548" s="4" t="str">
        <f>HYPERLINK("https://diaocthongthai.com/xa-binh-lam-hiep-duc/","Xã Bình Lâm")</f>
        <v>Xã Bình Lâm</v>
      </c>
    </row>
    <row r="6549" spans="1:7" x14ac:dyDescent="0.25">
      <c r="A6549" s="2">
        <v>6548</v>
      </c>
      <c r="B6549" s="3" t="s">
        <v>35</v>
      </c>
      <c r="C6549" s="4" t="str">
        <f t="shared" si="527"/>
        <v>Quảng Nam</v>
      </c>
      <c r="D6549" s="3" t="s">
        <v>435</v>
      </c>
      <c r="E6549" s="4" t="str">
        <f t="shared" si="528"/>
        <v>Huyện Hiệp Đức</v>
      </c>
      <c r="F6549" s="3" t="s">
        <v>7310</v>
      </c>
      <c r="G6549" s="4" t="str">
        <f>HYPERLINK("https://diaocthongthai.com/xa-song-tra-hiep-duc/","Xã Sông Trà")</f>
        <v>Xã Sông Trà</v>
      </c>
    </row>
    <row r="6550" spans="1:7" x14ac:dyDescent="0.25">
      <c r="A6550" s="2">
        <v>6549</v>
      </c>
      <c r="B6550" s="3" t="s">
        <v>35</v>
      </c>
      <c r="C6550" s="4" t="str">
        <f t="shared" si="527"/>
        <v>Quảng Nam</v>
      </c>
      <c r="D6550" s="3" t="s">
        <v>435</v>
      </c>
      <c r="E6550" s="4" t="str">
        <f t="shared" si="528"/>
        <v>Huyện Hiệp Đức</v>
      </c>
      <c r="F6550" s="3" t="s">
        <v>7311</v>
      </c>
      <c r="G6550" s="4" t="str">
        <f>HYPERLINK("https://diaocthongthai.com/xa-phuoc-tra-hiep-duc/","Xã Phước Trà")</f>
        <v>Xã Phước Trà</v>
      </c>
    </row>
    <row r="6551" spans="1:7" x14ac:dyDescent="0.25">
      <c r="A6551" s="2">
        <v>6550</v>
      </c>
      <c r="B6551" s="3" t="s">
        <v>35</v>
      </c>
      <c r="C6551" s="4" t="str">
        <f t="shared" si="527"/>
        <v>Quảng Nam</v>
      </c>
      <c r="D6551" s="3" t="s">
        <v>435</v>
      </c>
      <c r="E6551" s="4" t="str">
        <f t="shared" si="528"/>
        <v>Huyện Hiệp Đức</v>
      </c>
      <c r="F6551" s="3" t="s">
        <v>7312</v>
      </c>
      <c r="G6551" s="4" t="str">
        <f>HYPERLINK("https://diaocthongthai.com/xa-phuoc-gia-hiep-duc/","Xã Phước Gia")</f>
        <v>Xã Phước Gia</v>
      </c>
    </row>
    <row r="6552" spans="1:7" x14ac:dyDescent="0.25">
      <c r="A6552" s="2">
        <v>6551</v>
      </c>
      <c r="B6552" s="3" t="s">
        <v>35</v>
      </c>
      <c r="C6552" s="4" t="str">
        <f t="shared" si="527"/>
        <v>Quảng Nam</v>
      </c>
      <c r="D6552" s="3" t="s">
        <v>435</v>
      </c>
      <c r="E6552" s="4" t="str">
        <f t="shared" si="528"/>
        <v>Huyện Hiệp Đức</v>
      </c>
      <c r="F6552" s="3" t="s">
        <v>7313</v>
      </c>
      <c r="G6552" s="4" t="str">
        <f>HYPERLINK("https://diaocthongthai.com/thi-tran-tan-binh-hiep-duc/","Thị trấn Tân Bình")</f>
        <v>Thị trấn Tân Bình</v>
      </c>
    </row>
    <row r="6553" spans="1:7" x14ac:dyDescent="0.25">
      <c r="A6553" s="2">
        <v>6552</v>
      </c>
      <c r="B6553" s="3" t="s">
        <v>35</v>
      </c>
      <c r="C6553" s="4" t="str">
        <f t="shared" si="527"/>
        <v>Quảng Nam</v>
      </c>
      <c r="D6553" s="3" t="s">
        <v>435</v>
      </c>
      <c r="E6553" s="4" t="str">
        <f t="shared" si="528"/>
        <v>Huyện Hiệp Đức</v>
      </c>
      <c r="F6553" s="3" t="s">
        <v>7314</v>
      </c>
      <c r="G6553" s="4" t="str">
        <f>HYPERLINK("https://diaocthongthai.com/xa-que-luu-hiep-duc/","Xã Quế Lưu")</f>
        <v>Xã Quế Lưu</v>
      </c>
    </row>
    <row r="6554" spans="1:7" x14ac:dyDescent="0.25">
      <c r="A6554" s="2">
        <v>6553</v>
      </c>
      <c r="B6554" s="3" t="s">
        <v>35</v>
      </c>
      <c r="C6554" s="4" t="str">
        <f t="shared" si="527"/>
        <v>Quảng Nam</v>
      </c>
      <c r="D6554" s="3" t="s">
        <v>435</v>
      </c>
      <c r="E6554" s="4" t="str">
        <f t="shared" si="528"/>
        <v>Huyện Hiệp Đức</v>
      </c>
      <c r="F6554" s="3" t="s">
        <v>7315</v>
      </c>
      <c r="G6554" s="4" t="str">
        <f>HYPERLINK("https://diaocthongthai.com/xa-thang-phuoc-hiep-duc/","Xã Thăng Phước")</f>
        <v>Xã Thăng Phước</v>
      </c>
    </row>
    <row r="6555" spans="1:7" x14ac:dyDescent="0.25">
      <c r="A6555" s="2">
        <v>6554</v>
      </c>
      <c r="B6555" s="3" t="s">
        <v>35</v>
      </c>
      <c r="C6555" s="4" t="str">
        <f t="shared" si="527"/>
        <v>Quảng Nam</v>
      </c>
      <c r="D6555" s="3" t="s">
        <v>435</v>
      </c>
      <c r="E6555" s="4" t="str">
        <f t="shared" si="528"/>
        <v>Huyện Hiệp Đức</v>
      </c>
      <c r="F6555" s="3" t="s">
        <v>7316</v>
      </c>
      <c r="G6555" s="4" t="str">
        <f>HYPERLINK("https://diaocthongthai.com/xa-binh-son-hiep-duc/","Xã Bình Sơn")</f>
        <v>Xã Bình Sơn</v>
      </c>
    </row>
    <row r="6556" spans="1:7" x14ac:dyDescent="0.25">
      <c r="A6556" s="2">
        <v>6555</v>
      </c>
      <c r="B6556" s="3" t="s">
        <v>35</v>
      </c>
      <c r="C6556" s="4" t="str">
        <f t="shared" si="527"/>
        <v>Quảng Nam</v>
      </c>
      <c r="D6556" s="3" t="s">
        <v>436</v>
      </c>
      <c r="E6556" s="4" t="str">
        <f t="shared" ref="E6556:E6577" si="529">HYPERLINK("https://diaocthongthai.com/ban-do-huyen-thang-binh-quang-nam/","Huyện Thăng Bình")</f>
        <v>Huyện Thăng Bình</v>
      </c>
      <c r="F6556" s="3" t="s">
        <v>7317</v>
      </c>
      <c r="G6556" s="4" t="str">
        <f>HYPERLINK("https://diaocthongthai.com/thi-tran-ha-lam-thang-binh/","Thị trấn Hà Lam")</f>
        <v>Thị trấn Hà Lam</v>
      </c>
    </row>
    <row r="6557" spans="1:7" x14ac:dyDescent="0.25">
      <c r="A6557" s="2">
        <v>6556</v>
      </c>
      <c r="B6557" s="3" t="s">
        <v>35</v>
      </c>
      <c r="C6557" s="4" t="str">
        <f t="shared" si="527"/>
        <v>Quảng Nam</v>
      </c>
      <c r="D6557" s="3" t="s">
        <v>436</v>
      </c>
      <c r="E6557" s="4" t="str">
        <f t="shared" si="529"/>
        <v>Huyện Thăng Bình</v>
      </c>
      <c r="F6557" s="3" t="s">
        <v>7318</v>
      </c>
      <c r="G6557" s="4" t="str">
        <f>HYPERLINK("https://diaocthongthai.com/xa-binh-duong-thang-binh/","Xã Bình Dương")</f>
        <v>Xã Bình Dương</v>
      </c>
    </row>
    <row r="6558" spans="1:7" x14ac:dyDescent="0.25">
      <c r="A6558" s="2">
        <v>6557</v>
      </c>
      <c r="B6558" s="3" t="s">
        <v>35</v>
      </c>
      <c r="C6558" s="4" t="str">
        <f t="shared" si="527"/>
        <v>Quảng Nam</v>
      </c>
      <c r="D6558" s="3" t="s">
        <v>436</v>
      </c>
      <c r="E6558" s="4" t="str">
        <f t="shared" si="529"/>
        <v>Huyện Thăng Bình</v>
      </c>
      <c r="F6558" s="3" t="s">
        <v>7319</v>
      </c>
      <c r="G6558" s="4" t="str">
        <f>HYPERLINK("https://diaocthongthai.com/xa-binh-giang-thang-binh/","Xã Bình Giang")</f>
        <v>Xã Bình Giang</v>
      </c>
    </row>
    <row r="6559" spans="1:7" x14ac:dyDescent="0.25">
      <c r="A6559" s="2">
        <v>6558</v>
      </c>
      <c r="B6559" s="3" t="s">
        <v>35</v>
      </c>
      <c r="C6559" s="4" t="str">
        <f t="shared" si="527"/>
        <v>Quảng Nam</v>
      </c>
      <c r="D6559" s="3" t="s">
        <v>436</v>
      </c>
      <c r="E6559" s="4" t="str">
        <f t="shared" si="529"/>
        <v>Huyện Thăng Bình</v>
      </c>
      <c r="F6559" s="3" t="s">
        <v>7320</v>
      </c>
      <c r="G6559" s="4" t="str">
        <f>HYPERLINK("https://diaocthongthai.com/xa-binh-nguyen-thang-binh/","Xã Bình Nguyên")</f>
        <v>Xã Bình Nguyên</v>
      </c>
    </row>
    <row r="6560" spans="1:7" x14ac:dyDescent="0.25">
      <c r="A6560" s="2">
        <v>6559</v>
      </c>
      <c r="B6560" s="3" t="s">
        <v>35</v>
      </c>
      <c r="C6560" s="4" t="str">
        <f t="shared" si="527"/>
        <v>Quảng Nam</v>
      </c>
      <c r="D6560" s="3" t="s">
        <v>436</v>
      </c>
      <c r="E6560" s="4" t="str">
        <f t="shared" si="529"/>
        <v>Huyện Thăng Bình</v>
      </c>
      <c r="F6560" s="3" t="s">
        <v>7321</v>
      </c>
      <c r="G6560" s="4" t="str">
        <f>HYPERLINK("https://diaocthongthai.com/xa-binh-phuc-thang-binh/","Xã Bình Phục")</f>
        <v>Xã Bình Phục</v>
      </c>
    </row>
    <row r="6561" spans="1:7" x14ac:dyDescent="0.25">
      <c r="A6561" s="2">
        <v>6560</v>
      </c>
      <c r="B6561" s="3" t="s">
        <v>35</v>
      </c>
      <c r="C6561" s="4" t="str">
        <f t="shared" si="527"/>
        <v>Quảng Nam</v>
      </c>
      <c r="D6561" s="3" t="s">
        <v>436</v>
      </c>
      <c r="E6561" s="4" t="str">
        <f t="shared" si="529"/>
        <v>Huyện Thăng Bình</v>
      </c>
      <c r="F6561" s="3" t="s">
        <v>7322</v>
      </c>
      <c r="G6561" s="4" t="str">
        <f>HYPERLINK("https://diaocthongthai.com/xa-binh-trieu-thang-binh/","Xã Bình Triều")</f>
        <v>Xã Bình Triều</v>
      </c>
    </row>
    <row r="6562" spans="1:7" x14ac:dyDescent="0.25">
      <c r="A6562" s="2">
        <v>6561</v>
      </c>
      <c r="B6562" s="3" t="s">
        <v>35</v>
      </c>
      <c r="C6562" s="4" t="str">
        <f t="shared" si="527"/>
        <v>Quảng Nam</v>
      </c>
      <c r="D6562" s="3" t="s">
        <v>436</v>
      </c>
      <c r="E6562" s="4" t="str">
        <f t="shared" si="529"/>
        <v>Huyện Thăng Bình</v>
      </c>
      <c r="F6562" s="3" t="s">
        <v>7323</v>
      </c>
      <c r="G6562" s="4" t="str">
        <f>HYPERLINK("https://diaocthongthai.com/xa-binh-dao-thang-binh/","Xã Bình Đào")</f>
        <v>Xã Bình Đào</v>
      </c>
    </row>
    <row r="6563" spans="1:7" x14ac:dyDescent="0.25">
      <c r="A6563" s="2">
        <v>6562</v>
      </c>
      <c r="B6563" s="3" t="s">
        <v>35</v>
      </c>
      <c r="C6563" s="4" t="str">
        <f t="shared" si="527"/>
        <v>Quảng Nam</v>
      </c>
      <c r="D6563" s="3" t="s">
        <v>436</v>
      </c>
      <c r="E6563" s="4" t="str">
        <f t="shared" si="529"/>
        <v>Huyện Thăng Bình</v>
      </c>
      <c r="F6563" s="3" t="s">
        <v>7324</v>
      </c>
      <c r="G6563" s="4" t="str">
        <f>HYPERLINK("https://diaocthongthai.com/xa-binh-minh-thang-binh/","Xã Bình Minh")</f>
        <v>Xã Bình Minh</v>
      </c>
    </row>
    <row r="6564" spans="1:7" x14ac:dyDescent="0.25">
      <c r="A6564" s="2">
        <v>6563</v>
      </c>
      <c r="B6564" s="3" t="s">
        <v>35</v>
      </c>
      <c r="C6564" s="4" t="str">
        <f t="shared" si="527"/>
        <v>Quảng Nam</v>
      </c>
      <c r="D6564" s="3" t="s">
        <v>436</v>
      </c>
      <c r="E6564" s="4" t="str">
        <f t="shared" si="529"/>
        <v>Huyện Thăng Bình</v>
      </c>
      <c r="F6564" s="3" t="s">
        <v>7325</v>
      </c>
      <c r="G6564" s="4" t="str">
        <f>HYPERLINK("https://diaocthongthai.com/xa-binh-lanh-thang-binh/","Xã Bình Lãnh")</f>
        <v>Xã Bình Lãnh</v>
      </c>
    </row>
    <row r="6565" spans="1:7" x14ac:dyDescent="0.25">
      <c r="A6565" s="2">
        <v>6564</v>
      </c>
      <c r="B6565" s="3" t="s">
        <v>35</v>
      </c>
      <c r="C6565" s="4" t="str">
        <f t="shared" si="527"/>
        <v>Quảng Nam</v>
      </c>
      <c r="D6565" s="3" t="s">
        <v>436</v>
      </c>
      <c r="E6565" s="4" t="str">
        <f t="shared" si="529"/>
        <v>Huyện Thăng Bình</v>
      </c>
      <c r="F6565" s="3" t="s">
        <v>7326</v>
      </c>
      <c r="G6565" s="4" t="str">
        <f>HYPERLINK("https://diaocthongthai.com/xa-binh-tri-thang-binh/","Xã Bình Trị")</f>
        <v>Xã Bình Trị</v>
      </c>
    </row>
    <row r="6566" spans="1:7" x14ac:dyDescent="0.25">
      <c r="A6566" s="2">
        <v>6565</v>
      </c>
      <c r="B6566" s="3" t="s">
        <v>35</v>
      </c>
      <c r="C6566" s="4" t="str">
        <f t="shared" si="527"/>
        <v>Quảng Nam</v>
      </c>
      <c r="D6566" s="3" t="s">
        <v>436</v>
      </c>
      <c r="E6566" s="4" t="str">
        <f t="shared" si="529"/>
        <v>Huyện Thăng Bình</v>
      </c>
      <c r="F6566" s="3" t="s">
        <v>7327</v>
      </c>
      <c r="G6566" s="4" t="str">
        <f>HYPERLINK("https://diaocthongthai.com/xa-binh-dinh-bac-thang-binh/","Xã Bình Định Bắc")</f>
        <v>Xã Bình Định Bắc</v>
      </c>
    </row>
    <row r="6567" spans="1:7" x14ac:dyDescent="0.25">
      <c r="A6567" s="2">
        <v>6566</v>
      </c>
      <c r="B6567" s="3" t="s">
        <v>35</v>
      </c>
      <c r="C6567" s="4" t="str">
        <f t="shared" si="527"/>
        <v>Quảng Nam</v>
      </c>
      <c r="D6567" s="3" t="s">
        <v>436</v>
      </c>
      <c r="E6567" s="4" t="str">
        <f t="shared" si="529"/>
        <v>Huyện Thăng Bình</v>
      </c>
      <c r="F6567" s="3" t="s">
        <v>7328</v>
      </c>
      <c r="G6567" s="4" t="str">
        <f>HYPERLINK("https://diaocthongthai.com/xa-binh-dinh-nam-thang-binh/","Xã Bình Định Nam")</f>
        <v>Xã Bình Định Nam</v>
      </c>
    </row>
    <row r="6568" spans="1:7" x14ac:dyDescent="0.25">
      <c r="A6568" s="2">
        <v>6567</v>
      </c>
      <c r="B6568" s="3" t="s">
        <v>35</v>
      </c>
      <c r="C6568" s="4" t="str">
        <f t="shared" si="527"/>
        <v>Quảng Nam</v>
      </c>
      <c r="D6568" s="3" t="s">
        <v>436</v>
      </c>
      <c r="E6568" s="4" t="str">
        <f t="shared" si="529"/>
        <v>Huyện Thăng Bình</v>
      </c>
      <c r="F6568" s="3" t="s">
        <v>7329</v>
      </c>
      <c r="G6568" s="4" t="str">
        <f>HYPERLINK("https://diaocthongthai.com/xa-binh-quy-thang-binh/","Xã Bình Quý")</f>
        <v>Xã Bình Quý</v>
      </c>
    </row>
    <row r="6569" spans="1:7" x14ac:dyDescent="0.25">
      <c r="A6569" s="2">
        <v>6568</v>
      </c>
      <c r="B6569" s="3" t="s">
        <v>35</v>
      </c>
      <c r="C6569" s="4" t="str">
        <f t="shared" si="527"/>
        <v>Quảng Nam</v>
      </c>
      <c r="D6569" s="3" t="s">
        <v>436</v>
      </c>
      <c r="E6569" s="4" t="str">
        <f t="shared" si="529"/>
        <v>Huyện Thăng Bình</v>
      </c>
      <c r="F6569" s="3" t="s">
        <v>7330</v>
      </c>
      <c r="G6569" s="4" t="str">
        <f>HYPERLINK("https://diaocthongthai.com/xa-binh-phu-thang-binh/","Xã Bình Phú")</f>
        <v>Xã Bình Phú</v>
      </c>
    </row>
    <row r="6570" spans="1:7" x14ac:dyDescent="0.25">
      <c r="A6570" s="2">
        <v>6569</v>
      </c>
      <c r="B6570" s="3" t="s">
        <v>35</v>
      </c>
      <c r="C6570" s="4" t="str">
        <f t="shared" si="527"/>
        <v>Quảng Nam</v>
      </c>
      <c r="D6570" s="3" t="s">
        <v>436</v>
      </c>
      <c r="E6570" s="4" t="str">
        <f t="shared" si="529"/>
        <v>Huyện Thăng Bình</v>
      </c>
      <c r="F6570" s="3" t="s">
        <v>7331</v>
      </c>
      <c r="G6570" s="4" t="str">
        <f>HYPERLINK("https://diaocthongthai.com/xa-binh-chanh-thang-binh/","Xã Bình Chánh")</f>
        <v>Xã Bình Chánh</v>
      </c>
    </row>
    <row r="6571" spans="1:7" x14ac:dyDescent="0.25">
      <c r="A6571" s="2">
        <v>6570</v>
      </c>
      <c r="B6571" s="3" t="s">
        <v>35</v>
      </c>
      <c r="C6571" s="4" t="str">
        <f t="shared" si="527"/>
        <v>Quảng Nam</v>
      </c>
      <c r="D6571" s="3" t="s">
        <v>436</v>
      </c>
      <c r="E6571" s="4" t="str">
        <f t="shared" si="529"/>
        <v>Huyện Thăng Bình</v>
      </c>
      <c r="F6571" s="3" t="s">
        <v>7332</v>
      </c>
      <c r="G6571" s="4" t="str">
        <f>HYPERLINK("https://diaocthongthai.com/xa-binh-tu-thang-binh/","Xã Bình Tú")</f>
        <v>Xã Bình Tú</v>
      </c>
    </row>
    <row r="6572" spans="1:7" x14ac:dyDescent="0.25">
      <c r="A6572" s="2">
        <v>6571</v>
      </c>
      <c r="B6572" s="3" t="s">
        <v>35</v>
      </c>
      <c r="C6572" s="4" t="str">
        <f t="shared" si="527"/>
        <v>Quảng Nam</v>
      </c>
      <c r="D6572" s="3" t="s">
        <v>436</v>
      </c>
      <c r="E6572" s="4" t="str">
        <f t="shared" si="529"/>
        <v>Huyện Thăng Bình</v>
      </c>
      <c r="F6572" s="3" t="s">
        <v>7333</v>
      </c>
      <c r="G6572" s="4" t="str">
        <f>HYPERLINK("https://diaocthongthai.com/xa-binh-sa-thang-binh/","Xã Bình Sa")</f>
        <v>Xã Bình Sa</v>
      </c>
    </row>
    <row r="6573" spans="1:7" x14ac:dyDescent="0.25">
      <c r="A6573" s="2">
        <v>6572</v>
      </c>
      <c r="B6573" s="3" t="s">
        <v>35</v>
      </c>
      <c r="C6573" s="4" t="str">
        <f t="shared" si="527"/>
        <v>Quảng Nam</v>
      </c>
      <c r="D6573" s="3" t="s">
        <v>436</v>
      </c>
      <c r="E6573" s="4" t="str">
        <f t="shared" si="529"/>
        <v>Huyện Thăng Bình</v>
      </c>
      <c r="F6573" s="3" t="s">
        <v>7334</v>
      </c>
      <c r="G6573" s="4" t="str">
        <f>HYPERLINK("https://diaocthongthai.com/xa-binh-hai-thang-binh/","Xã Bình Hải")</f>
        <v>Xã Bình Hải</v>
      </c>
    </row>
    <row r="6574" spans="1:7" x14ac:dyDescent="0.25">
      <c r="A6574" s="2">
        <v>6573</v>
      </c>
      <c r="B6574" s="3" t="s">
        <v>35</v>
      </c>
      <c r="C6574" s="4" t="str">
        <f t="shared" si="527"/>
        <v>Quảng Nam</v>
      </c>
      <c r="D6574" s="3" t="s">
        <v>436</v>
      </c>
      <c r="E6574" s="4" t="str">
        <f t="shared" si="529"/>
        <v>Huyện Thăng Bình</v>
      </c>
      <c r="F6574" s="3" t="s">
        <v>7335</v>
      </c>
      <c r="G6574" s="4" t="str">
        <f>HYPERLINK("https://diaocthongthai.com/xa-binh-que-thang-binh/","Xã Bình Quế")</f>
        <v>Xã Bình Quế</v>
      </c>
    </row>
    <row r="6575" spans="1:7" x14ac:dyDescent="0.25">
      <c r="A6575" s="2">
        <v>6574</v>
      </c>
      <c r="B6575" s="3" t="s">
        <v>35</v>
      </c>
      <c r="C6575" s="4" t="str">
        <f t="shared" si="527"/>
        <v>Quảng Nam</v>
      </c>
      <c r="D6575" s="3" t="s">
        <v>436</v>
      </c>
      <c r="E6575" s="4" t="str">
        <f t="shared" si="529"/>
        <v>Huyện Thăng Bình</v>
      </c>
      <c r="F6575" s="3" t="s">
        <v>7336</v>
      </c>
      <c r="G6575" s="4" t="str">
        <f>HYPERLINK("https://diaocthongthai.com/xa-binh-an-thang-binh/","Xã Bình An")</f>
        <v>Xã Bình An</v>
      </c>
    </row>
    <row r="6576" spans="1:7" x14ac:dyDescent="0.25">
      <c r="A6576" s="2">
        <v>6575</v>
      </c>
      <c r="B6576" s="3" t="s">
        <v>35</v>
      </c>
      <c r="C6576" s="4" t="str">
        <f t="shared" si="527"/>
        <v>Quảng Nam</v>
      </c>
      <c r="D6576" s="3" t="s">
        <v>436</v>
      </c>
      <c r="E6576" s="4" t="str">
        <f t="shared" si="529"/>
        <v>Huyện Thăng Bình</v>
      </c>
      <c r="F6576" s="3" t="s">
        <v>7337</v>
      </c>
      <c r="G6576" s="4" t="str">
        <f>HYPERLINK("https://diaocthongthai.com/xa-binh-trung-thang-binh/","Xã Bình Trung")</f>
        <v>Xã Bình Trung</v>
      </c>
    </row>
    <row r="6577" spans="1:7" x14ac:dyDescent="0.25">
      <c r="A6577" s="2">
        <v>6576</v>
      </c>
      <c r="B6577" s="3" t="s">
        <v>35</v>
      </c>
      <c r="C6577" s="4" t="str">
        <f t="shared" si="527"/>
        <v>Quảng Nam</v>
      </c>
      <c r="D6577" s="3" t="s">
        <v>436</v>
      </c>
      <c r="E6577" s="4" t="str">
        <f t="shared" si="529"/>
        <v>Huyện Thăng Bình</v>
      </c>
      <c r="F6577" s="3" t="s">
        <v>7338</v>
      </c>
      <c r="G6577" s="4" t="str">
        <f>HYPERLINK("https://diaocthongthai.com/xa-binh-nam-thang-binh/","Xã Bình Nam")</f>
        <v>Xã Bình Nam</v>
      </c>
    </row>
    <row r="6578" spans="1:7" x14ac:dyDescent="0.25">
      <c r="A6578" s="2">
        <v>6577</v>
      </c>
      <c r="B6578" s="3" t="s">
        <v>35</v>
      </c>
      <c r="C6578" s="4" t="str">
        <f t="shared" si="527"/>
        <v>Quảng Nam</v>
      </c>
      <c r="D6578" s="3" t="s">
        <v>437</v>
      </c>
      <c r="E6578" s="4" t="str">
        <f t="shared" ref="E6578:E6592" si="530">HYPERLINK("https://diaocthongthai.com/ban-do-huyen-tien-phuoc-quang-nam/","Huyện Tiên Phước")</f>
        <v>Huyện Tiên Phước</v>
      </c>
      <c r="F6578" s="3" t="s">
        <v>7339</v>
      </c>
      <c r="G6578" s="4" t="str">
        <f>HYPERLINK("https://diaocthongthai.com/thi-tran-tien-ky-tien-phuoc/","Thị trấn Tiên Kỳ")</f>
        <v>Thị trấn Tiên Kỳ</v>
      </c>
    </row>
    <row r="6579" spans="1:7" x14ac:dyDescent="0.25">
      <c r="A6579" s="2">
        <v>6578</v>
      </c>
      <c r="B6579" s="3" t="s">
        <v>35</v>
      </c>
      <c r="C6579" s="4" t="str">
        <f t="shared" si="527"/>
        <v>Quảng Nam</v>
      </c>
      <c r="D6579" s="3" t="s">
        <v>437</v>
      </c>
      <c r="E6579" s="4" t="str">
        <f t="shared" si="530"/>
        <v>Huyện Tiên Phước</v>
      </c>
      <c r="F6579" s="3" t="s">
        <v>7340</v>
      </c>
      <c r="G6579" s="4" t="str">
        <f>HYPERLINK("https://diaocthongthai.com/xa-tien-son-tien-phuoc/","Xã Tiên Sơn")</f>
        <v>Xã Tiên Sơn</v>
      </c>
    </row>
    <row r="6580" spans="1:7" x14ac:dyDescent="0.25">
      <c r="A6580" s="2">
        <v>6579</v>
      </c>
      <c r="B6580" s="3" t="s">
        <v>35</v>
      </c>
      <c r="C6580" s="4" t="str">
        <f t="shared" si="527"/>
        <v>Quảng Nam</v>
      </c>
      <c r="D6580" s="3" t="s">
        <v>437</v>
      </c>
      <c r="E6580" s="4" t="str">
        <f t="shared" si="530"/>
        <v>Huyện Tiên Phước</v>
      </c>
      <c r="F6580" s="3" t="s">
        <v>7341</v>
      </c>
      <c r="G6580" s="4" t="str">
        <f>HYPERLINK("https://diaocthongthai.com/xa-tien-ha-tien-phuoc/","Xã Tiên Hà")</f>
        <v>Xã Tiên Hà</v>
      </c>
    </row>
    <row r="6581" spans="1:7" x14ac:dyDescent="0.25">
      <c r="A6581" s="2">
        <v>6580</v>
      </c>
      <c r="B6581" s="3" t="s">
        <v>35</v>
      </c>
      <c r="C6581" s="4" t="str">
        <f t="shared" si="527"/>
        <v>Quảng Nam</v>
      </c>
      <c r="D6581" s="3" t="s">
        <v>437</v>
      </c>
      <c r="E6581" s="4" t="str">
        <f t="shared" si="530"/>
        <v>Huyện Tiên Phước</v>
      </c>
      <c r="F6581" s="3" t="s">
        <v>7342</v>
      </c>
      <c r="G6581" s="4" t="str">
        <f>HYPERLINK("https://diaocthongthai.com/xa-tien-cam-tien-phuoc/","Xã Tiên Cẩm")</f>
        <v>Xã Tiên Cẩm</v>
      </c>
    </row>
    <row r="6582" spans="1:7" x14ac:dyDescent="0.25">
      <c r="A6582" s="2">
        <v>6581</v>
      </c>
      <c r="B6582" s="3" t="s">
        <v>35</v>
      </c>
      <c r="C6582" s="4" t="str">
        <f t="shared" si="527"/>
        <v>Quảng Nam</v>
      </c>
      <c r="D6582" s="3" t="s">
        <v>437</v>
      </c>
      <c r="E6582" s="4" t="str">
        <f t="shared" si="530"/>
        <v>Huyện Tiên Phước</v>
      </c>
      <c r="F6582" s="3" t="s">
        <v>7343</v>
      </c>
      <c r="G6582" s="4" t="str">
        <f>HYPERLINK("https://diaocthongthai.com/xa-tien-chau-tien-phuoc/","Xã Tiên Châu")</f>
        <v>Xã Tiên Châu</v>
      </c>
    </row>
    <row r="6583" spans="1:7" x14ac:dyDescent="0.25">
      <c r="A6583" s="2">
        <v>6582</v>
      </c>
      <c r="B6583" s="3" t="s">
        <v>35</v>
      </c>
      <c r="C6583" s="4" t="str">
        <f t="shared" si="527"/>
        <v>Quảng Nam</v>
      </c>
      <c r="D6583" s="3" t="s">
        <v>437</v>
      </c>
      <c r="E6583" s="4" t="str">
        <f t="shared" si="530"/>
        <v>Huyện Tiên Phước</v>
      </c>
      <c r="F6583" s="3" t="s">
        <v>7344</v>
      </c>
      <c r="G6583" s="4" t="str">
        <f>HYPERLINK("https://diaocthongthai.com/xa-tien-lanh-tien-phuoc/","Xã Tiên Lãnh")</f>
        <v>Xã Tiên Lãnh</v>
      </c>
    </row>
    <row r="6584" spans="1:7" x14ac:dyDescent="0.25">
      <c r="A6584" s="2">
        <v>6583</v>
      </c>
      <c r="B6584" s="3" t="s">
        <v>35</v>
      </c>
      <c r="C6584" s="4" t="str">
        <f t="shared" si="527"/>
        <v>Quảng Nam</v>
      </c>
      <c r="D6584" s="3" t="s">
        <v>437</v>
      </c>
      <c r="E6584" s="4" t="str">
        <f t="shared" si="530"/>
        <v>Huyện Tiên Phước</v>
      </c>
      <c r="F6584" s="3" t="s">
        <v>7345</v>
      </c>
      <c r="G6584" s="4" t="str">
        <f>HYPERLINK("https://diaocthongthai.com/xa-tien-ngoc-tien-phuoc/","Xã Tiên Ngọc")</f>
        <v>Xã Tiên Ngọc</v>
      </c>
    </row>
    <row r="6585" spans="1:7" x14ac:dyDescent="0.25">
      <c r="A6585" s="2">
        <v>6584</v>
      </c>
      <c r="B6585" s="3" t="s">
        <v>35</v>
      </c>
      <c r="C6585" s="4" t="str">
        <f t="shared" si="527"/>
        <v>Quảng Nam</v>
      </c>
      <c r="D6585" s="3" t="s">
        <v>437</v>
      </c>
      <c r="E6585" s="4" t="str">
        <f t="shared" si="530"/>
        <v>Huyện Tiên Phước</v>
      </c>
      <c r="F6585" s="3" t="s">
        <v>7346</v>
      </c>
      <c r="G6585" s="4" t="str">
        <f>HYPERLINK("https://diaocthongthai.com/xa-tien-hiep-tien-phuoc/","Xã Tiên Hiệp")</f>
        <v>Xã Tiên Hiệp</v>
      </c>
    </row>
    <row r="6586" spans="1:7" x14ac:dyDescent="0.25">
      <c r="A6586" s="2">
        <v>6585</v>
      </c>
      <c r="B6586" s="3" t="s">
        <v>35</v>
      </c>
      <c r="C6586" s="4" t="str">
        <f t="shared" si="527"/>
        <v>Quảng Nam</v>
      </c>
      <c r="D6586" s="3" t="s">
        <v>437</v>
      </c>
      <c r="E6586" s="4" t="str">
        <f t="shared" si="530"/>
        <v>Huyện Tiên Phước</v>
      </c>
      <c r="F6586" s="3" t="s">
        <v>7347</v>
      </c>
      <c r="G6586" s="4" t="str">
        <f>HYPERLINK("https://diaocthongthai.com/xa-tien-canh-tien-phuoc/","Xã Tiên Cảnh")</f>
        <v>Xã Tiên Cảnh</v>
      </c>
    </row>
    <row r="6587" spans="1:7" x14ac:dyDescent="0.25">
      <c r="A6587" s="2">
        <v>6586</v>
      </c>
      <c r="B6587" s="3" t="s">
        <v>35</v>
      </c>
      <c r="C6587" s="4" t="str">
        <f t="shared" si="527"/>
        <v>Quảng Nam</v>
      </c>
      <c r="D6587" s="3" t="s">
        <v>437</v>
      </c>
      <c r="E6587" s="4" t="str">
        <f t="shared" si="530"/>
        <v>Huyện Tiên Phước</v>
      </c>
      <c r="F6587" s="3" t="s">
        <v>7348</v>
      </c>
      <c r="G6587" s="4" t="str">
        <f>HYPERLINK("https://diaocthongthai.com/xa-tien-my-tien-phuoc/","Xã Tiên Mỹ")</f>
        <v>Xã Tiên Mỹ</v>
      </c>
    </row>
    <row r="6588" spans="1:7" x14ac:dyDescent="0.25">
      <c r="A6588" s="2">
        <v>6587</v>
      </c>
      <c r="B6588" s="3" t="s">
        <v>35</v>
      </c>
      <c r="C6588" s="4" t="str">
        <f t="shared" si="527"/>
        <v>Quảng Nam</v>
      </c>
      <c r="D6588" s="3" t="s">
        <v>437</v>
      </c>
      <c r="E6588" s="4" t="str">
        <f t="shared" si="530"/>
        <v>Huyện Tiên Phước</v>
      </c>
      <c r="F6588" s="3" t="s">
        <v>7349</v>
      </c>
      <c r="G6588" s="4" t="str">
        <f>HYPERLINK("https://diaocthongthai.com/xa-tien-phong-tien-phuoc/","Xã Tiên Phong")</f>
        <v>Xã Tiên Phong</v>
      </c>
    </row>
    <row r="6589" spans="1:7" x14ac:dyDescent="0.25">
      <c r="A6589" s="2">
        <v>6588</v>
      </c>
      <c r="B6589" s="3" t="s">
        <v>35</v>
      </c>
      <c r="C6589" s="4" t="str">
        <f t="shared" si="527"/>
        <v>Quảng Nam</v>
      </c>
      <c r="D6589" s="3" t="s">
        <v>437</v>
      </c>
      <c r="E6589" s="4" t="str">
        <f t="shared" si="530"/>
        <v>Huyện Tiên Phước</v>
      </c>
      <c r="F6589" s="3" t="s">
        <v>7350</v>
      </c>
      <c r="G6589" s="4" t="str">
        <f>HYPERLINK("https://diaocthongthai.com/xa-tien-tho-tien-phuoc/","Xã Tiên Thọ")</f>
        <v>Xã Tiên Thọ</v>
      </c>
    </row>
    <row r="6590" spans="1:7" x14ac:dyDescent="0.25">
      <c r="A6590" s="2">
        <v>6589</v>
      </c>
      <c r="B6590" s="3" t="s">
        <v>35</v>
      </c>
      <c r="C6590" s="4" t="str">
        <f t="shared" si="527"/>
        <v>Quảng Nam</v>
      </c>
      <c r="D6590" s="3" t="s">
        <v>437</v>
      </c>
      <c r="E6590" s="4" t="str">
        <f t="shared" si="530"/>
        <v>Huyện Tiên Phước</v>
      </c>
      <c r="F6590" s="3" t="s">
        <v>7351</v>
      </c>
      <c r="G6590" s="4" t="str">
        <f>HYPERLINK("https://diaocthongthai.com/xa-tien-an-tien-phuoc/","Xã Tiên An")</f>
        <v>Xã Tiên An</v>
      </c>
    </row>
    <row r="6591" spans="1:7" x14ac:dyDescent="0.25">
      <c r="A6591" s="2">
        <v>6590</v>
      </c>
      <c r="B6591" s="3" t="s">
        <v>35</v>
      </c>
      <c r="C6591" s="4" t="str">
        <f t="shared" si="527"/>
        <v>Quảng Nam</v>
      </c>
      <c r="D6591" s="3" t="s">
        <v>437</v>
      </c>
      <c r="E6591" s="4" t="str">
        <f t="shared" si="530"/>
        <v>Huyện Tiên Phước</v>
      </c>
      <c r="F6591" s="3" t="s">
        <v>7352</v>
      </c>
      <c r="G6591" s="4" t="str">
        <f>HYPERLINK("https://diaocthongthai.com/xa-tien-loc-tien-phuoc/","Xã Tiên Lộc")</f>
        <v>Xã Tiên Lộc</v>
      </c>
    </row>
    <row r="6592" spans="1:7" x14ac:dyDescent="0.25">
      <c r="A6592" s="2">
        <v>6591</v>
      </c>
      <c r="B6592" s="3" t="s">
        <v>35</v>
      </c>
      <c r="C6592" s="4" t="str">
        <f t="shared" si="527"/>
        <v>Quảng Nam</v>
      </c>
      <c r="D6592" s="3" t="s">
        <v>437</v>
      </c>
      <c r="E6592" s="4" t="str">
        <f t="shared" si="530"/>
        <v>Huyện Tiên Phước</v>
      </c>
      <c r="F6592" s="3" t="s">
        <v>7353</v>
      </c>
      <c r="G6592" s="4" t="str">
        <f>HYPERLINK("https://diaocthongthai.com/xa-tien-lap-tien-phuoc/","Xã Tiên Lập")</f>
        <v>Xã Tiên Lập</v>
      </c>
    </row>
    <row r="6593" spans="1:7" x14ac:dyDescent="0.25">
      <c r="A6593" s="2">
        <v>6592</v>
      </c>
      <c r="B6593" s="3" t="s">
        <v>35</v>
      </c>
      <c r="C6593" s="4" t="str">
        <f t="shared" si="527"/>
        <v>Quảng Nam</v>
      </c>
      <c r="D6593" s="3" t="s">
        <v>438</v>
      </c>
      <c r="E6593" s="4" t="str">
        <f t="shared" ref="E6593:E6605" si="531">HYPERLINK("https://diaocthongthai.com/ban-do-huyen-bac-tra-my-quang-nam/","Huyện Bắc Trà My")</f>
        <v>Huyện Bắc Trà My</v>
      </c>
      <c r="F6593" s="3" t="s">
        <v>7354</v>
      </c>
      <c r="G6593" s="4" t="str">
        <f>HYPERLINK("https://diaocthongthai.com/thi-tran-tra-my-bac-tra-my/","Thị trấn Trà My")</f>
        <v>Thị trấn Trà My</v>
      </c>
    </row>
    <row r="6594" spans="1:7" x14ac:dyDescent="0.25">
      <c r="A6594" s="2">
        <v>6593</v>
      </c>
      <c r="B6594" s="3" t="s">
        <v>35</v>
      </c>
      <c r="C6594" s="4" t="str">
        <f t="shared" si="527"/>
        <v>Quảng Nam</v>
      </c>
      <c r="D6594" s="3" t="s">
        <v>438</v>
      </c>
      <c r="E6594" s="4" t="str">
        <f t="shared" si="531"/>
        <v>Huyện Bắc Trà My</v>
      </c>
      <c r="F6594" s="3" t="s">
        <v>7355</v>
      </c>
      <c r="G6594" s="4" t="str">
        <f>HYPERLINK("https://diaocthongthai.com/xa-tra-son-bac-tra-my/","Xã Trà Sơn")</f>
        <v>Xã Trà Sơn</v>
      </c>
    </row>
    <row r="6595" spans="1:7" x14ac:dyDescent="0.25">
      <c r="A6595" s="2">
        <v>6594</v>
      </c>
      <c r="B6595" s="3" t="s">
        <v>35</v>
      </c>
      <c r="C6595" s="4" t="str">
        <f t="shared" si="527"/>
        <v>Quảng Nam</v>
      </c>
      <c r="D6595" s="3" t="s">
        <v>438</v>
      </c>
      <c r="E6595" s="4" t="str">
        <f t="shared" si="531"/>
        <v>Huyện Bắc Trà My</v>
      </c>
      <c r="F6595" s="3" t="s">
        <v>7356</v>
      </c>
      <c r="G6595" s="4" t="str">
        <f>HYPERLINK("https://diaocthongthai.com/xa-tra-kot-bac-tra-my/","Xã Trà Kót")</f>
        <v>Xã Trà Kót</v>
      </c>
    </row>
    <row r="6596" spans="1:7" x14ac:dyDescent="0.25">
      <c r="A6596" s="2">
        <v>6595</v>
      </c>
      <c r="B6596" s="3" t="s">
        <v>35</v>
      </c>
      <c r="C6596" s="4" t="str">
        <f t="shared" si="527"/>
        <v>Quảng Nam</v>
      </c>
      <c r="D6596" s="3" t="s">
        <v>438</v>
      </c>
      <c r="E6596" s="4" t="str">
        <f t="shared" si="531"/>
        <v>Huyện Bắc Trà My</v>
      </c>
      <c r="F6596" s="3" t="s">
        <v>7357</v>
      </c>
      <c r="G6596" s="4" t="str">
        <f>HYPERLINK("https://diaocthongthai.com/xa-tra-nu-bac-tra-my/","Xã Trà Nú")</f>
        <v>Xã Trà Nú</v>
      </c>
    </row>
    <row r="6597" spans="1:7" x14ac:dyDescent="0.25">
      <c r="A6597" s="2">
        <v>6596</v>
      </c>
      <c r="B6597" s="3" t="s">
        <v>35</v>
      </c>
      <c r="C6597" s="4" t="str">
        <f t="shared" si="527"/>
        <v>Quảng Nam</v>
      </c>
      <c r="D6597" s="3" t="s">
        <v>438</v>
      </c>
      <c r="E6597" s="4" t="str">
        <f t="shared" si="531"/>
        <v>Huyện Bắc Trà My</v>
      </c>
      <c r="F6597" s="3" t="s">
        <v>7358</v>
      </c>
      <c r="G6597" s="4" t="str">
        <f>HYPERLINK("https://diaocthongthai.com/xa-tra-dong-bac-tra-my/","Xã Trà Đông")</f>
        <v>Xã Trà Đông</v>
      </c>
    </row>
    <row r="6598" spans="1:7" x14ac:dyDescent="0.25">
      <c r="A6598" s="2">
        <v>6597</v>
      </c>
      <c r="B6598" s="3" t="s">
        <v>35</v>
      </c>
      <c r="C6598" s="4" t="str">
        <f t="shared" si="527"/>
        <v>Quảng Nam</v>
      </c>
      <c r="D6598" s="3" t="s">
        <v>438</v>
      </c>
      <c r="E6598" s="4" t="str">
        <f t="shared" si="531"/>
        <v>Huyện Bắc Trà My</v>
      </c>
      <c r="F6598" s="3" t="s">
        <v>7359</v>
      </c>
      <c r="G6598" s="4" t="str">
        <f>HYPERLINK("https://diaocthongthai.com/xa-tra-duong-bac-tra-my/","Xã Trà Dương")</f>
        <v>Xã Trà Dương</v>
      </c>
    </row>
    <row r="6599" spans="1:7" x14ac:dyDescent="0.25">
      <c r="A6599" s="2">
        <v>6598</v>
      </c>
      <c r="B6599" s="3" t="s">
        <v>35</v>
      </c>
      <c r="C6599" s="4" t="str">
        <f t="shared" si="527"/>
        <v>Quảng Nam</v>
      </c>
      <c r="D6599" s="3" t="s">
        <v>438</v>
      </c>
      <c r="E6599" s="4" t="str">
        <f t="shared" si="531"/>
        <v>Huyện Bắc Trà My</v>
      </c>
      <c r="F6599" s="3" t="s">
        <v>7360</v>
      </c>
      <c r="G6599" s="4" t="str">
        <f>HYPERLINK("https://diaocthongthai.com/xa-tra-giang-bac-tra-my/","Xã Trà Giang")</f>
        <v>Xã Trà Giang</v>
      </c>
    </row>
    <row r="6600" spans="1:7" x14ac:dyDescent="0.25">
      <c r="A6600" s="2">
        <v>6599</v>
      </c>
      <c r="B6600" s="3" t="s">
        <v>35</v>
      </c>
      <c r="C6600" s="4" t="str">
        <f t="shared" si="527"/>
        <v>Quảng Nam</v>
      </c>
      <c r="D6600" s="3" t="s">
        <v>438</v>
      </c>
      <c r="E6600" s="4" t="str">
        <f t="shared" si="531"/>
        <v>Huyện Bắc Trà My</v>
      </c>
      <c r="F6600" s="3" t="s">
        <v>7361</v>
      </c>
      <c r="G6600" s="4" t="str">
        <f>HYPERLINK("https://diaocthongthai.com/xa-tra-bui-bac-tra-my/","Xã Trà Bui")</f>
        <v>Xã Trà Bui</v>
      </c>
    </row>
    <row r="6601" spans="1:7" x14ac:dyDescent="0.25">
      <c r="A6601" s="2">
        <v>6600</v>
      </c>
      <c r="B6601" s="3" t="s">
        <v>35</v>
      </c>
      <c r="C6601" s="4" t="str">
        <f t="shared" ref="C6601:C6649" si="532">HYPERLINK("https://diaocthongthai.com/ban-do-quang-nam/","Quảng Nam")</f>
        <v>Quảng Nam</v>
      </c>
      <c r="D6601" s="3" t="s">
        <v>438</v>
      </c>
      <c r="E6601" s="4" t="str">
        <f t="shared" si="531"/>
        <v>Huyện Bắc Trà My</v>
      </c>
      <c r="F6601" s="3" t="s">
        <v>7362</v>
      </c>
      <c r="G6601" s="4" t="str">
        <f>HYPERLINK("https://diaocthongthai.com/xa-tra-doc-bac-tra-my/","Xã Trà Đốc")</f>
        <v>Xã Trà Đốc</v>
      </c>
    </row>
    <row r="6602" spans="1:7" x14ac:dyDescent="0.25">
      <c r="A6602" s="2">
        <v>6601</v>
      </c>
      <c r="B6602" s="3" t="s">
        <v>35</v>
      </c>
      <c r="C6602" s="4" t="str">
        <f t="shared" si="532"/>
        <v>Quảng Nam</v>
      </c>
      <c r="D6602" s="3" t="s">
        <v>438</v>
      </c>
      <c r="E6602" s="4" t="str">
        <f t="shared" si="531"/>
        <v>Huyện Bắc Trà My</v>
      </c>
      <c r="F6602" s="3" t="s">
        <v>7363</v>
      </c>
      <c r="G6602" s="4" t="str">
        <f>HYPERLINK("https://diaocthongthai.com/xa-tra-tan-bac-tra-my/","Xã Trà Tân")</f>
        <v>Xã Trà Tân</v>
      </c>
    </row>
    <row r="6603" spans="1:7" x14ac:dyDescent="0.25">
      <c r="A6603" s="2">
        <v>6602</v>
      </c>
      <c r="B6603" s="3" t="s">
        <v>35</v>
      </c>
      <c r="C6603" s="4" t="str">
        <f t="shared" si="532"/>
        <v>Quảng Nam</v>
      </c>
      <c r="D6603" s="3" t="s">
        <v>438</v>
      </c>
      <c r="E6603" s="4" t="str">
        <f t="shared" si="531"/>
        <v>Huyện Bắc Trà My</v>
      </c>
      <c r="F6603" s="3" t="s">
        <v>7364</v>
      </c>
      <c r="G6603" s="4" t="str">
        <f>HYPERLINK("https://diaocthongthai.com/xa-tra-giac-bac-tra-my/","Xã Trà Giác")</f>
        <v>Xã Trà Giác</v>
      </c>
    </row>
    <row r="6604" spans="1:7" x14ac:dyDescent="0.25">
      <c r="A6604" s="2">
        <v>6603</v>
      </c>
      <c r="B6604" s="3" t="s">
        <v>35</v>
      </c>
      <c r="C6604" s="4" t="str">
        <f t="shared" si="532"/>
        <v>Quảng Nam</v>
      </c>
      <c r="D6604" s="3" t="s">
        <v>438</v>
      </c>
      <c r="E6604" s="4" t="str">
        <f t="shared" si="531"/>
        <v>Huyện Bắc Trà My</v>
      </c>
      <c r="F6604" s="3" t="s">
        <v>7365</v>
      </c>
      <c r="G6604" s="4" t="str">
        <f>HYPERLINK("https://diaocthongthai.com/xa-tra-giap-bac-tra-my/","Xã Trà Giáp")</f>
        <v>Xã Trà Giáp</v>
      </c>
    </row>
    <row r="6605" spans="1:7" x14ac:dyDescent="0.25">
      <c r="A6605" s="2">
        <v>6604</v>
      </c>
      <c r="B6605" s="3" t="s">
        <v>35</v>
      </c>
      <c r="C6605" s="4" t="str">
        <f t="shared" si="532"/>
        <v>Quảng Nam</v>
      </c>
      <c r="D6605" s="3" t="s">
        <v>438</v>
      </c>
      <c r="E6605" s="4" t="str">
        <f t="shared" si="531"/>
        <v>Huyện Bắc Trà My</v>
      </c>
      <c r="F6605" s="3" t="s">
        <v>7366</v>
      </c>
      <c r="G6605" s="4" t="str">
        <f>HYPERLINK("https://diaocthongthai.com/xa-tra-ka-bac-tra-my/","Xã Trà Ka")</f>
        <v>Xã Trà Ka</v>
      </c>
    </row>
    <row r="6606" spans="1:7" x14ac:dyDescent="0.25">
      <c r="A6606" s="2">
        <v>6605</v>
      </c>
      <c r="B6606" s="3" t="s">
        <v>35</v>
      </c>
      <c r="C6606" s="4" t="str">
        <f t="shared" si="532"/>
        <v>Quảng Nam</v>
      </c>
      <c r="D6606" s="3" t="s">
        <v>439</v>
      </c>
      <c r="E6606" s="4" t="str">
        <f t="shared" ref="E6606:E6615" si="533">HYPERLINK("https://diaocthongthai.com/ban-do-huyen-nam-tra-my-quang-nam/","Huyện Nam Trà My")</f>
        <v>Huyện Nam Trà My</v>
      </c>
      <c r="F6606" s="3" t="s">
        <v>7367</v>
      </c>
      <c r="G6606" s="4" t="str">
        <f>HYPERLINK("https://diaocthongthai.com/xa-tra-leng-nam-tra-my/","Xã Trà Leng")</f>
        <v>Xã Trà Leng</v>
      </c>
    </row>
    <row r="6607" spans="1:7" x14ac:dyDescent="0.25">
      <c r="A6607" s="2">
        <v>6606</v>
      </c>
      <c r="B6607" s="3" t="s">
        <v>35</v>
      </c>
      <c r="C6607" s="4" t="str">
        <f t="shared" si="532"/>
        <v>Quảng Nam</v>
      </c>
      <c r="D6607" s="3" t="s">
        <v>439</v>
      </c>
      <c r="E6607" s="4" t="str">
        <f t="shared" si="533"/>
        <v>Huyện Nam Trà My</v>
      </c>
      <c r="F6607" s="3" t="s">
        <v>7368</v>
      </c>
      <c r="G6607" s="4" t="str">
        <f>HYPERLINK("https://diaocthongthai.com/xa-tra-don-2-nam-tra-my/","Xã Trà Dơn")</f>
        <v>Xã Trà Dơn</v>
      </c>
    </row>
    <row r="6608" spans="1:7" x14ac:dyDescent="0.25">
      <c r="A6608" s="2">
        <v>6607</v>
      </c>
      <c r="B6608" s="3" t="s">
        <v>35</v>
      </c>
      <c r="C6608" s="4" t="str">
        <f t="shared" si="532"/>
        <v>Quảng Nam</v>
      </c>
      <c r="D6608" s="3" t="s">
        <v>439</v>
      </c>
      <c r="E6608" s="4" t="str">
        <f t="shared" si="533"/>
        <v>Huyện Nam Trà My</v>
      </c>
      <c r="F6608" s="3" t="s">
        <v>7369</v>
      </c>
      <c r="G6608" s="4" t="str">
        <f>HYPERLINK("https://diaocthongthai.com/xa-tra-tap-nam-tra-my/","Xã Trà Tập")</f>
        <v>Xã Trà Tập</v>
      </c>
    </row>
    <row r="6609" spans="1:7" x14ac:dyDescent="0.25">
      <c r="A6609" s="2">
        <v>6608</v>
      </c>
      <c r="B6609" s="3" t="s">
        <v>35</v>
      </c>
      <c r="C6609" s="4" t="str">
        <f t="shared" si="532"/>
        <v>Quảng Nam</v>
      </c>
      <c r="D6609" s="3" t="s">
        <v>439</v>
      </c>
      <c r="E6609" s="4" t="str">
        <f t="shared" si="533"/>
        <v>Huyện Nam Trà My</v>
      </c>
      <c r="F6609" s="3" t="s">
        <v>7370</v>
      </c>
      <c r="G6609" s="4" t="str">
        <f>HYPERLINK("https://diaocthongthai.com/xa-tra-mai-nam-tra-my/","Xã Trà Mai")</f>
        <v>Xã Trà Mai</v>
      </c>
    </row>
    <row r="6610" spans="1:7" x14ac:dyDescent="0.25">
      <c r="A6610" s="2">
        <v>6609</v>
      </c>
      <c r="B6610" s="3" t="s">
        <v>35</v>
      </c>
      <c r="C6610" s="4" t="str">
        <f t="shared" si="532"/>
        <v>Quảng Nam</v>
      </c>
      <c r="D6610" s="3" t="s">
        <v>439</v>
      </c>
      <c r="E6610" s="4" t="str">
        <f t="shared" si="533"/>
        <v>Huyện Nam Trà My</v>
      </c>
      <c r="F6610" s="3" t="s">
        <v>7371</v>
      </c>
      <c r="G6610" s="4" t="str">
        <f>HYPERLINK("https://diaocthongthai.com/xa-tra-cang-nam-tra-my/","Xã Trà Cang")</f>
        <v>Xã Trà Cang</v>
      </c>
    </row>
    <row r="6611" spans="1:7" x14ac:dyDescent="0.25">
      <c r="A6611" s="2">
        <v>6610</v>
      </c>
      <c r="B6611" s="3" t="s">
        <v>35</v>
      </c>
      <c r="C6611" s="4" t="str">
        <f t="shared" si="532"/>
        <v>Quảng Nam</v>
      </c>
      <c r="D6611" s="3" t="s">
        <v>439</v>
      </c>
      <c r="E6611" s="4" t="str">
        <f t="shared" si="533"/>
        <v>Huyện Nam Trà My</v>
      </c>
      <c r="F6611" s="3" t="s">
        <v>7372</v>
      </c>
      <c r="G6611" s="4" t="str">
        <f>HYPERLINK("https://diaocthongthai.com/xa-tra-linh-nam-tra-my/","Xã Trà Linh")</f>
        <v>Xã Trà Linh</v>
      </c>
    </row>
    <row r="6612" spans="1:7" x14ac:dyDescent="0.25">
      <c r="A6612" s="2">
        <v>6611</v>
      </c>
      <c r="B6612" s="3" t="s">
        <v>35</v>
      </c>
      <c r="C6612" s="4" t="str">
        <f t="shared" si="532"/>
        <v>Quảng Nam</v>
      </c>
      <c r="D6612" s="3" t="s">
        <v>439</v>
      </c>
      <c r="E6612" s="4" t="str">
        <f t="shared" si="533"/>
        <v>Huyện Nam Trà My</v>
      </c>
      <c r="F6612" s="3" t="s">
        <v>7373</v>
      </c>
      <c r="G6612" s="4" t="str">
        <f>HYPERLINK("https://diaocthongthai.com/xa-tra-nam-nam-tra-my/","Xã Trà Nam")</f>
        <v>Xã Trà Nam</v>
      </c>
    </row>
    <row r="6613" spans="1:7" x14ac:dyDescent="0.25">
      <c r="A6613" s="2">
        <v>6612</v>
      </c>
      <c r="B6613" s="3" t="s">
        <v>35</v>
      </c>
      <c r="C6613" s="4" t="str">
        <f t="shared" si="532"/>
        <v>Quảng Nam</v>
      </c>
      <c r="D6613" s="3" t="s">
        <v>439</v>
      </c>
      <c r="E6613" s="4" t="str">
        <f t="shared" si="533"/>
        <v>Huyện Nam Trà My</v>
      </c>
      <c r="F6613" s="3" t="s">
        <v>7374</v>
      </c>
      <c r="G6613" s="4" t="str">
        <f>HYPERLINK("https://diaocthongthai.com/xa-tra-don-1-nam-tra-my/","Xã Trà Don")</f>
        <v>Xã Trà Don</v>
      </c>
    </row>
    <row r="6614" spans="1:7" x14ac:dyDescent="0.25">
      <c r="A6614" s="2">
        <v>6613</v>
      </c>
      <c r="B6614" s="3" t="s">
        <v>35</v>
      </c>
      <c r="C6614" s="4" t="str">
        <f t="shared" si="532"/>
        <v>Quảng Nam</v>
      </c>
      <c r="D6614" s="3" t="s">
        <v>439</v>
      </c>
      <c r="E6614" s="4" t="str">
        <f t="shared" si="533"/>
        <v>Huyện Nam Trà My</v>
      </c>
      <c r="F6614" s="3" t="s">
        <v>7375</v>
      </c>
      <c r="G6614" s="4" t="str">
        <f>HYPERLINK("https://diaocthongthai.com/xa-tra-van-nam-tra-my/","Xã Trà Vân")</f>
        <v>Xã Trà Vân</v>
      </c>
    </row>
    <row r="6615" spans="1:7" x14ac:dyDescent="0.25">
      <c r="A6615" s="2">
        <v>6614</v>
      </c>
      <c r="B6615" s="3" t="s">
        <v>35</v>
      </c>
      <c r="C6615" s="4" t="str">
        <f t="shared" si="532"/>
        <v>Quảng Nam</v>
      </c>
      <c r="D6615" s="3" t="s">
        <v>439</v>
      </c>
      <c r="E6615" s="4" t="str">
        <f t="shared" si="533"/>
        <v>Huyện Nam Trà My</v>
      </c>
      <c r="F6615" s="3" t="s">
        <v>7376</v>
      </c>
      <c r="G6615" s="4" t="str">
        <f>HYPERLINK("https://diaocthongthai.com/xa-tra-vinh-nam-tra-my/","Xã Trà Vinh")</f>
        <v>Xã Trà Vinh</v>
      </c>
    </row>
    <row r="6616" spans="1:7" x14ac:dyDescent="0.25">
      <c r="A6616" s="2">
        <v>6615</v>
      </c>
      <c r="B6616" s="3" t="s">
        <v>35</v>
      </c>
      <c r="C6616" s="4" t="str">
        <f t="shared" si="532"/>
        <v>Quảng Nam</v>
      </c>
      <c r="D6616" s="3" t="s">
        <v>440</v>
      </c>
      <c r="E6616" s="4" t="str">
        <f t="shared" ref="E6616:E6632" si="534">HYPERLINK("https://diaocthongthai.com/ban-do-huyen-nui-thanh-quang-nam/","Huyện Núi Thành")</f>
        <v>Huyện Núi Thành</v>
      </c>
      <c r="F6616" s="3" t="s">
        <v>7377</v>
      </c>
      <c r="G6616" s="4" t="str">
        <f>HYPERLINK("https://diaocthongthai.com/thi-tran-nui-thanh-nui-thanh/","Thị trấn Núi Thành")</f>
        <v>Thị trấn Núi Thành</v>
      </c>
    </row>
    <row r="6617" spans="1:7" x14ac:dyDescent="0.25">
      <c r="A6617" s="2">
        <v>6616</v>
      </c>
      <c r="B6617" s="3" t="s">
        <v>35</v>
      </c>
      <c r="C6617" s="4" t="str">
        <f t="shared" si="532"/>
        <v>Quảng Nam</v>
      </c>
      <c r="D6617" s="3" t="s">
        <v>440</v>
      </c>
      <c r="E6617" s="4" t="str">
        <f t="shared" si="534"/>
        <v>Huyện Núi Thành</v>
      </c>
      <c r="F6617" s="3" t="s">
        <v>7378</v>
      </c>
      <c r="G6617" s="4" t="str">
        <f>HYPERLINK("https://diaocthongthai.com/xa-tam-xuan-i-nui-thanh/","Xã Tam Xuân I")</f>
        <v>Xã Tam Xuân I</v>
      </c>
    </row>
    <row r="6618" spans="1:7" x14ac:dyDescent="0.25">
      <c r="A6618" s="2">
        <v>6617</v>
      </c>
      <c r="B6618" s="3" t="s">
        <v>35</v>
      </c>
      <c r="C6618" s="4" t="str">
        <f t="shared" si="532"/>
        <v>Quảng Nam</v>
      </c>
      <c r="D6618" s="3" t="s">
        <v>440</v>
      </c>
      <c r="E6618" s="4" t="str">
        <f t="shared" si="534"/>
        <v>Huyện Núi Thành</v>
      </c>
      <c r="F6618" s="3" t="s">
        <v>7379</v>
      </c>
      <c r="G6618" s="4" t="str">
        <f>HYPERLINK("https://diaocthongthai.com/xa-tam-xuan-ii-nui-thanh/","Xã Tam Xuân II")</f>
        <v>Xã Tam Xuân II</v>
      </c>
    </row>
    <row r="6619" spans="1:7" x14ac:dyDescent="0.25">
      <c r="A6619" s="2">
        <v>6618</v>
      </c>
      <c r="B6619" s="3" t="s">
        <v>35</v>
      </c>
      <c r="C6619" s="4" t="str">
        <f t="shared" si="532"/>
        <v>Quảng Nam</v>
      </c>
      <c r="D6619" s="3" t="s">
        <v>440</v>
      </c>
      <c r="E6619" s="4" t="str">
        <f t="shared" si="534"/>
        <v>Huyện Núi Thành</v>
      </c>
      <c r="F6619" s="3" t="s">
        <v>7380</v>
      </c>
      <c r="G6619" s="4" t="str">
        <f>HYPERLINK("https://diaocthongthai.com/xa-tam-tien-nui-thanh/","Xã Tam Tiến")</f>
        <v>Xã Tam Tiến</v>
      </c>
    </row>
    <row r="6620" spans="1:7" x14ac:dyDescent="0.25">
      <c r="A6620" s="2">
        <v>6619</v>
      </c>
      <c r="B6620" s="3" t="s">
        <v>35</v>
      </c>
      <c r="C6620" s="4" t="str">
        <f t="shared" si="532"/>
        <v>Quảng Nam</v>
      </c>
      <c r="D6620" s="3" t="s">
        <v>440</v>
      </c>
      <c r="E6620" s="4" t="str">
        <f t="shared" si="534"/>
        <v>Huyện Núi Thành</v>
      </c>
      <c r="F6620" s="3" t="s">
        <v>7381</v>
      </c>
      <c r="G6620" s="4" t="str">
        <f>HYPERLINK("https://diaocthongthai.com/xa-tam-son-nui-thanh/","Xã Tam Sơn")</f>
        <v>Xã Tam Sơn</v>
      </c>
    </row>
    <row r="6621" spans="1:7" x14ac:dyDescent="0.25">
      <c r="A6621" s="2">
        <v>6620</v>
      </c>
      <c r="B6621" s="3" t="s">
        <v>35</v>
      </c>
      <c r="C6621" s="4" t="str">
        <f t="shared" si="532"/>
        <v>Quảng Nam</v>
      </c>
      <c r="D6621" s="3" t="s">
        <v>440</v>
      </c>
      <c r="E6621" s="4" t="str">
        <f t="shared" si="534"/>
        <v>Huyện Núi Thành</v>
      </c>
      <c r="F6621" s="3" t="s">
        <v>7382</v>
      </c>
      <c r="G6621" s="4" t="str">
        <f>HYPERLINK("https://diaocthongthai.com/xa-tam-thanh-nui-thanh/","Xã Tam Thạnh")</f>
        <v>Xã Tam Thạnh</v>
      </c>
    </row>
    <row r="6622" spans="1:7" x14ac:dyDescent="0.25">
      <c r="A6622" s="2">
        <v>6621</v>
      </c>
      <c r="B6622" s="3" t="s">
        <v>35</v>
      </c>
      <c r="C6622" s="4" t="str">
        <f t="shared" si="532"/>
        <v>Quảng Nam</v>
      </c>
      <c r="D6622" s="3" t="s">
        <v>440</v>
      </c>
      <c r="E6622" s="4" t="str">
        <f t="shared" si="534"/>
        <v>Huyện Núi Thành</v>
      </c>
      <c r="F6622" s="3" t="s">
        <v>7383</v>
      </c>
      <c r="G6622" s="4" t="str">
        <f>HYPERLINK("https://diaocthongthai.com/xa-tam-anh-bac-nui-thanh/","Xã Tam Anh Bắc")</f>
        <v>Xã Tam Anh Bắc</v>
      </c>
    </row>
    <row r="6623" spans="1:7" x14ac:dyDescent="0.25">
      <c r="A6623" s="2">
        <v>6622</v>
      </c>
      <c r="B6623" s="3" t="s">
        <v>35</v>
      </c>
      <c r="C6623" s="4" t="str">
        <f t="shared" si="532"/>
        <v>Quảng Nam</v>
      </c>
      <c r="D6623" s="3" t="s">
        <v>440</v>
      </c>
      <c r="E6623" s="4" t="str">
        <f t="shared" si="534"/>
        <v>Huyện Núi Thành</v>
      </c>
      <c r="F6623" s="3" t="s">
        <v>7384</v>
      </c>
      <c r="G6623" s="4" t="str">
        <f>HYPERLINK("https://diaocthongthai.com/xa-tam-anh-nam-nui-thanh/","Xã Tam Anh Nam")</f>
        <v>Xã Tam Anh Nam</v>
      </c>
    </row>
    <row r="6624" spans="1:7" x14ac:dyDescent="0.25">
      <c r="A6624" s="2">
        <v>6623</v>
      </c>
      <c r="B6624" s="3" t="s">
        <v>35</v>
      </c>
      <c r="C6624" s="4" t="str">
        <f t="shared" si="532"/>
        <v>Quảng Nam</v>
      </c>
      <c r="D6624" s="3" t="s">
        <v>440</v>
      </c>
      <c r="E6624" s="4" t="str">
        <f t="shared" si="534"/>
        <v>Huyện Núi Thành</v>
      </c>
      <c r="F6624" s="3" t="s">
        <v>7385</v>
      </c>
      <c r="G6624" s="4" t="str">
        <f>HYPERLINK("https://diaocthongthai.com/xa-tam-hoa-nui-thanh/","Xã Tam Hòa")</f>
        <v>Xã Tam Hòa</v>
      </c>
    </row>
    <row r="6625" spans="1:7" x14ac:dyDescent="0.25">
      <c r="A6625" s="2">
        <v>6624</v>
      </c>
      <c r="B6625" s="3" t="s">
        <v>35</v>
      </c>
      <c r="C6625" s="4" t="str">
        <f t="shared" si="532"/>
        <v>Quảng Nam</v>
      </c>
      <c r="D6625" s="3" t="s">
        <v>440</v>
      </c>
      <c r="E6625" s="4" t="str">
        <f t="shared" si="534"/>
        <v>Huyện Núi Thành</v>
      </c>
      <c r="F6625" s="3" t="s">
        <v>7386</v>
      </c>
      <c r="G6625" s="4" t="str">
        <f>HYPERLINK("https://diaocthongthai.com/xa-tam-hiep-nui-thanh/","Xã Tam Hiệp")</f>
        <v>Xã Tam Hiệp</v>
      </c>
    </row>
    <row r="6626" spans="1:7" x14ac:dyDescent="0.25">
      <c r="A6626" s="2">
        <v>6625</v>
      </c>
      <c r="B6626" s="3" t="s">
        <v>35</v>
      </c>
      <c r="C6626" s="4" t="str">
        <f t="shared" si="532"/>
        <v>Quảng Nam</v>
      </c>
      <c r="D6626" s="3" t="s">
        <v>440</v>
      </c>
      <c r="E6626" s="4" t="str">
        <f t="shared" si="534"/>
        <v>Huyện Núi Thành</v>
      </c>
      <c r="F6626" s="3" t="s">
        <v>7387</v>
      </c>
      <c r="G6626" s="4" t="str">
        <f>HYPERLINK("https://diaocthongthai.com/xa-tam-hai-nui-thanh/","Xã Tam Hải")</f>
        <v>Xã Tam Hải</v>
      </c>
    </row>
    <row r="6627" spans="1:7" x14ac:dyDescent="0.25">
      <c r="A6627" s="2">
        <v>6626</v>
      </c>
      <c r="B6627" s="3" t="s">
        <v>35</v>
      </c>
      <c r="C6627" s="4" t="str">
        <f t="shared" si="532"/>
        <v>Quảng Nam</v>
      </c>
      <c r="D6627" s="3" t="s">
        <v>440</v>
      </c>
      <c r="E6627" s="4" t="str">
        <f t="shared" si="534"/>
        <v>Huyện Núi Thành</v>
      </c>
      <c r="F6627" s="3" t="s">
        <v>7388</v>
      </c>
      <c r="G6627" s="4" t="str">
        <f>HYPERLINK("https://diaocthongthai.com/xa-tam-giang-nui-thanh/","Xã Tam Giang")</f>
        <v>Xã Tam Giang</v>
      </c>
    </row>
    <row r="6628" spans="1:7" x14ac:dyDescent="0.25">
      <c r="A6628" s="2">
        <v>6627</v>
      </c>
      <c r="B6628" s="3" t="s">
        <v>35</v>
      </c>
      <c r="C6628" s="4" t="str">
        <f t="shared" si="532"/>
        <v>Quảng Nam</v>
      </c>
      <c r="D6628" s="3" t="s">
        <v>440</v>
      </c>
      <c r="E6628" s="4" t="str">
        <f t="shared" si="534"/>
        <v>Huyện Núi Thành</v>
      </c>
      <c r="F6628" s="3" t="s">
        <v>7389</v>
      </c>
      <c r="G6628" s="4" t="str">
        <f>HYPERLINK("https://diaocthongthai.com/xa-tam-quang-nui-thanh/","Xã Tam Quang")</f>
        <v>Xã Tam Quang</v>
      </c>
    </row>
    <row r="6629" spans="1:7" x14ac:dyDescent="0.25">
      <c r="A6629" s="2">
        <v>6628</v>
      </c>
      <c r="B6629" s="3" t="s">
        <v>35</v>
      </c>
      <c r="C6629" s="4" t="str">
        <f t="shared" si="532"/>
        <v>Quảng Nam</v>
      </c>
      <c r="D6629" s="3" t="s">
        <v>440</v>
      </c>
      <c r="E6629" s="4" t="str">
        <f t="shared" si="534"/>
        <v>Huyện Núi Thành</v>
      </c>
      <c r="F6629" s="3" t="s">
        <v>7390</v>
      </c>
      <c r="G6629" s="4" t="str">
        <f>HYPERLINK("https://diaocthongthai.com/xa-tam-nghia-nui-thanh/","Xã Tam Nghĩa")</f>
        <v>Xã Tam Nghĩa</v>
      </c>
    </row>
    <row r="6630" spans="1:7" x14ac:dyDescent="0.25">
      <c r="A6630" s="2">
        <v>6629</v>
      </c>
      <c r="B6630" s="3" t="s">
        <v>35</v>
      </c>
      <c r="C6630" s="4" t="str">
        <f t="shared" si="532"/>
        <v>Quảng Nam</v>
      </c>
      <c r="D6630" s="3" t="s">
        <v>440</v>
      </c>
      <c r="E6630" s="4" t="str">
        <f t="shared" si="534"/>
        <v>Huyện Núi Thành</v>
      </c>
      <c r="F6630" s="3" t="s">
        <v>7391</v>
      </c>
      <c r="G6630" s="4" t="str">
        <f>HYPERLINK("https://diaocthongthai.com/xa-tam-my-tay-nui-thanh/","Xã Tam Mỹ Tây")</f>
        <v>Xã Tam Mỹ Tây</v>
      </c>
    </row>
    <row r="6631" spans="1:7" x14ac:dyDescent="0.25">
      <c r="A6631" s="2">
        <v>6630</v>
      </c>
      <c r="B6631" s="3" t="s">
        <v>35</v>
      </c>
      <c r="C6631" s="4" t="str">
        <f t="shared" si="532"/>
        <v>Quảng Nam</v>
      </c>
      <c r="D6631" s="3" t="s">
        <v>440</v>
      </c>
      <c r="E6631" s="4" t="str">
        <f t="shared" si="534"/>
        <v>Huyện Núi Thành</v>
      </c>
      <c r="F6631" s="3" t="s">
        <v>7392</v>
      </c>
      <c r="G6631" s="4" t="str">
        <f>HYPERLINK("https://diaocthongthai.com/xa-tam-my-dong-nui-thanh/","Xã Tam Mỹ Đông")</f>
        <v>Xã Tam Mỹ Đông</v>
      </c>
    </row>
    <row r="6632" spans="1:7" x14ac:dyDescent="0.25">
      <c r="A6632" s="2">
        <v>6631</v>
      </c>
      <c r="B6632" s="3" t="s">
        <v>35</v>
      </c>
      <c r="C6632" s="4" t="str">
        <f t="shared" si="532"/>
        <v>Quảng Nam</v>
      </c>
      <c r="D6632" s="3" t="s">
        <v>440</v>
      </c>
      <c r="E6632" s="4" t="str">
        <f t="shared" si="534"/>
        <v>Huyện Núi Thành</v>
      </c>
      <c r="F6632" s="3" t="s">
        <v>7393</v>
      </c>
      <c r="G6632" s="4" t="str">
        <f>HYPERLINK("https://diaocthongthai.com/xa-tam-tra-nui-thanh/","Xã Tam Trà")</f>
        <v>Xã Tam Trà</v>
      </c>
    </row>
    <row r="6633" spans="1:7" x14ac:dyDescent="0.25">
      <c r="A6633" s="2">
        <v>6632</v>
      </c>
      <c r="B6633" s="3" t="s">
        <v>35</v>
      </c>
      <c r="C6633" s="4" t="str">
        <f t="shared" si="532"/>
        <v>Quảng Nam</v>
      </c>
      <c r="D6633" s="3" t="s">
        <v>441</v>
      </c>
      <c r="E6633" s="4" t="str">
        <f t="shared" ref="E6633:E6643" si="535">HYPERLINK("https://diaocthongthai.com/ban-do-huyen-phu-ninh-quang-nam/","Huyện Phú Ninh")</f>
        <v>Huyện Phú Ninh</v>
      </c>
      <c r="F6633" s="3" t="s">
        <v>7394</v>
      </c>
      <c r="G6633" s="4" t="str">
        <f>HYPERLINK("https://diaocthongthai.com/thi-tran-phu-thinh-phu-ninh-quang-nam/","Thị trấn Phú Thịnh")</f>
        <v>Thị trấn Phú Thịnh</v>
      </c>
    </row>
    <row r="6634" spans="1:7" x14ac:dyDescent="0.25">
      <c r="A6634" s="2">
        <v>6633</v>
      </c>
      <c r="B6634" s="3" t="s">
        <v>35</v>
      </c>
      <c r="C6634" s="4" t="str">
        <f t="shared" si="532"/>
        <v>Quảng Nam</v>
      </c>
      <c r="D6634" s="3" t="s">
        <v>441</v>
      </c>
      <c r="E6634" s="4" t="str">
        <f t="shared" si="535"/>
        <v>Huyện Phú Ninh</v>
      </c>
      <c r="F6634" s="3" t="s">
        <v>7395</v>
      </c>
      <c r="G6634" s="4" t="str">
        <f>HYPERLINK("https://diaocthongthai.com/xa-tam-thanh-phu-ninh-quang-nam/","Xã Tam Thành")</f>
        <v>Xã Tam Thành</v>
      </c>
    </row>
    <row r="6635" spans="1:7" x14ac:dyDescent="0.25">
      <c r="A6635" s="2">
        <v>6634</v>
      </c>
      <c r="B6635" s="3" t="s">
        <v>35</v>
      </c>
      <c r="C6635" s="4" t="str">
        <f t="shared" si="532"/>
        <v>Quảng Nam</v>
      </c>
      <c r="D6635" s="3" t="s">
        <v>441</v>
      </c>
      <c r="E6635" s="4" t="str">
        <f t="shared" si="535"/>
        <v>Huyện Phú Ninh</v>
      </c>
      <c r="F6635" s="3" t="s">
        <v>7396</v>
      </c>
      <c r="G6635" s="4" t="str">
        <f>HYPERLINK("https://diaocthongthai.com/xa-tam-an-phu-ninh-quang-nam/","Xã Tam An")</f>
        <v>Xã Tam An</v>
      </c>
    </row>
    <row r="6636" spans="1:7" x14ac:dyDescent="0.25">
      <c r="A6636" s="2">
        <v>6635</v>
      </c>
      <c r="B6636" s="3" t="s">
        <v>35</v>
      </c>
      <c r="C6636" s="4" t="str">
        <f t="shared" si="532"/>
        <v>Quảng Nam</v>
      </c>
      <c r="D6636" s="3" t="s">
        <v>441</v>
      </c>
      <c r="E6636" s="4" t="str">
        <f t="shared" si="535"/>
        <v>Huyện Phú Ninh</v>
      </c>
      <c r="F6636" s="3" t="s">
        <v>7397</v>
      </c>
      <c r="G6636" s="4" t="str">
        <f>HYPERLINK("https://diaocthongthai.com/xa-tam-dan-2-phu-ninh-quang-nam/","Xã Tam Đàn")</f>
        <v>Xã Tam Đàn</v>
      </c>
    </row>
    <row r="6637" spans="1:7" x14ac:dyDescent="0.25">
      <c r="A6637" s="2">
        <v>6636</v>
      </c>
      <c r="B6637" s="3" t="s">
        <v>35</v>
      </c>
      <c r="C6637" s="4" t="str">
        <f t="shared" si="532"/>
        <v>Quảng Nam</v>
      </c>
      <c r="D6637" s="3" t="s">
        <v>441</v>
      </c>
      <c r="E6637" s="4" t="str">
        <f t="shared" si="535"/>
        <v>Huyện Phú Ninh</v>
      </c>
      <c r="F6637" s="3" t="s">
        <v>7398</v>
      </c>
      <c r="G6637" s="4" t="str">
        <f>HYPERLINK("https://diaocthongthai.com/xa-tam-loc-phu-ninh-quang-nam/","Xã Tam Lộc")</f>
        <v>Xã Tam Lộc</v>
      </c>
    </row>
    <row r="6638" spans="1:7" x14ac:dyDescent="0.25">
      <c r="A6638" s="2">
        <v>6637</v>
      </c>
      <c r="B6638" s="3" t="s">
        <v>35</v>
      </c>
      <c r="C6638" s="4" t="str">
        <f t="shared" si="532"/>
        <v>Quảng Nam</v>
      </c>
      <c r="D6638" s="3" t="s">
        <v>441</v>
      </c>
      <c r="E6638" s="4" t="str">
        <f t="shared" si="535"/>
        <v>Huyện Phú Ninh</v>
      </c>
      <c r="F6638" s="3" t="s">
        <v>7399</v>
      </c>
      <c r="G6638" s="4" t="str">
        <f>HYPERLINK("https://diaocthongthai.com/xa-tam-phuoc-phu-ninh-quang-nam/","Xã Tam Phước")</f>
        <v>Xã Tam Phước</v>
      </c>
    </row>
    <row r="6639" spans="1:7" x14ac:dyDescent="0.25">
      <c r="A6639" s="2">
        <v>6638</v>
      </c>
      <c r="B6639" s="3" t="s">
        <v>35</v>
      </c>
      <c r="C6639" s="4" t="str">
        <f t="shared" si="532"/>
        <v>Quảng Nam</v>
      </c>
      <c r="D6639" s="3" t="s">
        <v>441</v>
      </c>
      <c r="E6639" s="4" t="str">
        <f t="shared" si="535"/>
        <v>Huyện Phú Ninh</v>
      </c>
      <c r="F6639" s="3" t="s">
        <v>7400</v>
      </c>
      <c r="G6639" s="4" t="str">
        <f>HYPERLINK("https://diaocthongthai.com/xa-tam-vinh-phu-ninh-quang-nam/","Xã Tam Vinh")</f>
        <v>Xã Tam Vinh</v>
      </c>
    </row>
    <row r="6640" spans="1:7" x14ac:dyDescent="0.25">
      <c r="A6640" s="2">
        <v>6639</v>
      </c>
      <c r="B6640" s="3" t="s">
        <v>35</v>
      </c>
      <c r="C6640" s="4" t="str">
        <f t="shared" si="532"/>
        <v>Quảng Nam</v>
      </c>
      <c r="D6640" s="3" t="s">
        <v>441</v>
      </c>
      <c r="E6640" s="4" t="str">
        <f t="shared" si="535"/>
        <v>Huyện Phú Ninh</v>
      </c>
      <c r="F6640" s="3" t="s">
        <v>7401</v>
      </c>
      <c r="G6640" s="4" t="str">
        <f>HYPERLINK("https://diaocthongthai.com/xa-tam-thai-phu-ninh-quang-nam/","Xã Tam Thái")</f>
        <v>Xã Tam Thái</v>
      </c>
    </row>
    <row r="6641" spans="1:7" x14ac:dyDescent="0.25">
      <c r="A6641" s="2">
        <v>6640</v>
      </c>
      <c r="B6641" s="3" t="s">
        <v>35</v>
      </c>
      <c r="C6641" s="4" t="str">
        <f t="shared" si="532"/>
        <v>Quảng Nam</v>
      </c>
      <c r="D6641" s="3" t="s">
        <v>441</v>
      </c>
      <c r="E6641" s="4" t="str">
        <f t="shared" si="535"/>
        <v>Huyện Phú Ninh</v>
      </c>
      <c r="F6641" s="3" t="s">
        <v>7402</v>
      </c>
      <c r="G6641" s="4" t="str">
        <f>HYPERLINK("https://diaocthongthai.com/xa-tam-dai-phu-ninh-quang-nam/","Xã Tam Đại")</f>
        <v>Xã Tam Đại</v>
      </c>
    </row>
    <row r="6642" spans="1:7" x14ac:dyDescent="0.25">
      <c r="A6642" s="2">
        <v>6641</v>
      </c>
      <c r="B6642" s="3" t="s">
        <v>35</v>
      </c>
      <c r="C6642" s="4" t="str">
        <f t="shared" si="532"/>
        <v>Quảng Nam</v>
      </c>
      <c r="D6642" s="3" t="s">
        <v>441</v>
      </c>
      <c r="E6642" s="4" t="str">
        <f t="shared" si="535"/>
        <v>Huyện Phú Ninh</v>
      </c>
      <c r="F6642" s="3" t="s">
        <v>7403</v>
      </c>
      <c r="G6642" s="4" t="str">
        <f>HYPERLINK("https://diaocthongthai.com/xa-tam-dan-1-phu-ninh-quang-nam/","Xã Tam Dân")</f>
        <v>Xã Tam Dân</v>
      </c>
    </row>
    <row r="6643" spans="1:7" x14ac:dyDescent="0.25">
      <c r="A6643" s="2">
        <v>6642</v>
      </c>
      <c r="B6643" s="3" t="s">
        <v>35</v>
      </c>
      <c r="C6643" s="4" t="str">
        <f t="shared" si="532"/>
        <v>Quảng Nam</v>
      </c>
      <c r="D6643" s="3" t="s">
        <v>441</v>
      </c>
      <c r="E6643" s="4" t="str">
        <f t="shared" si="535"/>
        <v>Huyện Phú Ninh</v>
      </c>
      <c r="F6643" s="3" t="s">
        <v>7404</v>
      </c>
      <c r="G6643" s="4" t="str">
        <f>HYPERLINK("https://diaocthongthai.com/xa-tam-lanh-phu-ninh-quang-nam/","Xã Tam Lãnh")</f>
        <v>Xã Tam Lãnh</v>
      </c>
    </row>
    <row r="6644" spans="1:7" x14ac:dyDescent="0.25">
      <c r="A6644" s="2">
        <v>6643</v>
      </c>
      <c r="B6644" s="3" t="s">
        <v>35</v>
      </c>
      <c r="C6644" s="4" t="str">
        <f t="shared" si="532"/>
        <v>Quảng Nam</v>
      </c>
      <c r="D6644" s="3" t="s">
        <v>442</v>
      </c>
      <c r="E6644" s="4" t="str">
        <f t="shared" ref="E6644:E6649" si="536">HYPERLINK("https://diaocthongthai.com/ban-do-huyen-nong-son-quang-nam/","Huyện Nông Sơn")</f>
        <v>Huyện Nông Sơn</v>
      </c>
      <c r="F6644" s="3" t="s">
        <v>7405</v>
      </c>
      <c r="G6644" s="4" t="str">
        <f>HYPERLINK("https://diaocthongthai.com/xa-que-trung-nong-son/","Xã Quế Trung")</f>
        <v>Xã Quế Trung</v>
      </c>
    </row>
    <row r="6645" spans="1:7" x14ac:dyDescent="0.25">
      <c r="A6645" s="2">
        <v>6644</v>
      </c>
      <c r="B6645" s="3" t="s">
        <v>35</v>
      </c>
      <c r="C6645" s="4" t="str">
        <f t="shared" si="532"/>
        <v>Quảng Nam</v>
      </c>
      <c r="D6645" s="3" t="s">
        <v>442</v>
      </c>
      <c r="E6645" s="4" t="str">
        <f t="shared" si="536"/>
        <v>Huyện Nông Sơn</v>
      </c>
      <c r="F6645" s="3" t="s">
        <v>7406</v>
      </c>
      <c r="G6645" s="4" t="str">
        <f>HYPERLINK("https://diaocthongthai.com/xa-ninh-phuoc-nong-son/","Xã Ninh Phước")</f>
        <v>Xã Ninh Phước</v>
      </c>
    </row>
    <row r="6646" spans="1:7" x14ac:dyDescent="0.25">
      <c r="A6646" s="2">
        <v>6645</v>
      </c>
      <c r="B6646" s="3" t="s">
        <v>35</v>
      </c>
      <c r="C6646" s="4" t="str">
        <f t="shared" si="532"/>
        <v>Quảng Nam</v>
      </c>
      <c r="D6646" s="3" t="s">
        <v>442</v>
      </c>
      <c r="E6646" s="4" t="str">
        <f t="shared" si="536"/>
        <v>Huyện Nông Sơn</v>
      </c>
      <c r="F6646" s="3" t="s">
        <v>7407</v>
      </c>
      <c r="G6646" s="4" t="str">
        <f>HYPERLINK("https://diaocthongthai.com/xa-phuoc-ninh-nong-son/","Xã Phước Ninh")</f>
        <v>Xã Phước Ninh</v>
      </c>
    </row>
    <row r="6647" spans="1:7" x14ac:dyDescent="0.25">
      <c r="A6647" s="2">
        <v>6646</v>
      </c>
      <c r="B6647" s="3" t="s">
        <v>35</v>
      </c>
      <c r="C6647" s="4" t="str">
        <f t="shared" si="532"/>
        <v>Quảng Nam</v>
      </c>
      <c r="D6647" s="3" t="s">
        <v>442</v>
      </c>
      <c r="E6647" s="4" t="str">
        <f t="shared" si="536"/>
        <v>Huyện Nông Sơn</v>
      </c>
      <c r="F6647" s="3" t="s">
        <v>7408</v>
      </c>
      <c r="G6647" s="4" t="str">
        <f>HYPERLINK("https://diaocthongthai.com/xa-que-loc-nong-son/","Xã Quế Lộc")</f>
        <v>Xã Quế Lộc</v>
      </c>
    </row>
    <row r="6648" spans="1:7" x14ac:dyDescent="0.25">
      <c r="A6648" s="2">
        <v>6647</v>
      </c>
      <c r="B6648" s="3" t="s">
        <v>35</v>
      </c>
      <c r="C6648" s="4" t="str">
        <f t="shared" si="532"/>
        <v>Quảng Nam</v>
      </c>
      <c r="D6648" s="3" t="s">
        <v>442</v>
      </c>
      <c r="E6648" s="4" t="str">
        <f t="shared" si="536"/>
        <v>Huyện Nông Sơn</v>
      </c>
      <c r="F6648" s="3" t="s">
        <v>7409</v>
      </c>
      <c r="G6648" s="4" t="str">
        <f>HYPERLINK("https://diaocthongthai.com/xa-son-vien-nong-son/","Xã Sơn Viên")</f>
        <v>Xã Sơn Viên</v>
      </c>
    </row>
    <row r="6649" spans="1:7" x14ac:dyDescent="0.25">
      <c r="A6649" s="2">
        <v>6648</v>
      </c>
      <c r="B6649" s="3" t="s">
        <v>35</v>
      </c>
      <c r="C6649" s="4" t="str">
        <f t="shared" si="532"/>
        <v>Quảng Nam</v>
      </c>
      <c r="D6649" s="3" t="s">
        <v>442</v>
      </c>
      <c r="E6649" s="4" t="str">
        <f t="shared" si="536"/>
        <v>Huyện Nông Sơn</v>
      </c>
      <c r="F6649" s="3" t="s">
        <v>7410</v>
      </c>
      <c r="G6649" s="4" t="str">
        <f>HYPERLINK("https://diaocthongthai.com/xa-que-lam-nong-son/","Xã Quế Lâm")</f>
        <v>Xã Quế Lâm</v>
      </c>
    </row>
    <row r="6650" spans="1:7" x14ac:dyDescent="0.25">
      <c r="A6650" s="2">
        <v>6649</v>
      </c>
      <c r="B6650" s="3" t="s">
        <v>36</v>
      </c>
      <c r="C6650" s="4" t="str">
        <f t="shared" ref="C6650:C6681" si="537">HYPERLINK("https://diaocthongthai.com/ban-do-quang-ngai/","Quảng Ngãi")</f>
        <v>Quảng Ngãi</v>
      </c>
      <c r="D6650" s="3" t="s">
        <v>443</v>
      </c>
      <c r="E6650" s="4" t="str">
        <f t="shared" ref="E6650:E6672" si="538">HYPERLINK("https://diaocthongthai.com/ban-do-tp-quang-ngai-quang-ngai/","Thành phố Quảng Ngãi")</f>
        <v>Thành phố Quảng Ngãi</v>
      </c>
      <c r="F6650" s="3" t="s">
        <v>7411</v>
      </c>
      <c r="G6650" s="4" t="str">
        <f>HYPERLINK("https://diaocthongthai.com/phuong-le-hong-phong-tp-quang-ngai/","Phường Lê Hồng Phong")</f>
        <v>Phường Lê Hồng Phong</v>
      </c>
    </row>
    <row r="6651" spans="1:7" x14ac:dyDescent="0.25">
      <c r="A6651" s="2">
        <v>6650</v>
      </c>
      <c r="B6651" s="3" t="s">
        <v>36</v>
      </c>
      <c r="C6651" s="4" t="str">
        <f t="shared" si="537"/>
        <v>Quảng Ngãi</v>
      </c>
      <c r="D6651" s="3" t="s">
        <v>443</v>
      </c>
      <c r="E6651" s="4" t="str">
        <f t="shared" si="538"/>
        <v>Thành phố Quảng Ngãi</v>
      </c>
      <c r="F6651" s="3" t="s">
        <v>7412</v>
      </c>
      <c r="G6651" s="4" t="str">
        <f>HYPERLINK("https://diaocthongthai.com/phuong-tran-phu-tp-quang-ngai/","Phường Trần Phú")</f>
        <v>Phường Trần Phú</v>
      </c>
    </row>
    <row r="6652" spans="1:7" x14ac:dyDescent="0.25">
      <c r="A6652" s="2">
        <v>6651</v>
      </c>
      <c r="B6652" s="3" t="s">
        <v>36</v>
      </c>
      <c r="C6652" s="4" t="str">
        <f t="shared" si="537"/>
        <v>Quảng Ngãi</v>
      </c>
      <c r="D6652" s="3" t="s">
        <v>443</v>
      </c>
      <c r="E6652" s="4" t="str">
        <f t="shared" si="538"/>
        <v>Thành phố Quảng Ngãi</v>
      </c>
      <c r="F6652" s="3" t="s">
        <v>7413</v>
      </c>
      <c r="G6652" s="4" t="str">
        <f>HYPERLINK("https://diaocthongthai.com/phuong-quang-phu-tp-quang-ngai/","Phường Quảng Phú")</f>
        <v>Phường Quảng Phú</v>
      </c>
    </row>
    <row r="6653" spans="1:7" x14ac:dyDescent="0.25">
      <c r="A6653" s="2">
        <v>6652</v>
      </c>
      <c r="B6653" s="3" t="s">
        <v>36</v>
      </c>
      <c r="C6653" s="4" t="str">
        <f t="shared" si="537"/>
        <v>Quảng Ngãi</v>
      </c>
      <c r="D6653" s="3" t="s">
        <v>443</v>
      </c>
      <c r="E6653" s="4" t="str">
        <f t="shared" si="538"/>
        <v>Thành phố Quảng Ngãi</v>
      </c>
      <c r="F6653" s="3" t="s">
        <v>7414</v>
      </c>
      <c r="G6653" s="4" t="str">
        <f>HYPERLINK("https://diaocthongthai.com/phuong-nghia-chanh-tp-quang-ngai/","Phường Nghĩa Chánh")</f>
        <v>Phường Nghĩa Chánh</v>
      </c>
    </row>
    <row r="6654" spans="1:7" x14ac:dyDescent="0.25">
      <c r="A6654" s="2">
        <v>6653</v>
      </c>
      <c r="B6654" s="3" t="s">
        <v>36</v>
      </c>
      <c r="C6654" s="4" t="str">
        <f t="shared" si="537"/>
        <v>Quảng Ngãi</v>
      </c>
      <c r="D6654" s="3" t="s">
        <v>443</v>
      </c>
      <c r="E6654" s="4" t="str">
        <f t="shared" si="538"/>
        <v>Thành phố Quảng Ngãi</v>
      </c>
      <c r="F6654" s="3" t="s">
        <v>7415</v>
      </c>
      <c r="G6654" s="4" t="str">
        <f>HYPERLINK("https://diaocthongthai.com/phuong-tran-hung-dao-tp-quang-ngai/","Phường Trần Hưng Đạo")</f>
        <v>Phường Trần Hưng Đạo</v>
      </c>
    </row>
    <row r="6655" spans="1:7" x14ac:dyDescent="0.25">
      <c r="A6655" s="2">
        <v>6654</v>
      </c>
      <c r="B6655" s="3" t="s">
        <v>36</v>
      </c>
      <c r="C6655" s="4" t="str">
        <f t="shared" si="537"/>
        <v>Quảng Ngãi</v>
      </c>
      <c r="D6655" s="3" t="s">
        <v>443</v>
      </c>
      <c r="E6655" s="4" t="str">
        <f t="shared" si="538"/>
        <v>Thành phố Quảng Ngãi</v>
      </c>
      <c r="F6655" s="3" t="s">
        <v>7416</v>
      </c>
      <c r="G6655" s="4" t="str">
        <f>HYPERLINK("https://diaocthongthai.com/phuong-nguyen-nghiem-tp-quang-ngai/","Phường Nguyễn Nghiêm")</f>
        <v>Phường Nguyễn Nghiêm</v>
      </c>
    </row>
    <row r="6656" spans="1:7" x14ac:dyDescent="0.25">
      <c r="A6656" s="2">
        <v>6655</v>
      </c>
      <c r="B6656" s="3" t="s">
        <v>36</v>
      </c>
      <c r="C6656" s="4" t="str">
        <f t="shared" si="537"/>
        <v>Quảng Ngãi</v>
      </c>
      <c r="D6656" s="3" t="s">
        <v>443</v>
      </c>
      <c r="E6656" s="4" t="str">
        <f t="shared" si="538"/>
        <v>Thành phố Quảng Ngãi</v>
      </c>
      <c r="F6656" s="3" t="s">
        <v>7417</v>
      </c>
      <c r="G6656" s="4" t="str">
        <f>HYPERLINK("https://diaocthongthai.com/phuong-nghia-lo-tp-quang-ngai/","Phường Nghĩa Lộ")</f>
        <v>Phường Nghĩa Lộ</v>
      </c>
    </row>
    <row r="6657" spans="1:7" x14ac:dyDescent="0.25">
      <c r="A6657" s="2">
        <v>6656</v>
      </c>
      <c r="B6657" s="3" t="s">
        <v>36</v>
      </c>
      <c r="C6657" s="4" t="str">
        <f t="shared" si="537"/>
        <v>Quảng Ngãi</v>
      </c>
      <c r="D6657" s="3" t="s">
        <v>443</v>
      </c>
      <c r="E6657" s="4" t="str">
        <f t="shared" si="538"/>
        <v>Thành phố Quảng Ngãi</v>
      </c>
      <c r="F6657" s="3" t="s">
        <v>7418</v>
      </c>
      <c r="G6657" s="4" t="str">
        <f>HYPERLINK("https://diaocthongthai.com/phuong-chanh-lo-tp-quang-ngai/","Phường Chánh Lộ")</f>
        <v>Phường Chánh Lộ</v>
      </c>
    </row>
    <row r="6658" spans="1:7" x14ac:dyDescent="0.25">
      <c r="A6658" s="2">
        <v>6657</v>
      </c>
      <c r="B6658" s="3" t="s">
        <v>36</v>
      </c>
      <c r="C6658" s="4" t="str">
        <f t="shared" si="537"/>
        <v>Quảng Ngãi</v>
      </c>
      <c r="D6658" s="3" t="s">
        <v>443</v>
      </c>
      <c r="E6658" s="4" t="str">
        <f t="shared" si="538"/>
        <v>Thành phố Quảng Ngãi</v>
      </c>
      <c r="F6658" s="3" t="s">
        <v>7419</v>
      </c>
      <c r="G6658" s="4" t="str">
        <f>HYPERLINK("https://diaocthongthai.com/xa-nghia-dung-tp-quang-ngai/","Xã Nghĩa Dũng")</f>
        <v>Xã Nghĩa Dũng</v>
      </c>
    </row>
    <row r="6659" spans="1:7" x14ac:dyDescent="0.25">
      <c r="A6659" s="2">
        <v>6658</v>
      </c>
      <c r="B6659" s="3" t="s">
        <v>36</v>
      </c>
      <c r="C6659" s="4" t="str">
        <f t="shared" si="537"/>
        <v>Quảng Ngãi</v>
      </c>
      <c r="D6659" s="3" t="s">
        <v>443</v>
      </c>
      <c r="E6659" s="4" t="str">
        <f t="shared" si="538"/>
        <v>Thành phố Quảng Ngãi</v>
      </c>
      <c r="F6659" s="3" t="s">
        <v>7420</v>
      </c>
      <c r="G6659" s="4" t="str">
        <f>HYPERLINK("https://diaocthongthai.com/xa-nghia-dong-tp-quang-ngai/","Xã Nghĩa Dõng")</f>
        <v>Xã Nghĩa Dõng</v>
      </c>
    </row>
    <row r="6660" spans="1:7" x14ac:dyDescent="0.25">
      <c r="A6660" s="2">
        <v>6659</v>
      </c>
      <c r="B6660" s="3" t="s">
        <v>36</v>
      </c>
      <c r="C6660" s="4" t="str">
        <f t="shared" si="537"/>
        <v>Quảng Ngãi</v>
      </c>
      <c r="D6660" s="3" t="s">
        <v>443</v>
      </c>
      <c r="E6660" s="4" t="str">
        <f t="shared" si="538"/>
        <v>Thành phố Quảng Ngãi</v>
      </c>
      <c r="F6660" s="3" t="s">
        <v>7421</v>
      </c>
      <c r="G6660" s="4" t="str">
        <f>HYPERLINK("https://diaocthongthai.com/phuong-truong-quang-trong-tp-quang-ngai/","Phường Trương Quang Trọng")</f>
        <v>Phường Trương Quang Trọng</v>
      </c>
    </row>
    <row r="6661" spans="1:7" x14ac:dyDescent="0.25">
      <c r="A6661" s="2">
        <v>6660</v>
      </c>
      <c r="B6661" s="3" t="s">
        <v>36</v>
      </c>
      <c r="C6661" s="4" t="str">
        <f t="shared" si="537"/>
        <v>Quảng Ngãi</v>
      </c>
      <c r="D6661" s="3" t="s">
        <v>443</v>
      </c>
      <c r="E6661" s="4" t="str">
        <f t="shared" si="538"/>
        <v>Thành phố Quảng Ngãi</v>
      </c>
      <c r="F6661" s="3" t="s">
        <v>7422</v>
      </c>
      <c r="G6661" s="4" t="str">
        <f>HYPERLINK("https://diaocthongthai.com/xa-tinh-hoa-tp-quang-ngai/","Xã Tịnh Hòa")</f>
        <v>Xã Tịnh Hòa</v>
      </c>
    </row>
    <row r="6662" spans="1:7" x14ac:dyDescent="0.25">
      <c r="A6662" s="2">
        <v>6661</v>
      </c>
      <c r="B6662" s="3" t="s">
        <v>36</v>
      </c>
      <c r="C6662" s="4" t="str">
        <f t="shared" si="537"/>
        <v>Quảng Ngãi</v>
      </c>
      <c r="D6662" s="3" t="s">
        <v>443</v>
      </c>
      <c r="E6662" s="4" t="str">
        <f t="shared" si="538"/>
        <v>Thành phố Quảng Ngãi</v>
      </c>
      <c r="F6662" s="3" t="s">
        <v>7423</v>
      </c>
      <c r="G6662" s="4" t="str">
        <f>HYPERLINK("https://diaocthongthai.com/xa-tinh-ky-tp-quang-ngai/","Xã Tịnh Kỳ")</f>
        <v>Xã Tịnh Kỳ</v>
      </c>
    </row>
    <row r="6663" spans="1:7" x14ac:dyDescent="0.25">
      <c r="A6663" s="2">
        <v>6662</v>
      </c>
      <c r="B6663" s="3" t="s">
        <v>36</v>
      </c>
      <c r="C6663" s="4" t="str">
        <f t="shared" si="537"/>
        <v>Quảng Ngãi</v>
      </c>
      <c r="D6663" s="3" t="s">
        <v>443</v>
      </c>
      <c r="E6663" s="4" t="str">
        <f t="shared" si="538"/>
        <v>Thành phố Quảng Ngãi</v>
      </c>
      <c r="F6663" s="3" t="s">
        <v>7424</v>
      </c>
      <c r="G6663" s="4" t="str">
        <f>HYPERLINK("https://diaocthongthai.com/xa-tinh-thien-tp-quang-ngai/","Xã Tịnh Thiện")</f>
        <v>Xã Tịnh Thiện</v>
      </c>
    </row>
    <row r="6664" spans="1:7" x14ac:dyDescent="0.25">
      <c r="A6664" s="2">
        <v>6663</v>
      </c>
      <c r="B6664" s="3" t="s">
        <v>36</v>
      </c>
      <c r="C6664" s="4" t="str">
        <f t="shared" si="537"/>
        <v>Quảng Ngãi</v>
      </c>
      <c r="D6664" s="3" t="s">
        <v>443</v>
      </c>
      <c r="E6664" s="4" t="str">
        <f t="shared" si="538"/>
        <v>Thành phố Quảng Ngãi</v>
      </c>
      <c r="F6664" s="3" t="s">
        <v>7425</v>
      </c>
      <c r="G6664" s="4" t="str">
        <f>HYPERLINK("https://diaocthongthai.com/xa-tinh-an-dong-tp-quang-ngai/","Xã Tịnh Ấn Đông")</f>
        <v>Xã Tịnh Ấn Đông</v>
      </c>
    </row>
    <row r="6665" spans="1:7" x14ac:dyDescent="0.25">
      <c r="A6665" s="2">
        <v>6664</v>
      </c>
      <c r="B6665" s="3" t="s">
        <v>36</v>
      </c>
      <c r="C6665" s="4" t="str">
        <f t="shared" si="537"/>
        <v>Quảng Ngãi</v>
      </c>
      <c r="D6665" s="3" t="s">
        <v>443</v>
      </c>
      <c r="E6665" s="4" t="str">
        <f t="shared" si="538"/>
        <v>Thành phố Quảng Ngãi</v>
      </c>
      <c r="F6665" s="3" t="s">
        <v>7426</v>
      </c>
      <c r="G6665" s="4" t="str">
        <f>HYPERLINK("https://diaocthongthai.com/xa-tinh-chau-tp-quang-ngai/","Xã Tịnh Châu")</f>
        <v>Xã Tịnh Châu</v>
      </c>
    </row>
    <row r="6666" spans="1:7" x14ac:dyDescent="0.25">
      <c r="A6666" s="2">
        <v>6665</v>
      </c>
      <c r="B6666" s="3" t="s">
        <v>36</v>
      </c>
      <c r="C6666" s="4" t="str">
        <f t="shared" si="537"/>
        <v>Quảng Ngãi</v>
      </c>
      <c r="D6666" s="3" t="s">
        <v>443</v>
      </c>
      <c r="E6666" s="4" t="str">
        <f t="shared" si="538"/>
        <v>Thành phố Quảng Ngãi</v>
      </c>
      <c r="F6666" s="3" t="s">
        <v>7427</v>
      </c>
      <c r="G6666" s="4" t="str">
        <f>HYPERLINK("https://diaocthongthai.com/xa-tinh-khe-tp-quang-ngai/","Xã Tịnh Khê")</f>
        <v>Xã Tịnh Khê</v>
      </c>
    </row>
    <row r="6667" spans="1:7" x14ac:dyDescent="0.25">
      <c r="A6667" s="2">
        <v>6666</v>
      </c>
      <c r="B6667" s="3" t="s">
        <v>36</v>
      </c>
      <c r="C6667" s="4" t="str">
        <f t="shared" si="537"/>
        <v>Quảng Ngãi</v>
      </c>
      <c r="D6667" s="3" t="s">
        <v>443</v>
      </c>
      <c r="E6667" s="4" t="str">
        <f t="shared" si="538"/>
        <v>Thành phố Quảng Ngãi</v>
      </c>
      <c r="F6667" s="3" t="s">
        <v>7428</v>
      </c>
      <c r="G6667" s="4" t="str">
        <f>HYPERLINK("https://diaocthongthai.com/xa-tinh-long-tp-quang-ngai/","Xã Tịnh Long")</f>
        <v>Xã Tịnh Long</v>
      </c>
    </row>
    <row r="6668" spans="1:7" x14ac:dyDescent="0.25">
      <c r="A6668" s="2">
        <v>6667</v>
      </c>
      <c r="B6668" s="3" t="s">
        <v>36</v>
      </c>
      <c r="C6668" s="4" t="str">
        <f t="shared" si="537"/>
        <v>Quảng Ngãi</v>
      </c>
      <c r="D6668" s="3" t="s">
        <v>443</v>
      </c>
      <c r="E6668" s="4" t="str">
        <f t="shared" si="538"/>
        <v>Thành phố Quảng Ngãi</v>
      </c>
      <c r="F6668" s="3" t="s">
        <v>7429</v>
      </c>
      <c r="G6668" s="4" t="str">
        <f>HYPERLINK("https://diaocthongthai.com/xa-tinh-an-tay-tp-quang-ngai/","Xã Tịnh Ấn Tây")</f>
        <v>Xã Tịnh Ấn Tây</v>
      </c>
    </row>
    <row r="6669" spans="1:7" x14ac:dyDescent="0.25">
      <c r="A6669" s="2">
        <v>6668</v>
      </c>
      <c r="B6669" s="3" t="s">
        <v>36</v>
      </c>
      <c r="C6669" s="4" t="str">
        <f t="shared" si="537"/>
        <v>Quảng Ngãi</v>
      </c>
      <c r="D6669" s="3" t="s">
        <v>443</v>
      </c>
      <c r="E6669" s="4" t="str">
        <f t="shared" si="538"/>
        <v>Thành phố Quảng Ngãi</v>
      </c>
      <c r="F6669" s="3" t="s">
        <v>7430</v>
      </c>
      <c r="G6669" s="4" t="str">
        <f>HYPERLINK("https://diaocthongthai.com/xa-tinh-an-tp-quang-ngai/","Xã Tịnh An")</f>
        <v>Xã Tịnh An</v>
      </c>
    </row>
    <row r="6670" spans="1:7" x14ac:dyDescent="0.25">
      <c r="A6670" s="2">
        <v>6669</v>
      </c>
      <c r="B6670" s="3" t="s">
        <v>36</v>
      </c>
      <c r="C6670" s="4" t="str">
        <f t="shared" si="537"/>
        <v>Quảng Ngãi</v>
      </c>
      <c r="D6670" s="3" t="s">
        <v>443</v>
      </c>
      <c r="E6670" s="4" t="str">
        <f t="shared" si="538"/>
        <v>Thành phố Quảng Ngãi</v>
      </c>
      <c r="F6670" s="3" t="s">
        <v>7431</v>
      </c>
      <c r="G6670" s="4" t="str">
        <f>HYPERLINK("https://diaocthongthai.com/xa-nghia-phu-tp-quang-ngai/","Xã Nghĩa Phú")</f>
        <v>Xã Nghĩa Phú</v>
      </c>
    </row>
    <row r="6671" spans="1:7" x14ac:dyDescent="0.25">
      <c r="A6671" s="2">
        <v>6670</v>
      </c>
      <c r="B6671" s="3" t="s">
        <v>36</v>
      </c>
      <c r="C6671" s="4" t="str">
        <f t="shared" si="537"/>
        <v>Quảng Ngãi</v>
      </c>
      <c r="D6671" s="3" t="s">
        <v>443</v>
      </c>
      <c r="E6671" s="4" t="str">
        <f t="shared" si="538"/>
        <v>Thành phố Quảng Ngãi</v>
      </c>
      <c r="F6671" s="3" t="s">
        <v>7432</v>
      </c>
      <c r="G6671" s="4" t="str">
        <f>HYPERLINK("https://diaocthongthai.com/xa-nghia-ha-tp-quang-ngai/","Xã Nghĩa Hà")</f>
        <v>Xã Nghĩa Hà</v>
      </c>
    </row>
    <row r="6672" spans="1:7" x14ac:dyDescent="0.25">
      <c r="A6672" s="2">
        <v>6671</v>
      </c>
      <c r="B6672" s="3" t="s">
        <v>36</v>
      </c>
      <c r="C6672" s="4" t="str">
        <f t="shared" si="537"/>
        <v>Quảng Ngãi</v>
      </c>
      <c r="D6672" s="3" t="s">
        <v>443</v>
      </c>
      <c r="E6672" s="4" t="str">
        <f t="shared" si="538"/>
        <v>Thành phố Quảng Ngãi</v>
      </c>
      <c r="F6672" s="3" t="s">
        <v>7433</v>
      </c>
      <c r="G6672" s="4" t="str">
        <f>HYPERLINK("https://diaocthongthai.com/xa-nghia-an-tp-quang-ngai/","Xã Nghĩa An")</f>
        <v>Xã Nghĩa An</v>
      </c>
    </row>
    <row r="6673" spans="1:7" x14ac:dyDescent="0.25">
      <c r="A6673" s="2">
        <v>6672</v>
      </c>
      <c r="B6673" s="3" t="s">
        <v>36</v>
      </c>
      <c r="C6673" s="4" t="str">
        <f t="shared" si="537"/>
        <v>Quảng Ngãi</v>
      </c>
      <c r="D6673" s="3" t="s">
        <v>444</v>
      </c>
      <c r="E6673" s="4" t="str">
        <f t="shared" ref="E6673:E6694" si="539">HYPERLINK("https://diaocthongthai.com/ban-do-huyen-binh-son-quang-ngai/","Huyện Bình Sơn")</f>
        <v>Huyện Bình Sơn</v>
      </c>
      <c r="F6673" s="3" t="s">
        <v>7434</v>
      </c>
      <c r="G6673" s="4" t="str">
        <f>HYPERLINK("https://diaocthongthai.com/thi-tran-chau-o-binh-son/","Thị Trấn Châu Ổ")</f>
        <v>Thị Trấn Châu Ổ</v>
      </c>
    </row>
    <row r="6674" spans="1:7" x14ac:dyDescent="0.25">
      <c r="A6674" s="2">
        <v>6673</v>
      </c>
      <c r="B6674" s="3" t="s">
        <v>36</v>
      </c>
      <c r="C6674" s="4" t="str">
        <f t="shared" si="537"/>
        <v>Quảng Ngãi</v>
      </c>
      <c r="D6674" s="3" t="s">
        <v>444</v>
      </c>
      <c r="E6674" s="4" t="str">
        <f t="shared" si="539"/>
        <v>Huyện Bình Sơn</v>
      </c>
      <c r="F6674" s="3" t="s">
        <v>7435</v>
      </c>
      <c r="G6674" s="4" t="str">
        <f>HYPERLINK("https://diaocthongthai.com/xa-binh-thuan-binh-son/","Xã Bình Thuận")</f>
        <v>Xã Bình Thuận</v>
      </c>
    </row>
    <row r="6675" spans="1:7" x14ac:dyDescent="0.25">
      <c r="A6675" s="2">
        <v>6674</v>
      </c>
      <c r="B6675" s="3" t="s">
        <v>36</v>
      </c>
      <c r="C6675" s="4" t="str">
        <f t="shared" si="537"/>
        <v>Quảng Ngãi</v>
      </c>
      <c r="D6675" s="3" t="s">
        <v>444</v>
      </c>
      <c r="E6675" s="4" t="str">
        <f t="shared" si="539"/>
        <v>Huyện Bình Sơn</v>
      </c>
      <c r="F6675" s="3" t="s">
        <v>7436</v>
      </c>
      <c r="G6675" s="4" t="str">
        <f>HYPERLINK("https://diaocthongthai.com/xa-binh-thanh-2-binh-son/","Xã Bình Thạnh")</f>
        <v>Xã Bình Thạnh</v>
      </c>
    </row>
    <row r="6676" spans="1:7" x14ac:dyDescent="0.25">
      <c r="A6676" s="2">
        <v>6675</v>
      </c>
      <c r="B6676" s="3" t="s">
        <v>36</v>
      </c>
      <c r="C6676" s="4" t="str">
        <f t="shared" si="537"/>
        <v>Quảng Ngãi</v>
      </c>
      <c r="D6676" s="3" t="s">
        <v>444</v>
      </c>
      <c r="E6676" s="4" t="str">
        <f t="shared" si="539"/>
        <v>Huyện Bình Sơn</v>
      </c>
      <c r="F6676" s="3" t="s">
        <v>7437</v>
      </c>
      <c r="G6676" s="4" t="str">
        <f>HYPERLINK("https://diaocthongthai.com/xa-binh-dong-binh-son/","Xã Bình Đông")</f>
        <v>Xã Bình Đông</v>
      </c>
    </row>
    <row r="6677" spans="1:7" x14ac:dyDescent="0.25">
      <c r="A6677" s="2">
        <v>6676</v>
      </c>
      <c r="B6677" s="3" t="s">
        <v>36</v>
      </c>
      <c r="C6677" s="4" t="str">
        <f t="shared" si="537"/>
        <v>Quảng Ngãi</v>
      </c>
      <c r="D6677" s="3" t="s">
        <v>444</v>
      </c>
      <c r="E6677" s="4" t="str">
        <f t="shared" si="539"/>
        <v>Huyện Bình Sơn</v>
      </c>
      <c r="F6677" s="3" t="s">
        <v>7438</v>
      </c>
      <c r="G6677" s="4" t="str">
        <f>HYPERLINK("https://diaocthongthai.com/xa-binh-chanh-binh-son/","Xã Bình Chánh")</f>
        <v>Xã Bình Chánh</v>
      </c>
    </row>
    <row r="6678" spans="1:7" x14ac:dyDescent="0.25">
      <c r="A6678" s="2">
        <v>6677</v>
      </c>
      <c r="B6678" s="3" t="s">
        <v>36</v>
      </c>
      <c r="C6678" s="4" t="str">
        <f t="shared" si="537"/>
        <v>Quảng Ngãi</v>
      </c>
      <c r="D6678" s="3" t="s">
        <v>444</v>
      </c>
      <c r="E6678" s="4" t="str">
        <f t="shared" si="539"/>
        <v>Huyện Bình Sơn</v>
      </c>
      <c r="F6678" s="3" t="s">
        <v>7439</v>
      </c>
      <c r="G6678" s="4" t="str">
        <f>HYPERLINK("https://diaocthongthai.com/xa-binh-nguyen-binh-son/","Xã Bình Nguyên")</f>
        <v>Xã Bình Nguyên</v>
      </c>
    </row>
    <row r="6679" spans="1:7" x14ac:dyDescent="0.25">
      <c r="A6679" s="2">
        <v>6678</v>
      </c>
      <c r="B6679" s="3" t="s">
        <v>36</v>
      </c>
      <c r="C6679" s="4" t="str">
        <f t="shared" si="537"/>
        <v>Quảng Ngãi</v>
      </c>
      <c r="D6679" s="3" t="s">
        <v>444</v>
      </c>
      <c r="E6679" s="4" t="str">
        <f t="shared" si="539"/>
        <v>Huyện Bình Sơn</v>
      </c>
      <c r="F6679" s="3" t="s">
        <v>7440</v>
      </c>
      <c r="G6679" s="4" t="str">
        <f>HYPERLINK("https://diaocthongthai.com/xa-binh-khuong-binh-son/","Xã Bình Khương")</f>
        <v>Xã Bình Khương</v>
      </c>
    </row>
    <row r="6680" spans="1:7" x14ac:dyDescent="0.25">
      <c r="A6680" s="2">
        <v>6679</v>
      </c>
      <c r="B6680" s="3" t="s">
        <v>36</v>
      </c>
      <c r="C6680" s="4" t="str">
        <f t="shared" si="537"/>
        <v>Quảng Ngãi</v>
      </c>
      <c r="D6680" s="3" t="s">
        <v>444</v>
      </c>
      <c r="E6680" s="4" t="str">
        <f t="shared" si="539"/>
        <v>Huyện Bình Sơn</v>
      </c>
      <c r="F6680" s="3" t="s">
        <v>7441</v>
      </c>
      <c r="G6680" s="4" t="str">
        <f>HYPERLINK("https://diaocthongthai.com/xa-binh-tri-binh-son/","Xã Bình Trị")</f>
        <v>Xã Bình Trị</v>
      </c>
    </row>
    <row r="6681" spans="1:7" x14ac:dyDescent="0.25">
      <c r="A6681" s="2">
        <v>6680</v>
      </c>
      <c r="B6681" s="3" t="s">
        <v>36</v>
      </c>
      <c r="C6681" s="4" t="str">
        <f t="shared" si="537"/>
        <v>Quảng Ngãi</v>
      </c>
      <c r="D6681" s="3" t="s">
        <v>444</v>
      </c>
      <c r="E6681" s="4" t="str">
        <f t="shared" si="539"/>
        <v>Huyện Bình Sơn</v>
      </c>
      <c r="F6681" s="3" t="s">
        <v>7442</v>
      </c>
      <c r="G6681" s="4" t="str">
        <f>HYPERLINK("https://diaocthongthai.com/xa-binh-an-binh-son/","Xã Bình An")</f>
        <v>Xã Bình An</v>
      </c>
    </row>
    <row r="6682" spans="1:7" x14ac:dyDescent="0.25">
      <c r="A6682" s="2">
        <v>6681</v>
      </c>
      <c r="B6682" s="3" t="s">
        <v>36</v>
      </c>
      <c r="C6682" s="4" t="str">
        <f t="shared" ref="C6682:C6713" si="540">HYPERLINK("https://diaocthongthai.com/ban-do-quang-ngai/","Quảng Ngãi")</f>
        <v>Quảng Ngãi</v>
      </c>
      <c r="D6682" s="3" t="s">
        <v>444</v>
      </c>
      <c r="E6682" s="4" t="str">
        <f t="shared" si="539"/>
        <v>Huyện Bình Sơn</v>
      </c>
      <c r="F6682" s="3" t="s">
        <v>7443</v>
      </c>
      <c r="G6682" s="4" t="str">
        <f>HYPERLINK("https://diaocthongthai.com/xa-binh-hai-binh-son/","Xã Bình Hải")</f>
        <v>Xã Bình Hải</v>
      </c>
    </row>
    <row r="6683" spans="1:7" x14ac:dyDescent="0.25">
      <c r="A6683" s="2">
        <v>6682</v>
      </c>
      <c r="B6683" s="3" t="s">
        <v>36</v>
      </c>
      <c r="C6683" s="4" t="str">
        <f t="shared" si="540"/>
        <v>Quảng Ngãi</v>
      </c>
      <c r="D6683" s="3" t="s">
        <v>444</v>
      </c>
      <c r="E6683" s="4" t="str">
        <f t="shared" si="539"/>
        <v>Huyện Bình Sơn</v>
      </c>
      <c r="F6683" s="3" t="s">
        <v>7444</v>
      </c>
      <c r="G6683" s="4" t="str">
        <f>HYPERLINK("https://diaocthongthai.com/xa-binh-duong-binh-son/","Xã Bình Dương")</f>
        <v>Xã Bình Dương</v>
      </c>
    </row>
    <row r="6684" spans="1:7" x14ac:dyDescent="0.25">
      <c r="A6684" s="2">
        <v>6683</v>
      </c>
      <c r="B6684" s="3" t="s">
        <v>36</v>
      </c>
      <c r="C6684" s="4" t="str">
        <f t="shared" si="540"/>
        <v>Quảng Ngãi</v>
      </c>
      <c r="D6684" s="3" t="s">
        <v>444</v>
      </c>
      <c r="E6684" s="4" t="str">
        <f t="shared" si="539"/>
        <v>Huyện Bình Sơn</v>
      </c>
      <c r="F6684" s="3" t="s">
        <v>7445</v>
      </c>
      <c r="G6684" s="4" t="str">
        <f>HYPERLINK("https://diaocthongthai.com/xa-binh-phuoc-binh-son/","Xã Bình Phước")</f>
        <v>Xã Bình Phước</v>
      </c>
    </row>
    <row r="6685" spans="1:7" x14ac:dyDescent="0.25">
      <c r="A6685" s="2">
        <v>6684</v>
      </c>
      <c r="B6685" s="3" t="s">
        <v>36</v>
      </c>
      <c r="C6685" s="4" t="str">
        <f t="shared" si="540"/>
        <v>Quảng Ngãi</v>
      </c>
      <c r="D6685" s="3" t="s">
        <v>444</v>
      </c>
      <c r="E6685" s="4" t="str">
        <f t="shared" si="539"/>
        <v>Huyện Bình Sơn</v>
      </c>
      <c r="F6685" s="3" t="s">
        <v>7446</v>
      </c>
      <c r="G6685" s="4" t="str">
        <f>HYPERLINK("https://diaocthongthai.com/xa-binh-hoa-binh-son/","Xã Bình Hòa")</f>
        <v>Xã Bình Hòa</v>
      </c>
    </row>
    <row r="6686" spans="1:7" x14ac:dyDescent="0.25">
      <c r="A6686" s="2">
        <v>6685</v>
      </c>
      <c r="B6686" s="3" t="s">
        <v>36</v>
      </c>
      <c r="C6686" s="4" t="str">
        <f t="shared" si="540"/>
        <v>Quảng Ngãi</v>
      </c>
      <c r="D6686" s="3" t="s">
        <v>444</v>
      </c>
      <c r="E6686" s="4" t="str">
        <f t="shared" si="539"/>
        <v>Huyện Bình Sơn</v>
      </c>
      <c r="F6686" s="3" t="s">
        <v>7447</v>
      </c>
      <c r="G6686" s="4" t="str">
        <f>HYPERLINK("https://diaocthongthai.com/xa-binh-trung-binh-son/","Xã Bình Trung")</f>
        <v>Xã Bình Trung</v>
      </c>
    </row>
    <row r="6687" spans="1:7" x14ac:dyDescent="0.25">
      <c r="A6687" s="2">
        <v>6686</v>
      </c>
      <c r="B6687" s="3" t="s">
        <v>36</v>
      </c>
      <c r="C6687" s="4" t="str">
        <f t="shared" si="540"/>
        <v>Quảng Ngãi</v>
      </c>
      <c r="D6687" s="3" t="s">
        <v>444</v>
      </c>
      <c r="E6687" s="4" t="str">
        <f t="shared" si="539"/>
        <v>Huyện Bình Sơn</v>
      </c>
      <c r="F6687" s="3" t="s">
        <v>7448</v>
      </c>
      <c r="G6687" s="4" t="str">
        <f>HYPERLINK("https://diaocthongthai.com/xa-binh-minh-binh-son/","Xã Bình Minh")</f>
        <v>Xã Bình Minh</v>
      </c>
    </row>
    <row r="6688" spans="1:7" x14ac:dyDescent="0.25">
      <c r="A6688" s="2">
        <v>6687</v>
      </c>
      <c r="B6688" s="3" t="s">
        <v>36</v>
      </c>
      <c r="C6688" s="4" t="str">
        <f t="shared" si="540"/>
        <v>Quảng Ngãi</v>
      </c>
      <c r="D6688" s="3" t="s">
        <v>444</v>
      </c>
      <c r="E6688" s="4" t="str">
        <f t="shared" si="539"/>
        <v>Huyện Bình Sơn</v>
      </c>
      <c r="F6688" s="3" t="s">
        <v>7449</v>
      </c>
      <c r="G6688" s="4" t="str">
        <f>HYPERLINK("https://diaocthongthai.com/xa-binh-long-binh-son/","Xã Bình Long")</f>
        <v>Xã Bình Long</v>
      </c>
    </row>
    <row r="6689" spans="1:7" x14ac:dyDescent="0.25">
      <c r="A6689" s="2">
        <v>6688</v>
      </c>
      <c r="B6689" s="3" t="s">
        <v>36</v>
      </c>
      <c r="C6689" s="4" t="str">
        <f t="shared" si="540"/>
        <v>Quảng Ngãi</v>
      </c>
      <c r="D6689" s="3" t="s">
        <v>444</v>
      </c>
      <c r="E6689" s="4" t="str">
        <f t="shared" si="539"/>
        <v>Huyện Bình Sơn</v>
      </c>
      <c r="F6689" s="3" t="s">
        <v>7450</v>
      </c>
      <c r="G6689" s="4" t="str">
        <f>HYPERLINK("https://diaocthongthai.com/xa-binh-thanh-1-binh-son/","Xã Bình Thanh ")</f>
        <v xml:space="preserve">Xã Bình Thanh </v>
      </c>
    </row>
    <row r="6690" spans="1:7" x14ac:dyDescent="0.25">
      <c r="A6690" s="2">
        <v>6689</v>
      </c>
      <c r="B6690" s="3" t="s">
        <v>36</v>
      </c>
      <c r="C6690" s="4" t="str">
        <f t="shared" si="540"/>
        <v>Quảng Ngãi</v>
      </c>
      <c r="D6690" s="3" t="s">
        <v>444</v>
      </c>
      <c r="E6690" s="4" t="str">
        <f t="shared" si="539"/>
        <v>Huyện Bình Sơn</v>
      </c>
      <c r="F6690" s="3" t="s">
        <v>7451</v>
      </c>
      <c r="G6690" s="4" t="str">
        <f>HYPERLINK("https://diaocthongthai.com/xa-binh-chuong-binh-son/","Xã Bình Chương")</f>
        <v>Xã Bình Chương</v>
      </c>
    </row>
    <row r="6691" spans="1:7" x14ac:dyDescent="0.25">
      <c r="A6691" s="2">
        <v>6690</v>
      </c>
      <c r="B6691" s="3" t="s">
        <v>36</v>
      </c>
      <c r="C6691" s="4" t="str">
        <f t="shared" si="540"/>
        <v>Quảng Ngãi</v>
      </c>
      <c r="D6691" s="3" t="s">
        <v>444</v>
      </c>
      <c r="E6691" s="4" t="str">
        <f t="shared" si="539"/>
        <v>Huyện Bình Sơn</v>
      </c>
      <c r="F6691" s="3" t="s">
        <v>7452</v>
      </c>
      <c r="G6691" s="4" t="str">
        <f>HYPERLINK("https://diaocthongthai.com/xa-binh-hiep-binh-son/","Xã Bình Hiệp")</f>
        <v>Xã Bình Hiệp</v>
      </c>
    </row>
    <row r="6692" spans="1:7" x14ac:dyDescent="0.25">
      <c r="A6692" s="2">
        <v>6691</v>
      </c>
      <c r="B6692" s="3" t="s">
        <v>36</v>
      </c>
      <c r="C6692" s="4" t="str">
        <f t="shared" si="540"/>
        <v>Quảng Ngãi</v>
      </c>
      <c r="D6692" s="3" t="s">
        <v>444</v>
      </c>
      <c r="E6692" s="4" t="str">
        <f t="shared" si="539"/>
        <v>Huyện Bình Sơn</v>
      </c>
      <c r="F6692" s="3" t="s">
        <v>7453</v>
      </c>
      <c r="G6692" s="4" t="str">
        <f>HYPERLINK("https://diaocthongthai.com/xa-binh-my-binh-son/","Xã Bình Mỹ")</f>
        <v>Xã Bình Mỹ</v>
      </c>
    </row>
    <row r="6693" spans="1:7" x14ac:dyDescent="0.25">
      <c r="A6693" s="2">
        <v>6692</v>
      </c>
      <c r="B6693" s="3" t="s">
        <v>36</v>
      </c>
      <c r="C6693" s="4" t="str">
        <f t="shared" si="540"/>
        <v>Quảng Ngãi</v>
      </c>
      <c r="D6693" s="3" t="s">
        <v>444</v>
      </c>
      <c r="E6693" s="4" t="str">
        <f t="shared" si="539"/>
        <v>Huyện Bình Sơn</v>
      </c>
      <c r="F6693" s="3" t="s">
        <v>7454</v>
      </c>
      <c r="G6693" s="4" t="str">
        <f>HYPERLINK("https://diaocthongthai.com/xa-binh-tan-phu-binh-son/","Xã Bình Tân Phú")</f>
        <v>Xã Bình Tân Phú</v>
      </c>
    </row>
    <row r="6694" spans="1:7" x14ac:dyDescent="0.25">
      <c r="A6694" s="2">
        <v>6693</v>
      </c>
      <c r="B6694" s="3" t="s">
        <v>36</v>
      </c>
      <c r="C6694" s="4" t="str">
        <f t="shared" si="540"/>
        <v>Quảng Ngãi</v>
      </c>
      <c r="D6694" s="3" t="s">
        <v>444</v>
      </c>
      <c r="E6694" s="4" t="str">
        <f t="shared" si="539"/>
        <v>Huyện Bình Sơn</v>
      </c>
      <c r="F6694" s="3" t="s">
        <v>7455</v>
      </c>
      <c r="G6694" s="4" t="str">
        <f>HYPERLINK("https://diaocthongthai.com/xa-binh-chau-binh-son/","Xã Bình Châu")</f>
        <v>Xã Bình Châu</v>
      </c>
    </row>
    <row r="6695" spans="1:7" x14ac:dyDescent="0.25">
      <c r="A6695" s="2">
        <v>6694</v>
      </c>
      <c r="B6695" s="3" t="s">
        <v>36</v>
      </c>
      <c r="C6695" s="4" t="str">
        <f t="shared" si="540"/>
        <v>Quảng Ngãi</v>
      </c>
      <c r="D6695" s="3" t="s">
        <v>445</v>
      </c>
      <c r="E6695" s="4" t="str">
        <f t="shared" ref="E6695:E6710" si="541">HYPERLINK("https://diaocthongthai.com/ban-do-huyen-tra-bong-quang-ngai/","Huyện Trà Bồng")</f>
        <v>Huyện Trà Bồng</v>
      </c>
      <c r="F6695" s="3" t="s">
        <v>7456</v>
      </c>
      <c r="G6695" s="4" t="str">
        <f>HYPERLINK("https://diaocthongthai.com/thi-tran-tra-xuan-tra-bong/","Thị trấn Trà Xuân")</f>
        <v>Thị trấn Trà Xuân</v>
      </c>
    </row>
    <row r="6696" spans="1:7" x14ac:dyDescent="0.25">
      <c r="A6696" s="2">
        <v>6695</v>
      </c>
      <c r="B6696" s="3" t="s">
        <v>36</v>
      </c>
      <c r="C6696" s="4" t="str">
        <f t="shared" si="540"/>
        <v>Quảng Ngãi</v>
      </c>
      <c r="D6696" s="3" t="s">
        <v>445</v>
      </c>
      <c r="E6696" s="4" t="str">
        <f t="shared" si="541"/>
        <v>Huyện Trà Bồng</v>
      </c>
      <c r="F6696" s="3" t="s">
        <v>7457</v>
      </c>
      <c r="G6696" s="4" t="str">
        <f>HYPERLINK("https://diaocthongthai.com/xa-tra-giang-tra-bong/","Xã Trà Giang")</f>
        <v>Xã Trà Giang</v>
      </c>
    </row>
    <row r="6697" spans="1:7" x14ac:dyDescent="0.25">
      <c r="A6697" s="2">
        <v>6696</v>
      </c>
      <c r="B6697" s="3" t="s">
        <v>36</v>
      </c>
      <c r="C6697" s="4" t="str">
        <f t="shared" si="540"/>
        <v>Quảng Ngãi</v>
      </c>
      <c r="D6697" s="3" t="s">
        <v>445</v>
      </c>
      <c r="E6697" s="4" t="str">
        <f t="shared" si="541"/>
        <v>Huyện Trà Bồng</v>
      </c>
      <c r="F6697" s="3" t="s">
        <v>7458</v>
      </c>
      <c r="G6697" s="4" t="str">
        <f>HYPERLINK("https://diaocthongthai.com/xa-tra-thuy-tra-bong/","Xã Trà Thủy")</f>
        <v>Xã Trà Thủy</v>
      </c>
    </row>
    <row r="6698" spans="1:7" x14ac:dyDescent="0.25">
      <c r="A6698" s="2">
        <v>6697</v>
      </c>
      <c r="B6698" s="3" t="s">
        <v>36</v>
      </c>
      <c r="C6698" s="4" t="str">
        <f t="shared" si="540"/>
        <v>Quảng Ngãi</v>
      </c>
      <c r="D6698" s="3" t="s">
        <v>445</v>
      </c>
      <c r="E6698" s="4" t="str">
        <f t="shared" si="541"/>
        <v>Huyện Trà Bồng</v>
      </c>
      <c r="F6698" s="3" t="s">
        <v>7459</v>
      </c>
      <c r="G6698" s="4" t="str">
        <f>HYPERLINK("https://diaocthongthai.com/xa-tra-hiep-tra-bong/","Xã Trà Hiệp")</f>
        <v>Xã Trà Hiệp</v>
      </c>
    </row>
    <row r="6699" spans="1:7" x14ac:dyDescent="0.25">
      <c r="A6699" s="2">
        <v>6698</v>
      </c>
      <c r="B6699" s="3" t="s">
        <v>36</v>
      </c>
      <c r="C6699" s="4" t="str">
        <f t="shared" si="540"/>
        <v>Quảng Ngãi</v>
      </c>
      <c r="D6699" s="3" t="s">
        <v>445</v>
      </c>
      <c r="E6699" s="4" t="str">
        <f t="shared" si="541"/>
        <v>Huyện Trà Bồng</v>
      </c>
      <c r="F6699" s="3" t="s">
        <v>7460</v>
      </c>
      <c r="G6699" s="4" t="str">
        <f>HYPERLINK("https://diaocthongthai.com/xa-tra-binh-tra-bong/","Xã Trà Bình")</f>
        <v>Xã Trà Bình</v>
      </c>
    </row>
    <row r="6700" spans="1:7" x14ac:dyDescent="0.25">
      <c r="A6700" s="2">
        <v>6699</v>
      </c>
      <c r="B6700" s="3" t="s">
        <v>36</v>
      </c>
      <c r="C6700" s="4" t="str">
        <f t="shared" si="540"/>
        <v>Quảng Ngãi</v>
      </c>
      <c r="D6700" s="3" t="s">
        <v>445</v>
      </c>
      <c r="E6700" s="4" t="str">
        <f t="shared" si="541"/>
        <v>Huyện Trà Bồng</v>
      </c>
      <c r="F6700" s="3" t="s">
        <v>7461</v>
      </c>
      <c r="G6700" s="4" t="str">
        <f>HYPERLINK("https://diaocthongthai.com/xa-tra-phu-tra-bong/","Xã Trà Phú")</f>
        <v>Xã Trà Phú</v>
      </c>
    </row>
    <row r="6701" spans="1:7" x14ac:dyDescent="0.25">
      <c r="A6701" s="2">
        <v>6700</v>
      </c>
      <c r="B6701" s="3" t="s">
        <v>36</v>
      </c>
      <c r="C6701" s="4" t="str">
        <f t="shared" si="540"/>
        <v>Quảng Ngãi</v>
      </c>
      <c r="D6701" s="3" t="s">
        <v>445</v>
      </c>
      <c r="E6701" s="4" t="str">
        <f t="shared" si="541"/>
        <v>Huyện Trà Bồng</v>
      </c>
      <c r="F6701" s="3" t="s">
        <v>7462</v>
      </c>
      <c r="G6701" s="4" t="str">
        <f>HYPERLINK("https://diaocthongthai.com/xa-tra-lam-tra-bong/","Xã Trà Lâm")</f>
        <v>Xã Trà Lâm</v>
      </c>
    </row>
    <row r="6702" spans="1:7" x14ac:dyDescent="0.25">
      <c r="A6702" s="2">
        <v>6701</v>
      </c>
      <c r="B6702" s="3" t="s">
        <v>36</v>
      </c>
      <c r="C6702" s="4" t="str">
        <f t="shared" si="540"/>
        <v>Quảng Ngãi</v>
      </c>
      <c r="D6702" s="3" t="s">
        <v>445</v>
      </c>
      <c r="E6702" s="4" t="str">
        <f t="shared" si="541"/>
        <v>Huyện Trà Bồng</v>
      </c>
      <c r="F6702" s="3" t="s">
        <v>7463</v>
      </c>
      <c r="G6702" s="4" t="str">
        <f>HYPERLINK("https://diaocthongthai.com/xa-tra-tan-tra-bong/","Xã Trà Tân")</f>
        <v>Xã Trà Tân</v>
      </c>
    </row>
    <row r="6703" spans="1:7" x14ac:dyDescent="0.25">
      <c r="A6703" s="2">
        <v>6702</v>
      </c>
      <c r="B6703" s="3" t="s">
        <v>36</v>
      </c>
      <c r="C6703" s="4" t="str">
        <f t="shared" si="540"/>
        <v>Quảng Ngãi</v>
      </c>
      <c r="D6703" s="3" t="s">
        <v>445</v>
      </c>
      <c r="E6703" s="4" t="str">
        <f t="shared" si="541"/>
        <v>Huyện Trà Bồng</v>
      </c>
      <c r="F6703" s="3" t="s">
        <v>7464</v>
      </c>
      <c r="G6703" s="4" t="str">
        <f>HYPERLINK("https://diaocthongthai.com/xa-tra-son-tra-bong/","Xã Trà Sơn")</f>
        <v>Xã Trà Sơn</v>
      </c>
    </row>
    <row r="6704" spans="1:7" x14ac:dyDescent="0.25">
      <c r="A6704" s="2">
        <v>6703</v>
      </c>
      <c r="B6704" s="3" t="s">
        <v>36</v>
      </c>
      <c r="C6704" s="4" t="str">
        <f t="shared" si="540"/>
        <v>Quảng Ngãi</v>
      </c>
      <c r="D6704" s="3" t="s">
        <v>445</v>
      </c>
      <c r="E6704" s="4" t="str">
        <f t="shared" si="541"/>
        <v>Huyện Trà Bồng</v>
      </c>
      <c r="F6704" s="3" t="s">
        <v>7465</v>
      </c>
      <c r="G6704" s="4" t="str">
        <f>HYPERLINK("https://diaocthongthai.com/xa-tra-bui-tra-bong/","Xã Trà Bùi")</f>
        <v>Xã Trà Bùi</v>
      </c>
    </row>
    <row r="6705" spans="1:7" x14ac:dyDescent="0.25">
      <c r="A6705" s="2">
        <v>6704</v>
      </c>
      <c r="B6705" s="3" t="s">
        <v>36</v>
      </c>
      <c r="C6705" s="4" t="str">
        <f t="shared" si="540"/>
        <v>Quảng Ngãi</v>
      </c>
      <c r="D6705" s="3" t="s">
        <v>445</v>
      </c>
      <c r="E6705" s="4" t="str">
        <f t="shared" si="541"/>
        <v>Huyện Trà Bồng</v>
      </c>
      <c r="F6705" s="3" t="s">
        <v>7466</v>
      </c>
      <c r="G6705" s="4" t="str">
        <f>HYPERLINK("https://diaocthongthai.com/xa-tra-thanh-tra-bong/","Xã Trà Thanh")</f>
        <v>Xã Trà Thanh</v>
      </c>
    </row>
    <row r="6706" spans="1:7" x14ac:dyDescent="0.25">
      <c r="A6706" s="2">
        <v>6705</v>
      </c>
      <c r="B6706" s="3" t="s">
        <v>36</v>
      </c>
      <c r="C6706" s="4" t="str">
        <f t="shared" si="540"/>
        <v>Quảng Ngãi</v>
      </c>
      <c r="D6706" s="3" t="s">
        <v>445</v>
      </c>
      <c r="E6706" s="4" t="str">
        <f t="shared" si="541"/>
        <v>Huyện Trà Bồng</v>
      </c>
      <c r="F6706" s="3" t="s">
        <v>7467</v>
      </c>
      <c r="G6706" s="4" t="str">
        <f>HYPERLINK("https://diaocthongthai.com/xa-son-tra-tra-bong/","Xã Sơn Trà")</f>
        <v>Xã Sơn Trà</v>
      </c>
    </row>
    <row r="6707" spans="1:7" x14ac:dyDescent="0.25">
      <c r="A6707" s="2">
        <v>6706</v>
      </c>
      <c r="B6707" s="3" t="s">
        <v>36</v>
      </c>
      <c r="C6707" s="4" t="str">
        <f t="shared" si="540"/>
        <v>Quảng Ngãi</v>
      </c>
      <c r="D6707" s="3" t="s">
        <v>445</v>
      </c>
      <c r="E6707" s="4" t="str">
        <f t="shared" si="541"/>
        <v>Huyện Trà Bồng</v>
      </c>
      <c r="F6707" s="3" t="s">
        <v>7468</v>
      </c>
      <c r="G6707" s="4" t="str">
        <f>HYPERLINK("https://diaocthongthai.com/xa-tra-phong-tra-bong/","Xã Trà Phong")</f>
        <v>Xã Trà Phong</v>
      </c>
    </row>
    <row r="6708" spans="1:7" x14ac:dyDescent="0.25">
      <c r="A6708" s="2">
        <v>6707</v>
      </c>
      <c r="B6708" s="3" t="s">
        <v>36</v>
      </c>
      <c r="C6708" s="4" t="str">
        <f t="shared" si="540"/>
        <v>Quảng Ngãi</v>
      </c>
      <c r="D6708" s="3" t="s">
        <v>445</v>
      </c>
      <c r="E6708" s="4" t="str">
        <f t="shared" si="541"/>
        <v>Huyện Trà Bồng</v>
      </c>
      <c r="F6708" s="3" t="s">
        <v>7469</v>
      </c>
      <c r="G6708" s="4" t="str">
        <f>HYPERLINK("https://diaocthongthai.com/xa-huong-tra-tra-bong/","Xã Hương Trà")</f>
        <v>Xã Hương Trà</v>
      </c>
    </row>
    <row r="6709" spans="1:7" x14ac:dyDescent="0.25">
      <c r="A6709" s="2">
        <v>6708</v>
      </c>
      <c r="B6709" s="3" t="s">
        <v>36</v>
      </c>
      <c r="C6709" s="4" t="str">
        <f t="shared" si="540"/>
        <v>Quảng Ngãi</v>
      </c>
      <c r="D6709" s="3" t="s">
        <v>445</v>
      </c>
      <c r="E6709" s="4" t="str">
        <f t="shared" si="541"/>
        <v>Huyện Trà Bồng</v>
      </c>
      <c r="F6709" s="3" t="s">
        <v>7470</v>
      </c>
      <c r="G6709" s="4" t="str">
        <f>HYPERLINK("https://diaocthongthai.com/xa-tra-xinh-tra-bong/","Xã Trà Xinh")</f>
        <v>Xã Trà Xinh</v>
      </c>
    </row>
    <row r="6710" spans="1:7" x14ac:dyDescent="0.25">
      <c r="A6710" s="2">
        <v>6709</v>
      </c>
      <c r="B6710" s="3" t="s">
        <v>36</v>
      </c>
      <c r="C6710" s="4" t="str">
        <f t="shared" si="540"/>
        <v>Quảng Ngãi</v>
      </c>
      <c r="D6710" s="3" t="s">
        <v>445</v>
      </c>
      <c r="E6710" s="4" t="str">
        <f t="shared" si="541"/>
        <v>Huyện Trà Bồng</v>
      </c>
      <c r="F6710" s="3" t="s">
        <v>7471</v>
      </c>
      <c r="G6710" s="4" t="str">
        <f>HYPERLINK("https://diaocthongthai.com/xa-tra-tay-tra-bong/","Xã Trà Tây")</f>
        <v>Xã Trà Tây</v>
      </c>
    </row>
    <row r="6711" spans="1:7" x14ac:dyDescent="0.25">
      <c r="A6711" s="2">
        <v>6710</v>
      </c>
      <c r="B6711" s="3" t="s">
        <v>36</v>
      </c>
      <c r="C6711" s="4" t="str">
        <f t="shared" si="540"/>
        <v>Quảng Ngãi</v>
      </c>
      <c r="D6711" s="3" t="s">
        <v>446</v>
      </c>
      <c r="E6711" s="4" t="str">
        <f t="shared" ref="E6711:E6721" si="542">HYPERLINK("https://diaocthongthai.com/ban-do-huyen-son-tinh-quang-ngai/","Huyện Sơn Tịnh")</f>
        <v>Huyện Sơn Tịnh</v>
      </c>
      <c r="F6711" s="3" t="s">
        <v>7472</v>
      </c>
      <c r="G6711" s="4" t="str">
        <f>HYPERLINK("https://diaocthongthai.com/xa-tinh-tho-son-tinh/","Xã Tịnh Thọ")</f>
        <v>Xã Tịnh Thọ</v>
      </c>
    </row>
    <row r="6712" spans="1:7" x14ac:dyDescent="0.25">
      <c r="A6712" s="2">
        <v>6711</v>
      </c>
      <c r="B6712" s="3" t="s">
        <v>36</v>
      </c>
      <c r="C6712" s="4" t="str">
        <f t="shared" si="540"/>
        <v>Quảng Ngãi</v>
      </c>
      <c r="D6712" s="3" t="s">
        <v>446</v>
      </c>
      <c r="E6712" s="4" t="str">
        <f t="shared" si="542"/>
        <v>Huyện Sơn Tịnh</v>
      </c>
      <c r="F6712" s="3" t="s">
        <v>7473</v>
      </c>
      <c r="G6712" s="4" t="str">
        <f>HYPERLINK("https://diaocthongthai.com/xa-tinh-tra-son-tinh/","Xã Tịnh Trà")</f>
        <v>Xã Tịnh Trà</v>
      </c>
    </row>
    <row r="6713" spans="1:7" x14ac:dyDescent="0.25">
      <c r="A6713" s="2">
        <v>6712</v>
      </c>
      <c r="B6713" s="3" t="s">
        <v>36</v>
      </c>
      <c r="C6713" s="4" t="str">
        <f t="shared" si="540"/>
        <v>Quảng Ngãi</v>
      </c>
      <c r="D6713" s="3" t="s">
        <v>446</v>
      </c>
      <c r="E6713" s="4" t="str">
        <f t="shared" si="542"/>
        <v>Huyện Sơn Tịnh</v>
      </c>
      <c r="F6713" s="3" t="s">
        <v>7474</v>
      </c>
      <c r="G6713" s="4" t="str">
        <f>HYPERLINK("https://diaocthongthai.com/xa-tinh-phong-son-tinh/","Xã Tịnh Phong")</f>
        <v>Xã Tịnh Phong</v>
      </c>
    </row>
    <row r="6714" spans="1:7" x14ac:dyDescent="0.25">
      <c r="A6714" s="2">
        <v>6713</v>
      </c>
      <c r="B6714" s="3" t="s">
        <v>36</v>
      </c>
      <c r="C6714" s="4" t="str">
        <f t="shared" ref="C6714:C6745" si="543">HYPERLINK("https://diaocthongthai.com/ban-do-quang-ngai/","Quảng Ngãi")</f>
        <v>Quảng Ngãi</v>
      </c>
      <c r="D6714" s="3" t="s">
        <v>446</v>
      </c>
      <c r="E6714" s="4" t="str">
        <f t="shared" si="542"/>
        <v>Huyện Sơn Tịnh</v>
      </c>
      <c r="F6714" s="3" t="s">
        <v>7475</v>
      </c>
      <c r="G6714" s="4" t="str">
        <f>HYPERLINK("https://diaocthongthai.com/xa-tinh-hiep-son-tinh/","Xã Tịnh Hiệp")</f>
        <v>Xã Tịnh Hiệp</v>
      </c>
    </row>
    <row r="6715" spans="1:7" x14ac:dyDescent="0.25">
      <c r="A6715" s="2">
        <v>6714</v>
      </c>
      <c r="B6715" s="3" t="s">
        <v>36</v>
      </c>
      <c r="C6715" s="4" t="str">
        <f t="shared" si="543"/>
        <v>Quảng Ngãi</v>
      </c>
      <c r="D6715" s="3" t="s">
        <v>446</v>
      </c>
      <c r="E6715" s="4" t="str">
        <f t="shared" si="542"/>
        <v>Huyện Sơn Tịnh</v>
      </c>
      <c r="F6715" s="3" t="s">
        <v>7476</v>
      </c>
      <c r="G6715" s="4" t="str">
        <f>HYPERLINK("https://diaocthongthai.com/xa-tinh-binh-son-tinh/","Xã Tịnh Bình")</f>
        <v>Xã Tịnh Bình</v>
      </c>
    </row>
    <row r="6716" spans="1:7" x14ac:dyDescent="0.25">
      <c r="A6716" s="2">
        <v>6715</v>
      </c>
      <c r="B6716" s="3" t="s">
        <v>36</v>
      </c>
      <c r="C6716" s="4" t="str">
        <f t="shared" si="543"/>
        <v>Quảng Ngãi</v>
      </c>
      <c r="D6716" s="3" t="s">
        <v>446</v>
      </c>
      <c r="E6716" s="4" t="str">
        <f t="shared" si="542"/>
        <v>Huyện Sơn Tịnh</v>
      </c>
      <c r="F6716" s="3" t="s">
        <v>7477</v>
      </c>
      <c r="G6716" s="4" t="str">
        <f>HYPERLINK("https://diaocthongthai.com/xa-tinh-dong-son-tinh/","Xã Tịnh Đông")</f>
        <v>Xã Tịnh Đông</v>
      </c>
    </row>
    <row r="6717" spans="1:7" x14ac:dyDescent="0.25">
      <c r="A6717" s="2">
        <v>6716</v>
      </c>
      <c r="B6717" s="3" t="s">
        <v>36</v>
      </c>
      <c r="C6717" s="4" t="str">
        <f t="shared" si="543"/>
        <v>Quảng Ngãi</v>
      </c>
      <c r="D6717" s="3" t="s">
        <v>446</v>
      </c>
      <c r="E6717" s="4" t="str">
        <f t="shared" si="542"/>
        <v>Huyện Sơn Tịnh</v>
      </c>
      <c r="F6717" s="3" t="s">
        <v>7478</v>
      </c>
      <c r="G6717" s="4" t="str">
        <f>HYPERLINK("https://diaocthongthai.com/xa-tinh-bac-son-tinh/","Xã Tịnh Bắc")</f>
        <v>Xã Tịnh Bắc</v>
      </c>
    </row>
    <row r="6718" spans="1:7" x14ac:dyDescent="0.25">
      <c r="A6718" s="2">
        <v>6717</v>
      </c>
      <c r="B6718" s="3" t="s">
        <v>36</v>
      </c>
      <c r="C6718" s="4" t="str">
        <f t="shared" si="543"/>
        <v>Quảng Ngãi</v>
      </c>
      <c r="D6718" s="3" t="s">
        <v>446</v>
      </c>
      <c r="E6718" s="4" t="str">
        <f t="shared" si="542"/>
        <v>Huyện Sơn Tịnh</v>
      </c>
      <c r="F6718" s="3" t="s">
        <v>7479</v>
      </c>
      <c r="G6718" s="4" t="str">
        <f>HYPERLINK("https://diaocthongthai.com/xa-tinh-son-son-tinh/","Xã Tịnh Sơn")</f>
        <v>Xã Tịnh Sơn</v>
      </c>
    </row>
    <row r="6719" spans="1:7" x14ac:dyDescent="0.25">
      <c r="A6719" s="2">
        <v>6718</v>
      </c>
      <c r="B6719" s="3" t="s">
        <v>36</v>
      </c>
      <c r="C6719" s="4" t="str">
        <f t="shared" si="543"/>
        <v>Quảng Ngãi</v>
      </c>
      <c r="D6719" s="3" t="s">
        <v>446</v>
      </c>
      <c r="E6719" s="4" t="str">
        <f t="shared" si="542"/>
        <v>Huyện Sơn Tịnh</v>
      </c>
      <c r="F6719" s="3" t="s">
        <v>7480</v>
      </c>
      <c r="G6719" s="4" t="str">
        <f>HYPERLINK("https://diaocthongthai.com/xa-tinh-ha-son-tinh/","Xã Tịnh Hà")</f>
        <v>Xã Tịnh Hà</v>
      </c>
    </row>
    <row r="6720" spans="1:7" x14ac:dyDescent="0.25">
      <c r="A6720" s="2">
        <v>6719</v>
      </c>
      <c r="B6720" s="3" t="s">
        <v>36</v>
      </c>
      <c r="C6720" s="4" t="str">
        <f t="shared" si="543"/>
        <v>Quảng Ngãi</v>
      </c>
      <c r="D6720" s="3" t="s">
        <v>446</v>
      </c>
      <c r="E6720" s="4" t="str">
        <f t="shared" si="542"/>
        <v>Huyện Sơn Tịnh</v>
      </c>
      <c r="F6720" s="3" t="s">
        <v>7481</v>
      </c>
      <c r="G6720" s="4" t="str">
        <f>HYPERLINK("https://diaocthongthai.com/xa-tinh-giang-son-tinh/","Xã Tịnh Giang")</f>
        <v>Xã Tịnh Giang</v>
      </c>
    </row>
    <row r="6721" spans="1:7" x14ac:dyDescent="0.25">
      <c r="A6721" s="2">
        <v>6720</v>
      </c>
      <c r="B6721" s="3" t="s">
        <v>36</v>
      </c>
      <c r="C6721" s="4" t="str">
        <f t="shared" si="543"/>
        <v>Quảng Ngãi</v>
      </c>
      <c r="D6721" s="3" t="s">
        <v>446</v>
      </c>
      <c r="E6721" s="4" t="str">
        <f t="shared" si="542"/>
        <v>Huyện Sơn Tịnh</v>
      </c>
      <c r="F6721" s="3" t="s">
        <v>7482</v>
      </c>
      <c r="G6721" s="4" t="str">
        <f>HYPERLINK("https://diaocthongthai.com/xa-tinh-minh-son-tinh/","Xã Tịnh Minh")</f>
        <v>Xã Tịnh Minh</v>
      </c>
    </row>
    <row r="6722" spans="1:7" x14ac:dyDescent="0.25">
      <c r="A6722" s="2">
        <v>6721</v>
      </c>
      <c r="B6722" s="3" t="s">
        <v>36</v>
      </c>
      <c r="C6722" s="4" t="str">
        <f t="shared" si="543"/>
        <v>Quảng Ngãi</v>
      </c>
      <c r="D6722" s="3" t="s">
        <v>447</v>
      </c>
      <c r="E6722" s="4" t="str">
        <f t="shared" ref="E6722:E6735" si="544">HYPERLINK("https://diaocthongthai.com/ban-do-huyen-tu-nghia-quang-ngai/","Huyện Tư Nghĩa")</f>
        <v>Huyện Tư Nghĩa</v>
      </c>
      <c r="F6722" s="3" t="s">
        <v>7483</v>
      </c>
      <c r="G6722" s="4" t="str">
        <f>HYPERLINK("https://diaocthongthai.com/thi-tran-la-ha-tu-nghia/","Thị trấn La Hà")</f>
        <v>Thị trấn La Hà</v>
      </c>
    </row>
    <row r="6723" spans="1:7" x14ac:dyDescent="0.25">
      <c r="A6723" s="2">
        <v>6722</v>
      </c>
      <c r="B6723" s="3" t="s">
        <v>36</v>
      </c>
      <c r="C6723" s="4" t="str">
        <f t="shared" si="543"/>
        <v>Quảng Ngãi</v>
      </c>
      <c r="D6723" s="3" t="s">
        <v>447</v>
      </c>
      <c r="E6723" s="4" t="str">
        <f t="shared" si="544"/>
        <v>Huyện Tư Nghĩa</v>
      </c>
      <c r="F6723" s="3" t="s">
        <v>7484</v>
      </c>
      <c r="G6723" s="4" t="str">
        <f>HYPERLINK("https://diaocthongthai.com/thi-tran-song-ve-tu-nghia/","Thị trấn Sông Vệ")</f>
        <v>Thị trấn Sông Vệ</v>
      </c>
    </row>
    <row r="6724" spans="1:7" x14ac:dyDescent="0.25">
      <c r="A6724" s="2">
        <v>6723</v>
      </c>
      <c r="B6724" s="3" t="s">
        <v>36</v>
      </c>
      <c r="C6724" s="4" t="str">
        <f t="shared" si="543"/>
        <v>Quảng Ngãi</v>
      </c>
      <c r="D6724" s="3" t="s">
        <v>447</v>
      </c>
      <c r="E6724" s="4" t="str">
        <f t="shared" si="544"/>
        <v>Huyện Tư Nghĩa</v>
      </c>
      <c r="F6724" s="3" t="s">
        <v>7485</v>
      </c>
      <c r="G6724" s="4" t="str">
        <f>HYPERLINK("https://diaocthongthai.com/xa-nghia-lam-tu-nghia/","Xã Nghĩa Lâm")</f>
        <v>Xã Nghĩa Lâm</v>
      </c>
    </row>
    <row r="6725" spans="1:7" x14ac:dyDescent="0.25">
      <c r="A6725" s="2">
        <v>6724</v>
      </c>
      <c r="B6725" s="3" t="s">
        <v>36</v>
      </c>
      <c r="C6725" s="4" t="str">
        <f t="shared" si="543"/>
        <v>Quảng Ngãi</v>
      </c>
      <c r="D6725" s="3" t="s">
        <v>447</v>
      </c>
      <c r="E6725" s="4" t="str">
        <f t="shared" si="544"/>
        <v>Huyện Tư Nghĩa</v>
      </c>
      <c r="F6725" s="3" t="s">
        <v>7486</v>
      </c>
      <c r="G6725" s="4" t="str">
        <f>HYPERLINK("https://diaocthongthai.com/xa-nghia-thang-tu-nghia/","Xã Nghĩa Thắng")</f>
        <v>Xã Nghĩa Thắng</v>
      </c>
    </row>
    <row r="6726" spans="1:7" x14ac:dyDescent="0.25">
      <c r="A6726" s="2">
        <v>6725</v>
      </c>
      <c r="B6726" s="3" t="s">
        <v>36</v>
      </c>
      <c r="C6726" s="4" t="str">
        <f t="shared" si="543"/>
        <v>Quảng Ngãi</v>
      </c>
      <c r="D6726" s="3" t="s">
        <v>447</v>
      </c>
      <c r="E6726" s="4" t="str">
        <f t="shared" si="544"/>
        <v>Huyện Tư Nghĩa</v>
      </c>
      <c r="F6726" s="3" t="s">
        <v>7487</v>
      </c>
      <c r="G6726" s="4" t="str">
        <f>HYPERLINK("https://diaocthongthai.com/xa-nghia-thuan-tu-nghia/","Xã Nghĩa Thuận")</f>
        <v>Xã Nghĩa Thuận</v>
      </c>
    </row>
    <row r="6727" spans="1:7" x14ac:dyDescent="0.25">
      <c r="A6727" s="2">
        <v>6726</v>
      </c>
      <c r="B6727" s="3" t="s">
        <v>36</v>
      </c>
      <c r="C6727" s="4" t="str">
        <f t="shared" si="543"/>
        <v>Quảng Ngãi</v>
      </c>
      <c r="D6727" s="3" t="s">
        <v>447</v>
      </c>
      <c r="E6727" s="4" t="str">
        <f t="shared" si="544"/>
        <v>Huyện Tư Nghĩa</v>
      </c>
      <c r="F6727" s="3" t="s">
        <v>7488</v>
      </c>
      <c r="G6727" s="4" t="str">
        <f>HYPERLINK("https://diaocthongthai.com/xa-nghia-ky-tu-nghia/","Xã Nghĩa Kỳ")</f>
        <v>Xã Nghĩa Kỳ</v>
      </c>
    </row>
    <row r="6728" spans="1:7" x14ac:dyDescent="0.25">
      <c r="A6728" s="2">
        <v>6727</v>
      </c>
      <c r="B6728" s="3" t="s">
        <v>36</v>
      </c>
      <c r="C6728" s="4" t="str">
        <f t="shared" si="543"/>
        <v>Quảng Ngãi</v>
      </c>
      <c r="D6728" s="3" t="s">
        <v>447</v>
      </c>
      <c r="E6728" s="4" t="str">
        <f t="shared" si="544"/>
        <v>Huyện Tư Nghĩa</v>
      </c>
      <c r="F6728" s="3" t="s">
        <v>7489</v>
      </c>
      <c r="G6728" s="4" t="str">
        <f>HYPERLINK("https://diaocthongthai.com/xa-nghia-son-tu-nghia/","Xã Nghĩa Sơn")</f>
        <v>Xã Nghĩa Sơn</v>
      </c>
    </row>
    <row r="6729" spans="1:7" x14ac:dyDescent="0.25">
      <c r="A6729" s="2">
        <v>6728</v>
      </c>
      <c r="B6729" s="3" t="s">
        <v>36</v>
      </c>
      <c r="C6729" s="4" t="str">
        <f t="shared" si="543"/>
        <v>Quảng Ngãi</v>
      </c>
      <c r="D6729" s="3" t="s">
        <v>447</v>
      </c>
      <c r="E6729" s="4" t="str">
        <f t="shared" si="544"/>
        <v>Huyện Tư Nghĩa</v>
      </c>
      <c r="F6729" s="3" t="s">
        <v>7490</v>
      </c>
      <c r="G6729" s="4" t="str">
        <f>HYPERLINK("https://diaocthongthai.com/xa-nghia-hoa-tu-nghia/","Xã Nghĩa Hòa")</f>
        <v>Xã Nghĩa Hòa</v>
      </c>
    </row>
    <row r="6730" spans="1:7" x14ac:dyDescent="0.25">
      <c r="A6730" s="2">
        <v>6729</v>
      </c>
      <c r="B6730" s="3" t="s">
        <v>36</v>
      </c>
      <c r="C6730" s="4" t="str">
        <f t="shared" si="543"/>
        <v>Quảng Ngãi</v>
      </c>
      <c r="D6730" s="3" t="s">
        <v>447</v>
      </c>
      <c r="E6730" s="4" t="str">
        <f t="shared" si="544"/>
        <v>Huyện Tư Nghĩa</v>
      </c>
      <c r="F6730" s="3" t="s">
        <v>7491</v>
      </c>
      <c r="G6730" s="4" t="str">
        <f>HYPERLINK("https://diaocthongthai.com/xa-nghia-dien-tu-nghia/","Xã Nghĩa Điền")</f>
        <v>Xã Nghĩa Điền</v>
      </c>
    </row>
    <row r="6731" spans="1:7" x14ac:dyDescent="0.25">
      <c r="A6731" s="2">
        <v>6730</v>
      </c>
      <c r="B6731" s="3" t="s">
        <v>36</v>
      </c>
      <c r="C6731" s="4" t="str">
        <f t="shared" si="543"/>
        <v>Quảng Ngãi</v>
      </c>
      <c r="D6731" s="3" t="s">
        <v>447</v>
      </c>
      <c r="E6731" s="4" t="str">
        <f t="shared" si="544"/>
        <v>Huyện Tư Nghĩa</v>
      </c>
      <c r="F6731" s="3" t="s">
        <v>7492</v>
      </c>
      <c r="G6731" s="4" t="str">
        <f>HYPERLINK("https://diaocthongthai.com/xa-nghia-thuong-tu-nghia/","Xã Nghĩa Thương")</f>
        <v>Xã Nghĩa Thương</v>
      </c>
    </row>
    <row r="6732" spans="1:7" x14ac:dyDescent="0.25">
      <c r="A6732" s="2">
        <v>6731</v>
      </c>
      <c r="B6732" s="3" t="s">
        <v>36</v>
      </c>
      <c r="C6732" s="4" t="str">
        <f t="shared" si="543"/>
        <v>Quảng Ngãi</v>
      </c>
      <c r="D6732" s="3" t="s">
        <v>447</v>
      </c>
      <c r="E6732" s="4" t="str">
        <f t="shared" si="544"/>
        <v>Huyện Tư Nghĩa</v>
      </c>
      <c r="F6732" s="3" t="s">
        <v>7493</v>
      </c>
      <c r="G6732" s="4" t="str">
        <f>HYPERLINK("https://diaocthongthai.com/xa-nghia-trung-tu-nghia/","Xã Nghĩa Trung")</f>
        <v>Xã Nghĩa Trung</v>
      </c>
    </row>
    <row r="6733" spans="1:7" x14ac:dyDescent="0.25">
      <c r="A6733" s="2">
        <v>6732</v>
      </c>
      <c r="B6733" s="3" t="s">
        <v>36</v>
      </c>
      <c r="C6733" s="4" t="str">
        <f t="shared" si="543"/>
        <v>Quảng Ngãi</v>
      </c>
      <c r="D6733" s="3" t="s">
        <v>447</v>
      </c>
      <c r="E6733" s="4" t="str">
        <f t="shared" si="544"/>
        <v>Huyện Tư Nghĩa</v>
      </c>
      <c r="F6733" s="3" t="s">
        <v>7494</v>
      </c>
      <c r="G6733" s="4" t="str">
        <f>HYPERLINK("https://diaocthongthai.com/xa-nghia-hiep-tu-nghia/","Xã Nghĩa Hiệp")</f>
        <v>Xã Nghĩa Hiệp</v>
      </c>
    </row>
    <row r="6734" spans="1:7" x14ac:dyDescent="0.25">
      <c r="A6734" s="2">
        <v>6733</v>
      </c>
      <c r="B6734" s="3" t="s">
        <v>36</v>
      </c>
      <c r="C6734" s="4" t="str">
        <f t="shared" si="543"/>
        <v>Quảng Ngãi</v>
      </c>
      <c r="D6734" s="3" t="s">
        <v>447</v>
      </c>
      <c r="E6734" s="4" t="str">
        <f t="shared" si="544"/>
        <v>Huyện Tư Nghĩa</v>
      </c>
      <c r="F6734" s="3" t="s">
        <v>7495</v>
      </c>
      <c r="G6734" s="4" t="str">
        <f>HYPERLINK("https://diaocthongthai.com/xa-nghia-phuong-tu-nghia/","Xã Nghĩa Phương")</f>
        <v>Xã Nghĩa Phương</v>
      </c>
    </row>
    <row r="6735" spans="1:7" x14ac:dyDescent="0.25">
      <c r="A6735" s="2">
        <v>6734</v>
      </c>
      <c r="B6735" s="3" t="s">
        <v>36</v>
      </c>
      <c r="C6735" s="4" t="str">
        <f t="shared" si="543"/>
        <v>Quảng Ngãi</v>
      </c>
      <c r="D6735" s="3" t="s">
        <v>447</v>
      </c>
      <c r="E6735" s="4" t="str">
        <f t="shared" si="544"/>
        <v>Huyện Tư Nghĩa</v>
      </c>
      <c r="F6735" s="3" t="s">
        <v>7496</v>
      </c>
      <c r="G6735" s="4" t="str">
        <f>HYPERLINK("https://diaocthongthai.com/xa-nghia-my-tu-nghia/","Xã Nghĩa Mỹ")</f>
        <v>Xã Nghĩa Mỹ</v>
      </c>
    </row>
    <row r="6736" spans="1:7" x14ac:dyDescent="0.25">
      <c r="A6736" s="2">
        <v>6735</v>
      </c>
      <c r="B6736" s="3" t="s">
        <v>36</v>
      </c>
      <c r="C6736" s="4" t="str">
        <f t="shared" si="543"/>
        <v>Quảng Ngãi</v>
      </c>
      <c r="D6736" s="3" t="s">
        <v>448</v>
      </c>
      <c r="E6736" s="4" t="str">
        <f t="shared" ref="E6736:E6749" si="545">HYPERLINK("https://diaocthongthai.com/ban-do-huyen-son-ha-quang-ngai/","Huyện Sơn Hà")</f>
        <v>Huyện Sơn Hà</v>
      </c>
      <c r="F6736" s="3" t="s">
        <v>7497</v>
      </c>
      <c r="G6736" s="4" t="str">
        <f>HYPERLINK("https://diaocthongthai.com/thi-tran-di-lang-son-ha/","Thị trấn Di Lăng")</f>
        <v>Thị trấn Di Lăng</v>
      </c>
    </row>
    <row r="6737" spans="1:7" x14ac:dyDescent="0.25">
      <c r="A6737" s="2">
        <v>6736</v>
      </c>
      <c r="B6737" s="3" t="s">
        <v>36</v>
      </c>
      <c r="C6737" s="4" t="str">
        <f t="shared" si="543"/>
        <v>Quảng Ngãi</v>
      </c>
      <c r="D6737" s="3" t="s">
        <v>448</v>
      </c>
      <c r="E6737" s="4" t="str">
        <f t="shared" si="545"/>
        <v>Huyện Sơn Hà</v>
      </c>
      <c r="F6737" s="3" t="s">
        <v>7498</v>
      </c>
      <c r="G6737" s="4" t="str">
        <f>HYPERLINK("https://diaocthongthai.com/xa-son-ha-son-ha/","Xã Sơn Hạ")</f>
        <v>Xã Sơn Hạ</v>
      </c>
    </row>
    <row r="6738" spans="1:7" x14ac:dyDescent="0.25">
      <c r="A6738" s="2">
        <v>6737</v>
      </c>
      <c r="B6738" s="3" t="s">
        <v>36</v>
      </c>
      <c r="C6738" s="4" t="str">
        <f t="shared" si="543"/>
        <v>Quảng Ngãi</v>
      </c>
      <c r="D6738" s="3" t="s">
        <v>448</v>
      </c>
      <c r="E6738" s="4" t="str">
        <f t="shared" si="545"/>
        <v>Huyện Sơn Hà</v>
      </c>
      <c r="F6738" s="3" t="s">
        <v>7499</v>
      </c>
      <c r="G6738" s="4" t="str">
        <f>HYPERLINK("https://diaocthongthai.com/xa-son-thanh-son-ha/","Xã Sơn Thành")</f>
        <v>Xã Sơn Thành</v>
      </c>
    </row>
    <row r="6739" spans="1:7" x14ac:dyDescent="0.25">
      <c r="A6739" s="2">
        <v>6738</v>
      </c>
      <c r="B6739" s="3" t="s">
        <v>36</v>
      </c>
      <c r="C6739" s="4" t="str">
        <f t="shared" si="543"/>
        <v>Quảng Ngãi</v>
      </c>
      <c r="D6739" s="3" t="s">
        <v>448</v>
      </c>
      <c r="E6739" s="4" t="str">
        <f t="shared" si="545"/>
        <v>Huyện Sơn Hà</v>
      </c>
      <c r="F6739" s="3" t="s">
        <v>7500</v>
      </c>
      <c r="G6739" s="4" t="str">
        <f>HYPERLINK("https://diaocthongthai.com/xa-son-nham-son-ha/","Xã Sơn Nham")</f>
        <v>Xã Sơn Nham</v>
      </c>
    </row>
    <row r="6740" spans="1:7" x14ac:dyDescent="0.25">
      <c r="A6740" s="2">
        <v>6739</v>
      </c>
      <c r="B6740" s="3" t="s">
        <v>36</v>
      </c>
      <c r="C6740" s="4" t="str">
        <f t="shared" si="543"/>
        <v>Quảng Ngãi</v>
      </c>
      <c r="D6740" s="3" t="s">
        <v>448</v>
      </c>
      <c r="E6740" s="4" t="str">
        <f t="shared" si="545"/>
        <v>Huyện Sơn Hà</v>
      </c>
      <c r="F6740" s="3" t="s">
        <v>7501</v>
      </c>
      <c r="G6740" s="4" t="str">
        <f>HYPERLINK("https://diaocthongthai.com/xa-son-bao-son-ha/","Xã Sơn Bao")</f>
        <v>Xã Sơn Bao</v>
      </c>
    </row>
    <row r="6741" spans="1:7" x14ac:dyDescent="0.25">
      <c r="A6741" s="2">
        <v>6740</v>
      </c>
      <c r="B6741" s="3" t="s">
        <v>36</v>
      </c>
      <c r="C6741" s="4" t="str">
        <f t="shared" si="543"/>
        <v>Quảng Ngãi</v>
      </c>
      <c r="D6741" s="3" t="s">
        <v>448</v>
      </c>
      <c r="E6741" s="4" t="str">
        <f t="shared" si="545"/>
        <v>Huyện Sơn Hà</v>
      </c>
      <c r="F6741" s="3" t="s">
        <v>7502</v>
      </c>
      <c r="G6741" s="4" t="str">
        <f>HYPERLINK("https://diaocthongthai.com/xa-son-linh-son-ha/","Xã Sơn Linh")</f>
        <v>Xã Sơn Linh</v>
      </c>
    </row>
    <row r="6742" spans="1:7" x14ac:dyDescent="0.25">
      <c r="A6742" s="2">
        <v>6741</v>
      </c>
      <c r="B6742" s="3" t="s">
        <v>36</v>
      </c>
      <c r="C6742" s="4" t="str">
        <f t="shared" si="543"/>
        <v>Quảng Ngãi</v>
      </c>
      <c r="D6742" s="3" t="s">
        <v>448</v>
      </c>
      <c r="E6742" s="4" t="str">
        <f t="shared" si="545"/>
        <v>Huyện Sơn Hà</v>
      </c>
      <c r="F6742" s="3" t="s">
        <v>7503</v>
      </c>
      <c r="G6742" s="4" t="str">
        <f>HYPERLINK("https://diaocthongthai.com/xa-son-giang-son-ha/","Xã Sơn Giang")</f>
        <v>Xã Sơn Giang</v>
      </c>
    </row>
    <row r="6743" spans="1:7" x14ac:dyDescent="0.25">
      <c r="A6743" s="2">
        <v>6742</v>
      </c>
      <c r="B6743" s="3" t="s">
        <v>36</v>
      </c>
      <c r="C6743" s="4" t="str">
        <f t="shared" si="543"/>
        <v>Quảng Ngãi</v>
      </c>
      <c r="D6743" s="3" t="s">
        <v>448</v>
      </c>
      <c r="E6743" s="4" t="str">
        <f t="shared" si="545"/>
        <v>Huyện Sơn Hà</v>
      </c>
      <c r="F6743" s="3" t="s">
        <v>7504</v>
      </c>
      <c r="G6743" s="4" t="str">
        <f>HYPERLINK("https://diaocthongthai.com/xa-son-trung-son-ha/","Xã Sơn Trung")</f>
        <v>Xã Sơn Trung</v>
      </c>
    </row>
    <row r="6744" spans="1:7" x14ac:dyDescent="0.25">
      <c r="A6744" s="2">
        <v>6743</v>
      </c>
      <c r="B6744" s="3" t="s">
        <v>36</v>
      </c>
      <c r="C6744" s="4" t="str">
        <f t="shared" si="543"/>
        <v>Quảng Ngãi</v>
      </c>
      <c r="D6744" s="3" t="s">
        <v>448</v>
      </c>
      <c r="E6744" s="4" t="str">
        <f t="shared" si="545"/>
        <v>Huyện Sơn Hà</v>
      </c>
      <c r="F6744" s="3" t="s">
        <v>7505</v>
      </c>
      <c r="G6744" s="4" t="str">
        <f>HYPERLINK("https://diaocthongthai.com/xa-son-thuong-son-ha/","Xã Sơn Thượng")</f>
        <v>Xã Sơn Thượng</v>
      </c>
    </row>
    <row r="6745" spans="1:7" x14ac:dyDescent="0.25">
      <c r="A6745" s="2">
        <v>6744</v>
      </c>
      <c r="B6745" s="3" t="s">
        <v>36</v>
      </c>
      <c r="C6745" s="4" t="str">
        <f t="shared" si="543"/>
        <v>Quảng Ngãi</v>
      </c>
      <c r="D6745" s="3" t="s">
        <v>448</v>
      </c>
      <c r="E6745" s="4" t="str">
        <f t="shared" si="545"/>
        <v>Huyện Sơn Hà</v>
      </c>
      <c r="F6745" s="3" t="s">
        <v>7506</v>
      </c>
      <c r="G6745" s="4" t="str">
        <f>HYPERLINK("https://diaocthongthai.com/xa-son-cao-son-ha/","Xã Sơn Cao")</f>
        <v>Xã Sơn Cao</v>
      </c>
    </row>
    <row r="6746" spans="1:7" x14ac:dyDescent="0.25">
      <c r="A6746" s="2">
        <v>6745</v>
      </c>
      <c r="B6746" s="3" t="s">
        <v>36</v>
      </c>
      <c r="C6746" s="4" t="str">
        <f t="shared" ref="C6746:C6777" si="546">HYPERLINK("https://diaocthongthai.com/ban-do-quang-ngai/","Quảng Ngãi")</f>
        <v>Quảng Ngãi</v>
      </c>
      <c r="D6746" s="3" t="s">
        <v>448</v>
      </c>
      <c r="E6746" s="4" t="str">
        <f t="shared" si="545"/>
        <v>Huyện Sơn Hà</v>
      </c>
      <c r="F6746" s="3" t="s">
        <v>7507</v>
      </c>
      <c r="G6746" s="4" t="str">
        <f>HYPERLINK("https://diaocthongthai.com/xa-son-hai-son-ha/","Xã Sơn Hải")</f>
        <v>Xã Sơn Hải</v>
      </c>
    </row>
    <row r="6747" spans="1:7" x14ac:dyDescent="0.25">
      <c r="A6747" s="2">
        <v>6746</v>
      </c>
      <c r="B6747" s="3" t="s">
        <v>36</v>
      </c>
      <c r="C6747" s="4" t="str">
        <f t="shared" si="546"/>
        <v>Quảng Ngãi</v>
      </c>
      <c r="D6747" s="3" t="s">
        <v>448</v>
      </c>
      <c r="E6747" s="4" t="str">
        <f t="shared" si="545"/>
        <v>Huyện Sơn Hà</v>
      </c>
      <c r="F6747" s="3" t="s">
        <v>7508</v>
      </c>
      <c r="G6747" s="4" t="str">
        <f>HYPERLINK("https://diaocthongthai.com/xa-son-thuy-son-ha/","Xã Sơn Thủy")</f>
        <v>Xã Sơn Thủy</v>
      </c>
    </row>
    <row r="6748" spans="1:7" x14ac:dyDescent="0.25">
      <c r="A6748" s="2">
        <v>6747</v>
      </c>
      <c r="B6748" s="3" t="s">
        <v>36</v>
      </c>
      <c r="C6748" s="4" t="str">
        <f t="shared" si="546"/>
        <v>Quảng Ngãi</v>
      </c>
      <c r="D6748" s="3" t="s">
        <v>448</v>
      </c>
      <c r="E6748" s="4" t="str">
        <f t="shared" si="545"/>
        <v>Huyện Sơn Hà</v>
      </c>
      <c r="F6748" s="3" t="s">
        <v>7509</v>
      </c>
      <c r="G6748" s="4" t="str">
        <f>HYPERLINK("https://diaocthongthai.com/xa-son-ky-son-ha/","Xã Sơn Kỳ")</f>
        <v>Xã Sơn Kỳ</v>
      </c>
    </row>
    <row r="6749" spans="1:7" x14ac:dyDescent="0.25">
      <c r="A6749" s="2">
        <v>6748</v>
      </c>
      <c r="B6749" s="3" t="s">
        <v>36</v>
      </c>
      <c r="C6749" s="4" t="str">
        <f t="shared" si="546"/>
        <v>Quảng Ngãi</v>
      </c>
      <c r="D6749" s="3" t="s">
        <v>448</v>
      </c>
      <c r="E6749" s="4" t="str">
        <f t="shared" si="545"/>
        <v>Huyện Sơn Hà</v>
      </c>
      <c r="F6749" s="3" t="s">
        <v>7510</v>
      </c>
      <c r="G6749" s="4" t="str">
        <f>HYPERLINK("https://diaocthongthai.com/xa-son-ba-son-ha/","Xã Sơn Ba")</f>
        <v>Xã Sơn Ba</v>
      </c>
    </row>
    <row r="6750" spans="1:7" x14ac:dyDescent="0.25">
      <c r="A6750" s="2">
        <v>6749</v>
      </c>
      <c r="B6750" s="3" t="s">
        <v>36</v>
      </c>
      <c r="C6750" s="4" t="str">
        <f t="shared" si="546"/>
        <v>Quảng Ngãi</v>
      </c>
      <c r="D6750" s="3" t="s">
        <v>449</v>
      </c>
      <c r="E6750" s="4" t="str">
        <f t="shared" ref="E6750:E6758" si="547">HYPERLINK("https://diaocthongthai.com/ban-do-huyen-son-tay-quang-ngai/","Huyện Sơn Tây")</f>
        <v>Huyện Sơn Tây</v>
      </c>
      <c r="F6750" s="3" t="s">
        <v>7511</v>
      </c>
      <c r="G6750" s="4" t="str">
        <f>HYPERLINK("https://diaocthongthai.com/xa-son-bua-son-tay-quang-ngai/","Xã Sơn Bua")</f>
        <v>Xã Sơn Bua</v>
      </c>
    </row>
    <row r="6751" spans="1:7" x14ac:dyDescent="0.25">
      <c r="A6751" s="2">
        <v>6750</v>
      </c>
      <c r="B6751" s="3" t="s">
        <v>36</v>
      </c>
      <c r="C6751" s="4" t="str">
        <f t="shared" si="546"/>
        <v>Quảng Ngãi</v>
      </c>
      <c r="D6751" s="3" t="s">
        <v>449</v>
      </c>
      <c r="E6751" s="4" t="str">
        <f t="shared" si="547"/>
        <v>Huyện Sơn Tây</v>
      </c>
      <c r="F6751" s="3" t="s">
        <v>7512</v>
      </c>
      <c r="G6751" s="4" t="str">
        <f>HYPERLINK("https://diaocthongthai.com/xa-son-mua-son-tay-quang-ngai/","Xã Sơn Mùa")</f>
        <v>Xã Sơn Mùa</v>
      </c>
    </row>
    <row r="6752" spans="1:7" x14ac:dyDescent="0.25">
      <c r="A6752" s="2">
        <v>6751</v>
      </c>
      <c r="B6752" s="3" t="s">
        <v>36</v>
      </c>
      <c r="C6752" s="4" t="str">
        <f t="shared" si="546"/>
        <v>Quảng Ngãi</v>
      </c>
      <c r="D6752" s="3" t="s">
        <v>449</v>
      </c>
      <c r="E6752" s="4" t="str">
        <f t="shared" si="547"/>
        <v>Huyện Sơn Tây</v>
      </c>
      <c r="F6752" s="3" t="s">
        <v>7513</v>
      </c>
      <c r="G6752" s="4" t="str">
        <f>HYPERLINK("https://diaocthongthai.com/xa-son-lien-son-tay-quang-ngai/","Xã Sơn Liên")</f>
        <v>Xã Sơn Liên</v>
      </c>
    </row>
    <row r="6753" spans="1:7" x14ac:dyDescent="0.25">
      <c r="A6753" s="2">
        <v>6752</v>
      </c>
      <c r="B6753" s="3" t="s">
        <v>36</v>
      </c>
      <c r="C6753" s="4" t="str">
        <f t="shared" si="546"/>
        <v>Quảng Ngãi</v>
      </c>
      <c r="D6753" s="3" t="s">
        <v>449</v>
      </c>
      <c r="E6753" s="4" t="str">
        <f t="shared" si="547"/>
        <v>Huyện Sơn Tây</v>
      </c>
      <c r="F6753" s="3" t="s">
        <v>7514</v>
      </c>
      <c r="G6753" s="4" t="str">
        <f>HYPERLINK("https://diaocthongthai.com/xa-son-tan-son-tay-quang-ngai/","Xã Sơn Tân")</f>
        <v>Xã Sơn Tân</v>
      </c>
    </row>
    <row r="6754" spans="1:7" x14ac:dyDescent="0.25">
      <c r="A6754" s="2">
        <v>6753</v>
      </c>
      <c r="B6754" s="3" t="s">
        <v>36</v>
      </c>
      <c r="C6754" s="4" t="str">
        <f t="shared" si="546"/>
        <v>Quảng Ngãi</v>
      </c>
      <c r="D6754" s="3" t="s">
        <v>449</v>
      </c>
      <c r="E6754" s="4" t="str">
        <f t="shared" si="547"/>
        <v>Huyện Sơn Tây</v>
      </c>
      <c r="F6754" s="3" t="s">
        <v>7515</v>
      </c>
      <c r="G6754" s="4" t="str">
        <f>HYPERLINK("https://diaocthongthai.com/xa-son-mau-son-tay-quang-ngai/","Xã Sơn Màu")</f>
        <v>Xã Sơn Màu</v>
      </c>
    </row>
    <row r="6755" spans="1:7" x14ac:dyDescent="0.25">
      <c r="A6755" s="2">
        <v>6754</v>
      </c>
      <c r="B6755" s="3" t="s">
        <v>36</v>
      </c>
      <c r="C6755" s="4" t="str">
        <f t="shared" si="546"/>
        <v>Quảng Ngãi</v>
      </c>
      <c r="D6755" s="3" t="s">
        <v>449</v>
      </c>
      <c r="E6755" s="4" t="str">
        <f t="shared" si="547"/>
        <v>Huyện Sơn Tây</v>
      </c>
      <c r="F6755" s="3" t="s">
        <v>7516</v>
      </c>
      <c r="G6755" s="4" t="str">
        <f>HYPERLINK("https://diaocthongthai.com/xa-son-dung-son-tay-quang-ngai/","Xã Sơn Dung")</f>
        <v>Xã Sơn Dung</v>
      </c>
    </row>
    <row r="6756" spans="1:7" x14ac:dyDescent="0.25">
      <c r="A6756" s="2">
        <v>6755</v>
      </c>
      <c r="B6756" s="3" t="s">
        <v>36</v>
      </c>
      <c r="C6756" s="4" t="str">
        <f t="shared" si="546"/>
        <v>Quảng Ngãi</v>
      </c>
      <c r="D6756" s="3" t="s">
        <v>449</v>
      </c>
      <c r="E6756" s="4" t="str">
        <f t="shared" si="547"/>
        <v>Huyện Sơn Tây</v>
      </c>
      <c r="F6756" s="3" t="s">
        <v>7517</v>
      </c>
      <c r="G6756" s="4" t="str">
        <f>HYPERLINK("https://diaocthongthai.com/xa-son-long-son-tay-quang-ngai/","Xã Sơn Long")</f>
        <v>Xã Sơn Long</v>
      </c>
    </row>
    <row r="6757" spans="1:7" x14ac:dyDescent="0.25">
      <c r="A6757" s="2">
        <v>6756</v>
      </c>
      <c r="B6757" s="3" t="s">
        <v>36</v>
      </c>
      <c r="C6757" s="4" t="str">
        <f t="shared" si="546"/>
        <v>Quảng Ngãi</v>
      </c>
      <c r="D6757" s="3" t="s">
        <v>449</v>
      </c>
      <c r="E6757" s="4" t="str">
        <f t="shared" si="547"/>
        <v>Huyện Sơn Tây</v>
      </c>
      <c r="F6757" s="3" t="s">
        <v>7518</v>
      </c>
      <c r="G6757" s="4" t="str">
        <f>HYPERLINK("https://diaocthongthai.com/xa-son-tinh-son-tay-quang-ngai/","Xã Sơn Tinh")</f>
        <v>Xã Sơn Tinh</v>
      </c>
    </row>
    <row r="6758" spans="1:7" x14ac:dyDescent="0.25">
      <c r="A6758" s="2">
        <v>6757</v>
      </c>
      <c r="B6758" s="3" t="s">
        <v>36</v>
      </c>
      <c r="C6758" s="4" t="str">
        <f t="shared" si="546"/>
        <v>Quảng Ngãi</v>
      </c>
      <c r="D6758" s="3" t="s">
        <v>449</v>
      </c>
      <c r="E6758" s="4" t="str">
        <f t="shared" si="547"/>
        <v>Huyện Sơn Tây</v>
      </c>
      <c r="F6758" s="3" t="s">
        <v>7519</v>
      </c>
      <c r="G6758" s="4" t="str">
        <f>HYPERLINK("https://diaocthongthai.com/xa-son-lap-son-tay-quang-ngai/","Xã Sơn Lập")</f>
        <v>Xã Sơn Lập</v>
      </c>
    </row>
    <row r="6759" spans="1:7" x14ac:dyDescent="0.25">
      <c r="A6759" s="2">
        <v>6758</v>
      </c>
      <c r="B6759" s="3" t="s">
        <v>36</v>
      </c>
      <c r="C6759" s="4" t="str">
        <f t="shared" si="546"/>
        <v>Quảng Ngãi</v>
      </c>
      <c r="D6759" s="3" t="s">
        <v>450</v>
      </c>
      <c r="E6759" s="4" t="str">
        <f>HYPERLINK("https://diaocthongthai.com/ban-do-huyen-minh-long-quang-ngai/","Huyện Minh Long")</f>
        <v>Huyện Minh Long</v>
      </c>
      <c r="F6759" s="3" t="s">
        <v>7520</v>
      </c>
      <c r="G6759" s="4" t="str">
        <f>HYPERLINK("https://diaocthongthai.com/xa-long-son-minh-long/","Xã Long Sơn")</f>
        <v>Xã Long Sơn</v>
      </c>
    </row>
    <row r="6760" spans="1:7" x14ac:dyDescent="0.25">
      <c r="A6760" s="2">
        <v>6759</v>
      </c>
      <c r="B6760" s="3" t="s">
        <v>36</v>
      </c>
      <c r="C6760" s="4" t="str">
        <f t="shared" si="546"/>
        <v>Quảng Ngãi</v>
      </c>
      <c r="D6760" s="3" t="s">
        <v>450</v>
      </c>
      <c r="E6760" s="4" t="str">
        <f>HYPERLINK("https://diaocthongthai.com/ban-do-huyen-minh-long-quang-ngai/","Huyện Minh Long")</f>
        <v>Huyện Minh Long</v>
      </c>
      <c r="F6760" s="3" t="s">
        <v>7521</v>
      </c>
      <c r="G6760" s="4" t="str">
        <f>HYPERLINK("https://diaocthongthai.com/xa-long-mai-minh-long/","Xã Long Mai")</f>
        <v>Xã Long Mai</v>
      </c>
    </row>
    <row r="6761" spans="1:7" x14ac:dyDescent="0.25">
      <c r="A6761" s="2">
        <v>6760</v>
      </c>
      <c r="B6761" s="3" t="s">
        <v>36</v>
      </c>
      <c r="C6761" s="4" t="str">
        <f t="shared" si="546"/>
        <v>Quảng Ngãi</v>
      </c>
      <c r="D6761" s="3" t="s">
        <v>450</v>
      </c>
      <c r="E6761" s="4" t="str">
        <f>HYPERLINK("https://diaocthongthai.com/ban-do-huyen-minh-long-quang-ngai/","Huyện Minh Long")</f>
        <v>Huyện Minh Long</v>
      </c>
      <c r="F6761" s="3" t="s">
        <v>7522</v>
      </c>
      <c r="G6761" s="4" t="str">
        <f>HYPERLINK("https://diaocthongthai.com/xa-thanh-an-minh-long/","Xã Thanh An")</f>
        <v>Xã Thanh An</v>
      </c>
    </row>
    <row r="6762" spans="1:7" x14ac:dyDescent="0.25">
      <c r="A6762" s="2">
        <v>6761</v>
      </c>
      <c r="B6762" s="3" t="s">
        <v>36</v>
      </c>
      <c r="C6762" s="4" t="str">
        <f t="shared" si="546"/>
        <v>Quảng Ngãi</v>
      </c>
      <c r="D6762" s="3" t="s">
        <v>450</v>
      </c>
      <c r="E6762" s="4" t="str">
        <f>HYPERLINK("https://diaocthongthai.com/ban-do-huyen-minh-long-quang-ngai/","Huyện Minh Long")</f>
        <v>Huyện Minh Long</v>
      </c>
      <c r="F6762" s="3" t="s">
        <v>7523</v>
      </c>
      <c r="G6762" s="4" t="str">
        <f>HYPERLINK("https://diaocthongthai.com/xa-long-mon-minh-long/","Xã Long Môn")</f>
        <v>Xã Long Môn</v>
      </c>
    </row>
    <row r="6763" spans="1:7" x14ac:dyDescent="0.25">
      <c r="A6763" s="2">
        <v>6762</v>
      </c>
      <c r="B6763" s="3" t="s">
        <v>36</v>
      </c>
      <c r="C6763" s="4" t="str">
        <f t="shared" si="546"/>
        <v>Quảng Ngãi</v>
      </c>
      <c r="D6763" s="3" t="s">
        <v>450</v>
      </c>
      <c r="E6763" s="4" t="str">
        <f>HYPERLINK("https://diaocthongthai.com/ban-do-huyen-minh-long-quang-ngai/","Huyện Minh Long")</f>
        <v>Huyện Minh Long</v>
      </c>
      <c r="F6763" s="3" t="s">
        <v>7524</v>
      </c>
      <c r="G6763" s="4" t="str">
        <f>HYPERLINK("https://diaocthongthai.com/xa-long-hiep-minh-long/","Xã Long Hiệp")</f>
        <v>Xã Long Hiệp</v>
      </c>
    </row>
    <row r="6764" spans="1:7" x14ac:dyDescent="0.25">
      <c r="A6764" s="2">
        <v>6763</v>
      </c>
      <c r="B6764" s="3" t="s">
        <v>36</v>
      </c>
      <c r="C6764" s="4" t="str">
        <f t="shared" si="546"/>
        <v>Quảng Ngãi</v>
      </c>
      <c r="D6764" s="3" t="s">
        <v>451</v>
      </c>
      <c r="E6764" s="4" t="str">
        <f t="shared" ref="E6764:E6775" si="548">HYPERLINK("https://diaocthongthai.com/ban-do-huyen-nghia-hanh-quang-ngai/","Huyện Nghĩa Hành")</f>
        <v>Huyện Nghĩa Hành</v>
      </c>
      <c r="F6764" s="3" t="s">
        <v>7525</v>
      </c>
      <c r="G6764" s="4" t="str">
        <f>HYPERLINK("https://diaocthongthai.com/thi-tran-cho-chua-nghia-hanh/","Thị trấn Chợ Chùa")</f>
        <v>Thị trấn Chợ Chùa</v>
      </c>
    </row>
    <row r="6765" spans="1:7" x14ac:dyDescent="0.25">
      <c r="A6765" s="2">
        <v>6764</v>
      </c>
      <c r="B6765" s="3" t="s">
        <v>36</v>
      </c>
      <c r="C6765" s="4" t="str">
        <f t="shared" si="546"/>
        <v>Quảng Ngãi</v>
      </c>
      <c r="D6765" s="3" t="s">
        <v>451</v>
      </c>
      <c r="E6765" s="4" t="str">
        <f t="shared" si="548"/>
        <v>Huyện Nghĩa Hành</v>
      </c>
      <c r="F6765" s="3" t="s">
        <v>7526</v>
      </c>
      <c r="G6765" s="4" t="str">
        <f>HYPERLINK("https://diaocthongthai.com/xa-hanh-thuan-nghia-hanh/","Xã Hành Thuận")</f>
        <v>Xã Hành Thuận</v>
      </c>
    </row>
    <row r="6766" spans="1:7" x14ac:dyDescent="0.25">
      <c r="A6766" s="2">
        <v>6765</v>
      </c>
      <c r="B6766" s="3" t="s">
        <v>36</v>
      </c>
      <c r="C6766" s="4" t="str">
        <f t="shared" si="546"/>
        <v>Quảng Ngãi</v>
      </c>
      <c r="D6766" s="3" t="s">
        <v>451</v>
      </c>
      <c r="E6766" s="4" t="str">
        <f t="shared" si="548"/>
        <v>Huyện Nghĩa Hành</v>
      </c>
      <c r="F6766" s="3" t="s">
        <v>7527</v>
      </c>
      <c r="G6766" s="4" t="str">
        <f>HYPERLINK("https://diaocthongthai.com/xa-hanh-dung-nghia-hanh/","Xã Hành Dũng")</f>
        <v>Xã Hành Dũng</v>
      </c>
    </row>
    <row r="6767" spans="1:7" x14ac:dyDescent="0.25">
      <c r="A6767" s="2">
        <v>6766</v>
      </c>
      <c r="B6767" s="3" t="s">
        <v>36</v>
      </c>
      <c r="C6767" s="4" t="str">
        <f t="shared" si="546"/>
        <v>Quảng Ngãi</v>
      </c>
      <c r="D6767" s="3" t="s">
        <v>451</v>
      </c>
      <c r="E6767" s="4" t="str">
        <f t="shared" si="548"/>
        <v>Huyện Nghĩa Hành</v>
      </c>
      <c r="F6767" s="3" t="s">
        <v>7528</v>
      </c>
      <c r="G6767" s="4" t="str">
        <f>HYPERLINK("https://diaocthongthai.com/xa-hanh-trung-nghia-hanh/","Xã Hành Trung")</f>
        <v>Xã Hành Trung</v>
      </c>
    </row>
    <row r="6768" spans="1:7" x14ac:dyDescent="0.25">
      <c r="A6768" s="2">
        <v>6767</v>
      </c>
      <c r="B6768" s="3" t="s">
        <v>36</v>
      </c>
      <c r="C6768" s="4" t="str">
        <f t="shared" si="546"/>
        <v>Quảng Ngãi</v>
      </c>
      <c r="D6768" s="3" t="s">
        <v>451</v>
      </c>
      <c r="E6768" s="4" t="str">
        <f t="shared" si="548"/>
        <v>Huyện Nghĩa Hành</v>
      </c>
      <c r="F6768" s="3" t="s">
        <v>7529</v>
      </c>
      <c r="G6768" s="4" t="str">
        <f>HYPERLINK("https://diaocthongthai.com/xa-hanh-nhan-nghia-hanh/","Xã Hành Nhân")</f>
        <v>Xã Hành Nhân</v>
      </c>
    </row>
    <row r="6769" spans="1:7" x14ac:dyDescent="0.25">
      <c r="A6769" s="2">
        <v>6768</v>
      </c>
      <c r="B6769" s="3" t="s">
        <v>36</v>
      </c>
      <c r="C6769" s="4" t="str">
        <f t="shared" si="546"/>
        <v>Quảng Ngãi</v>
      </c>
      <c r="D6769" s="3" t="s">
        <v>451</v>
      </c>
      <c r="E6769" s="4" t="str">
        <f t="shared" si="548"/>
        <v>Huyện Nghĩa Hành</v>
      </c>
      <c r="F6769" s="3" t="s">
        <v>7530</v>
      </c>
      <c r="G6769" s="4" t="str">
        <f>HYPERLINK("https://diaocthongthai.com/xa-hanh-duc-nghia-hanh/","Xã Hành Đức")</f>
        <v>Xã Hành Đức</v>
      </c>
    </row>
    <row r="6770" spans="1:7" x14ac:dyDescent="0.25">
      <c r="A6770" s="2">
        <v>6769</v>
      </c>
      <c r="B6770" s="3" t="s">
        <v>36</v>
      </c>
      <c r="C6770" s="4" t="str">
        <f t="shared" si="546"/>
        <v>Quảng Ngãi</v>
      </c>
      <c r="D6770" s="3" t="s">
        <v>451</v>
      </c>
      <c r="E6770" s="4" t="str">
        <f t="shared" si="548"/>
        <v>Huyện Nghĩa Hành</v>
      </c>
      <c r="F6770" s="3" t="s">
        <v>7531</v>
      </c>
      <c r="G6770" s="4" t="str">
        <f>HYPERLINK("https://diaocthongthai.com/xa-hanh-minh-nghia-hanh/","Xã Hành Minh")</f>
        <v>Xã Hành Minh</v>
      </c>
    </row>
    <row r="6771" spans="1:7" x14ac:dyDescent="0.25">
      <c r="A6771" s="2">
        <v>6770</v>
      </c>
      <c r="B6771" s="3" t="s">
        <v>36</v>
      </c>
      <c r="C6771" s="4" t="str">
        <f t="shared" si="546"/>
        <v>Quảng Ngãi</v>
      </c>
      <c r="D6771" s="3" t="s">
        <v>451</v>
      </c>
      <c r="E6771" s="4" t="str">
        <f t="shared" si="548"/>
        <v>Huyện Nghĩa Hành</v>
      </c>
      <c r="F6771" s="3" t="s">
        <v>7532</v>
      </c>
      <c r="G6771" s="4" t="str">
        <f>HYPERLINK("https://diaocthongthai.com/xa-hanh-phuoc-nghia-hanh/","Xã Hành Phước")</f>
        <v>Xã Hành Phước</v>
      </c>
    </row>
    <row r="6772" spans="1:7" x14ac:dyDescent="0.25">
      <c r="A6772" s="2">
        <v>6771</v>
      </c>
      <c r="B6772" s="3" t="s">
        <v>36</v>
      </c>
      <c r="C6772" s="4" t="str">
        <f t="shared" si="546"/>
        <v>Quảng Ngãi</v>
      </c>
      <c r="D6772" s="3" t="s">
        <v>451</v>
      </c>
      <c r="E6772" s="4" t="str">
        <f t="shared" si="548"/>
        <v>Huyện Nghĩa Hành</v>
      </c>
      <c r="F6772" s="3" t="s">
        <v>7533</v>
      </c>
      <c r="G6772" s="4" t="str">
        <f>HYPERLINK("https://diaocthongthai.com/xa-hanh-thien-nghia-hanh/","Xã Hành Thiện")</f>
        <v>Xã Hành Thiện</v>
      </c>
    </row>
    <row r="6773" spans="1:7" x14ac:dyDescent="0.25">
      <c r="A6773" s="2">
        <v>6772</v>
      </c>
      <c r="B6773" s="3" t="s">
        <v>36</v>
      </c>
      <c r="C6773" s="4" t="str">
        <f t="shared" si="546"/>
        <v>Quảng Ngãi</v>
      </c>
      <c r="D6773" s="3" t="s">
        <v>451</v>
      </c>
      <c r="E6773" s="4" t="str">
        <f t="shared" si="548"/>
        <v>Huyện Nghĩa Hành</v>
      </c>
      <c r="F6773" s="3" t="s">
        <v>7534</v>
      </c>
      <c r="G6773" s="4" t="str">
        <f>HYPERLINK("https://diaocthongthai.com/xa-hanh-thinh-nghia-hanh/","Xã Hành Thịnh")</f>
        <v>Xã Hành Thịnh</v>
      </c>
    </row>
    <row r="6774" spans="1:7" x14ac:dyDescent="0.25">
      <c r="A6774" s="2">
        <v>6773</v>
      </c>
      <c r="B6774" s="3" t="s">
        <v>36</v>
      </c>
      <c r="C6774" s="4" t="str">
        <f t="shared" si="546"/>
        <v>Quảng Ngãi</v>
      </c>
      <c r="D6774" s="3" t="s">
        <v>451</v>
      </c>
      <c r="E6774" s="4" t="str">
        <f t="shared" si="548"/>
        <v>Huyện Nghĩa Hành</v>
      </c>
      <c r="F6774" s="3" t="s">
        <v>7535</v>
      </c>
      <c r="G6774" s="4" t="str">
        <f>HYPERLINK("https://diaocthongthai.com/xa-hanh-tin-tay-nghia-hanh/","Xã Hành Tín Tây")</f>
        <v>Xã Hành Tín Tây</v>
      </c>
    </row>
    <row r="6775" spans="1:7" x14ac:dyDescent="0.25">
      <c r="A6775" s="2">
        <v>6774</v>
      </c>
      <c r="B6775" s="3" t="s">
        <v>36</v>
      </c>
      <c r="C6775" s="4" t="str">
        <f t="shared" si="546"/>
        <v>Quảng Ngãi</v>
      </c>
      <c r="D6775" s="3" t="s">
        <v>451</v>
      </c>
      <c r="E6775" s="4" t="str">
        <f t="shared" si="548"/>
        <v>Huyện Nghĩa Hành</v>
      </c>
      <c r="F6775" s="3" t="s">
        <v>7536</v>
      </c>
      <c r="G6775" s="4" t="str">
        <f>HYPERLINK("https://diaocthongthai.com/xa-hanh-tin-dong-nghia-hanh/","Xã Hành Tín  Đông")</f>
        <v>Xã Hành Tín  Đông</v>
      </c>
    </row>
    <row r="6776" spans="1:7" x14ac:dyDescent="0.25">
      <c r="A6776" s="2">
        <v>6775</v>
      </c>
      <c r="B6776" s="3" t="s">
        <v>36</v>
      </c>
      <c r="C6776" s="4" t="str">
        <f t="shared" si="546"/>
        <v>Quảng Ngãi</v>
      </c>
      <c r="D6776" s="3" t="s">
        <v>452</v>
      </c>
      <c r="E6776" s="4" t="str">
        <f t="shared" ref="E6776:E6788" si="549">HYPERLINK("https://diaocthongthai.com/ban-do-huyen-mo-duc-quang-ngai/","Huyện Mộ Đức")</f>
        <v>Huyện Mộ Đức</v>
      </c>
      <c r="F6776" s="3" t="s">
        <v>7537</v>
      </c>
      <c r="G6776" s="4" t="str">
        <f>HYPERLINK("https://diaocthongthai.com/thi-tran-mo-duc-mo-duc/","Thị trấn Mộ Đức")</f>
        <v>Thị trấn Mộ Đức</v>
      </c>
    </row>
    <row r="6777" spans="1:7" x14ac:dyDescent="0.25">
      <c r="A6777" s="2">
        <v>6776</v>
      </c>
      <c r="B6777" s="3" t="s">
        <v>36</v>
      </c>
      <c r="C6777" s="4" t="str">
        <f t="shared" si="546"/>
        <v>Quảng Ngãi</v>
      </c>
      <c r="D6777" s="3" t="s">
        <v>452</v>
      </c>
      <c r="E6777" s="4" t="str">
        <f t="shared" si="549"/>
        <v>Huyện Mộ Đức</v>
      </c>
      <c r="F6777" s="3" t="s">
        <v>7538</v>
      </c>
      <c r="G6777" s="4" t="str">
        <f>HYPERLINK("https://diaocthongthai.com/xa-duc-loi-mo-duc/","Xã Đức Lợi")</f>
        <v>Xã Đức Lợi</v>
      </c>
    </row>
    <row r="6778" spans="1:7" x14ac:dyDescent="0.25">
      <c r="A6778" s="2">
        <v>6777</v>
      </c>
      <c r="B6778" s="3" t="s">
        <v>36</v>
      </c>
      <c r="C6778" s="4" t="str">
        <f t="shared" ref="C6778:C6809" si="550">HYPERLINK("https://diaocthongthai.com/ban-do-quang-ngai/","Quảng Ngãi")</f>
        <v>Quảng Ngãi</v>
      </c>
      <c r="D6778" s="3" t="s">
        <v>452</v>
      </c>
      <c r="E6778" s="4" t="str">
        <f t="shared" si="549"/>
        <v>Huyện Mộ Đức</v>
      </c>
      <c r="F6778" s="3" t="s">
        <v>7539</v>
      </c>
      <c r="G6778" s="4" t="str">
        <f>HYPERLINK("https://diaocthongthai.com/xa-duc-thang-mo-duc/","Xã Đức Thắng")</f>
        <v>Xã Đức Thắng</v>
      </c>
    </row>
    <row r="6779" spans="1:7" x14ac:dyDescent="0.25">
      <c r="A6779" s="2">
        <v>6778</v>
      </c>
      <c r="B6779" s="3" t="s">
        <v>36</v>
      </c>
      <c r="C6779" s="4" t="str">
        <f t="shared" si="550"/>
        <v>Quảng Ngãi</v>
      </c>
      <c r="D6779" s="3" t="s">
        <v>452</v>
      </c>
      <c r="E6779" s="4" t="str">
        <f t="shared" si="549"/>
        <v>Huyện Mộ Đức</v>
      </c>
      <c r="F6779" s="3" t="s">
        <v>7540</v>
      </c>
      <c r="G6779" s="4" t="str">
        <f>HYPERLINK("https://diaocthongthai.com/xa-duc-nhuan-mo-duc/","Xã Đức Nhuận")</f>
        <v>Xã Đức Nhuận</v>
      </c>
    </row>
    <row r="6780" spans="1:7" x14ac:dyDescent="0.25">
      <c r="A6780" s="2">
        <v>6779</v>
      </c>
      <c r="B6780" s="3" t="s">
        <v>36</v>
      </c>
      <c r="C6780" s="4" t="str">
        <f t="shared" si="550"/>
        <v>Quảng Ngãi</v>
      </c>
      <c r="D6780" s="3" t="s">
        <v>452</v>
      </c>
      <c r="E6780" s="4" t="str">
        <f t="shared" si="549"/>
        <v>Huyện Mộ Đức</v>
      </c>
      <c r="F6780" s="3" t="s">
        <v>7541</v>
      </c>
      <c r="G6780" s="4" t="str">
        <f>HYPERLINK("https://diaocthongthai.com/xa-duc-chanh-mo-duc/","Xã Đức Chánh")</f>
        <v>Xã Đức Chánh</v>
      </c>
    </row>
    <row r="6781" spans="1:7" x14ac:dyDescent="0.25">
      <c r="A6781" s="2">
        <v>6780</v>
      </c>
      <c r="B6781" s="3" t="s">
        <v>36</v>
      </c>
      <c r="C6781" s="4" t="str">
        <f t="shared" si="550"/>
        <v>Quảng Ngãi</v>
      </c>
      <c r="D6781" s="3" t="s">
        <v>452</v>
      </c>
      <c r="E6781" s="4" t="str">
        <f t="shared" si="549"/>
        <v>Huyện Mộ Đức</v>
      </c>
      <c r="F6781" s="3" t="s">
        <v>7542</v>
      </c>
      <c r="G6781" s="4" t="str">
        <f>HYPERLINK("https://diaocthongthai.com/xa-duc-hiep-mo-duc/","Xã Đức Hiệp")</f>
        <v>Xã Đức Hiệp</v>
      </c>
    </row>
    <row r="6782" spans="1:7" x14ac:dyDescent="0.25">
      <c r="A6782" s="2">
        <v>6781</v>
      </c>
      <c r="B6782" s="3" t="s">
        <v>36</v>
      </c>
      <c r="C6782" s="4" t="str">
        <f t="shared" si="550"/>
        <v>Quảng Ngãi</v>
      </c>
      <c r="D6782" s="3" t="s">
        <v>452</v>
      </c>
      <c r="E6782" s="4" t="str">
        <f t="shared" si="549"/>
        <v>Huyện Mộ Đức</v>
      </c>
      <c r="F6782" s="3" t="s">
        <v>7543</v>
      </c>
      <c r="G6782" s="4" t="str">
        <f>HYPERLINK("https://diaocthongthai.com/xa-duc-minh-mo-duc/","Xã Đức Minh")</f>
        <v>Xã Đức Minh</v>
      </c>
    </row>
    <row r="6783" spans="1:7" x14ac:dyDescent="0.25">
      <c r="A6783" s="2">
        <v>6782</v>
      </c>
      <c r="B6783" s="3" t="s">
        <v>36</v>
      </c>
      <c r="C6783" s="4" t="str">
        <f t="shared" si="550"/>
        <v>Quảng Ngãi</v>
      </c>
      <c r="D6783" s="3" t="s">
        <v>452</v>
      </c>
      <c r="E6783" s="4" t="str">
        <f t="shared" si="549"/>
        <v>Huyện Mộ Đức</v>
      </c>
      <c r="F6783" s="3" t="s">
        <v>7544</v>
      </c>
      <c r="G6783" s="4" t="str">
        <f>HYPERLINK("https://diaocthongthai.com/xa-duc-thanh-mo-duc/","Xã Đức Thạnh")</f>
        <v>Xã Đức Thạnh</v>
      </c>
    </row>
    <row r="6784" spans="1:7" x14ac:dyDescent="0.25">
      <c r="A6784" s="2">
        <v>6783</v>
      </c>
      <c r="B6784" s="3" t="s">
        <v>36</v>
      </c>
      <c r="C6784" s="4" t="str">
        <f t="shared" si="550"/>
        <v>Quảng Ngãi</v>
      </c>
      <c r="D6784" s="3" t="s">
        <v>452</v>
      </c>
      <c r="E6784" s="4" t="str">
        <f t="shared" si="549"/>
        <v>Huyện Mộ Đức</v>
      </c>
      <c r="F6784" s="3" t="s">
        <v>7545</v>
      </c>
      <c r="G6784" s="4" t="str">
        <f>HYPERLINK("https://diaocthongthai.com/xa-duc-hoa-mo-duc/","Xã Đức Hòa")</f>
        <v>Xã Đức Hòa</v>
      </c>
    </row>
    <row r="6785" spans="1:7" x14ac:dyDescent="0.25">
      <c r="A6785" s="2">
        <v>6784</v>
      </c>
      <c r="B6785" s="3" t="s">
        <v>36</v>
      </c>
      <c r="C6785" s="4" t="str">
        <f t="shared" si="550"/>
        <v>Quảng Ngãi</v>
      </c>
      <c r="D6785" s="3" t="s">
        <v>452</v>
      </c>
      <c r="E6785" s="4" t="str">
        <f t="shared" si="549"/>
        <v>Huyện Mộ Đức</v>
      </c>
      <c r="F6785" s="3" t="s">
        <v>7546</v>
      </c>
      <c r="G6785" s="4" t="str">
        <f>HYPERLINK("https://diaocthongthai.com/xa-duc-tan-mo-duc/","Xã Đức Tân")</f>
        <v>Xã Đức Tân</v>
      </c>
    </row>
    <row r="6786" spans="1:7" x14ac:dyDescent="0.25">
      <c r="A6786" s="2">
        <v>6785</v>
      </c>
      <c r="B6786" s="3" t="s">
        <v>36</v>
      </c>
      <c r="C6786" s="4" t="str">
        <f t="shared" si="550"/>
        <v>Quảng Ngãi</v>
      </c>
      <c r="D6786" s="3" t="s">
        <v>452</v>
      </c>
      <c r="E6786" s="4" t="str">
        <f t="shared" si="549"/>
        <v>Huyện Mộ Đức</v>
      </c>
      <c r="F6786" s="3" t="s">
        <v>7547</v>
      </c>
      <c r="G6786" s="4" t="str">
        <f>HYPERLINK("https://diaocthongthai.com/xa-duc-phu-mo-duc/","Xã Đức Phú")</f>
        <v>Xã Đức Phú</v>
      </c>
    </row>
    <row r="6787" spans="1:7" x14ac:dyDescent="0.25">
      <c r="A6787" s="2">
        <v>6786</v>
      </c>
      <c r="B6787" s="3" t="s">
        <v>36</v>
      </c>
      <c r="C6787" s="4" t="str">
        <f t="shared" si="550"/>
        <v>Quảng Ngãi</v>
      </c>
      <c r="D6787" s="3" t="s">
        <v>452</v>
      </c>
      <c r="E6787" s="4" t="str">
        <f t="shared" si="549"/>
        <v>Huyện Mộ Đức</v>
      </c>
      <c r="F6787" s="3" t="s">
        <v>7548</v>
      </c>
      <c r="G6787" s="4" t="str">
        <f>HYPERLINK("https://diaocthongthai.com/xa-duc-phong-mo-duc/","Xã Đức Phong")</f>
        <v>Xã Đức Phong</v>
      </c>
    </row>
    <row r="6788" spans="1:7" x14ac:dyDescent="0.25">
      <c r="A6788" s="2">
        <v>6787</v>
      </c>
      <c r="B6788" s="3" t="s">
        <v>36</v>
      </c>
      <c r="C6788" s="4" t="str">
        <f t="shared" si="550"/>
        <v>Quảng Ngãi</v>
      </c>
      <c r="D6788" s="3" t="s">
        <v>452</v>
      </c>
      <c r="E6788" s="4" t="str">
        <f t="shared" si="549"/>
        <v>Huyện Mộ Đức</v>
      </c>
      <c r="F6788" s="3" t="s">
        <v>7549</v>
      </c>
      <c r="G6788" s="4" t="str">
        <f>HYPERLINK("https://diaocthongthai.com/xa-duc-lan-mo-duc/","Xã Đức Lân")</f>
        <v>Xã Đức Lân</v>
      </c>
    </row>
    <row r="6789" spans="1:7" x14ac:dyDescent="0.25">
      <c r="A6789" s="2">
        <v>6788</v>
      </c>
      <c r="B6789" s="3" t="s">
        <v>36</v>
      </c>
      <c r="C6789" s="4" t="str">
        <f t="shared" si="550"/>
        <v>Quảng Ngãi</v>
      </c>
      <c r="D6789" s="3" t="s">
        <v>453</v>
      </c>
      <c r="E6789" s="4" t="str">
        <f t="shared" ref="E6789:E6803" si="551">HYPERLINK("https://diaocthongthai.com/ban-do-huyen-duc-pho-quang-ngai/","Thị xã Đức Phổ")</f>
        <v>Thị xã Đức Phổ</v>
      </c>
      <c r="F6789" s="3" t="s">
        <v>7550</v>
      </c>
      <c r="G6789" s="4" t="str">
        <f>HYPERLINK("https://diaocthongthai.com/phuong-nguyen-nghiem-duc-pho/","Phường Nguyễn Nghiêm")</f>
        <v>Phường Nguyễn Nghiêm</v>
      </c>
    </row>
    <row r="6790" spans="1:7" x14ac:dyDescent="0.25">
      <c r="A6790" s="2">
        <v>6789</v>
      </c>
      <c r="B6790" s="3" t="s">
        <v>36</v>
      </c>
      <c r="C6790" s="4" t="str">
        <f t="shared" si="550"/>
        <v>Quảng Ngãi</v>
      </c>
      <c r="D6790" s="3" t="s">
        <v>453</v>
      </c>
      <c r="E6790" s="4" t="str">
        <f t="shared" si="551"/>
        <v>Thị xã Đức Phổ</v>
      </c>
      <c r="F6790" s="3" t="s">
        <v>7551</v>
      </c>
      <c r="G6790" s="4" t="str">
        <f>HYPERLINK("https://diaocthongthai.com/xa-pho-an-duc-pho/","Xã Phổ An")</f>
        <v>Xã Phổ An</v>
      </c>
    </row>
    <row r="6791" spans="1:7" x14ac:dyDescent="0.25">
      <c r="A6791" s="2">
        <v>6790</v>
      </c>
      <c r="B6791" s="3" t="s">
        <v>36</v>
      </c>
      <c r="C6791" s="4" t="str">
        <f t="shared" si="550"/>
        <v>Quảng Ngãi</v>
      </c>
      <c r="D6791" s="3" t="s">
        <v>453</v>
      </c>
      <c r="E6791" s="4" t="str">
        <f t="shared" si="551"/>
        <v>Thị xã Đức Phổ</v>
      </c>
      <c r="F6791" s="3" t="s">
        <v>7552</v>
      </c>
      <c r="G6791" s="4" t="str">
        <f>HYPERLINK("https://diaocthongthai.com/xa-pho-phong-duc-pho/","Xã Phổ Phong")</f>
        <v>Xã Phổ Phong</v>
      </c>
    </row>
    <row r="6792" spans="1:7" x14ac:dyDescent="0.25">
      <c r="A6792" s="2">
        <v>6791</v>
      </c>
      <c r="B6792" s="3" t="s">
        <v>36</v>
      </c>
      <c r="C6792" s="4" t="str">
        <f t="shared" si="550"/>
        <v>Quảng Ngãi</v>
      </c>
      <c r="D6792" s="3" t="s">
        <v>453</v>
      </c>
      <c r="E6792" s="4" t="str">
        <f t="shared" si="551"/>
        <v>Thị xã Đức Phổ</v>
      </c>
      <c r="F6792" s="3" t="s">
        <v>7553</v>
      </c>
      <c r="G6792" s="4" t="str">
        <f>HYPERLINK("https://diaocthongthai.com/xa-pho-thuan-duc-pho/","Xã Phổ Thuận")</f>
        <v>Xã Phổ Thuận</v>
      </c>
    </row>
    <row r="6793" spans="1:7" x14ac:dyDescent="0.25">
      <c r="A6793" s="2">
        <v>6792</v>
      </c>
      <c r="B6793" s="3" t="s">
        <v>36</v>
      </c>
      <c r="C6793" s="4" t="str">
        <f t="shared" si="550"/>
        <v>Quảng Ngãi</v>
      </c>
      <c r="D6793" s="3" t="s">
        <v>453</v>
      </c>
      <c r="E6793" s="4" t="str">
        <f t="shared" si="551"/>
        <v>Thị xã Đức Phổ</v>
      </c>
      <c r="F6793" s="3" t="s">
        <v>7554</v>
      </c>
      <c r="G6793" s="4" t="str">
        <f>HYPERLINK("https://diaocthongthai.com/phuong-pho-van-duc-pho/","Phường Phổ Văn")</f>
        <v>Phường Phổ Văn</v>
      </c>
    </row>
    <row r="6794" spans="1:7" x14ac:dyDescent="0.25">
      <c r="A6794" s="2">
        <v>6793</v>
      </c>
      <c r="B6794" s="3" t="s">
        <v>36</v>
      </c>
      <c r="C6794" s="4" t="str">
        <f t="shared" si="550"/>
        <v>Quảng Ngãi</v>
      </c>
      <c r="D6794" s="3" t="s">
        <v>453</v>
      </c>
      <c r="E6794" s="4" t="str">
        <f t="shared" si="551"/>
        <v>Thị xã Đức Phổ</v>
      </c>
      <c r="F6794" s="3" t="s">
        <v>7555</v>
      </c>
      <c r="G6794" s="4" t="str">
        <f>HYPERLINK("https://diaocthongthai.com/phuong-pho-quang-duc-pho/","Phường Phổ Quang")</f>
        <v>Phường Phổ Quang</v>
      </c>
    </row>
    <row r="6795" spans="1:7" x14ac:dyDescent="0.25">
      <c r="A6795" s="2">
        <v>6794</v>
      </c>
      <c r="B6795" s="3" t="s">
        <v>36</v>
      </c>
      <c r="C6795" s="4" t="str">
        <f t="shared" si="550"/>
        <v>Quảng Ngãi</v>
      </c>
      <c r="D6795" s="3" t="s">
        <v>453</v>
      </c>
      <c r="E6795" s="4" t="str">
        <f t="shared" si="551"/>
        <v>Thị xã Đức Phổ</v>
      </c>
      <c r="F6795" s="3" t="s">
        <v>7556</v>
      </c>
      <c r="G6795" s="4" t="str">
        <f>HYPERLINK("https://diaocthongthai.com/xa-pho-nhon-duc-pho/","Xã Phổ Nhơn")</f>
        <v>Xã Phổ Nhơn</v>
      </c>
    </row>
    <row r="6796" spans="1:7" x14ac:dyDescent="0.25">
      <c r="A6796" s="2">
        <v>6795</v>
      </c>
      <c r="B6796" s="3" t="s">
        <v>36</v>
      </c>
      <c r="C6796" s="4" t="str">
        <f t="shared" si="550"/>
        <v>Quảng Ngãi</v>
      </c>
      <c r="D6796" s="3" t="s">
        <v>453</v>
      </c>
      <c r="E6796" s="4" t="str">
        <f t="shared" si="551"/>
        <v>Thị xã Đức Phổ</v>
      </c>
      <c r="F6796" s="3" t="s">
        <v>7557</v>
      </c>
      <c r="G6796" s="4" t="str">
        <f>HYPERLINK("https://diaocthongthai.com/phuong-pho-ninh-duc-pho/","Phường Phổ Ninh")</f>
        <v>Phường Phổ Ninh</v>
      </c>
    </row>
    <row r="6797" spans="1:7" x14ac:dyDescent="0.25">
      <c r="A6797" s="2">
        <v>6796</v>
      </c>
      <c r="B6797" s="3" t="s">
        <v>36</v>
      </c>
      <c r="C6797" s="4" t="str">
        <f t="shared" si="550"/>
        <v>Quảng Ngãi</v>
      </c>
      <c r="D6797" s="3" t="s">
        <v>453</v>
      </c>
      <c r="E6797" s="4" t="str">
        <f t="shared" si="551"/>
        <v>Thị xã Đức Phổ</v>
      </c>
      <c r="F6797" s="3" t="s">
        <v>7558</v>
      </c>
      <c r="G6797" s="4" t="str">
        <f>HYPERLINK("https://diaocthongthai.com/phuong-pho-minh-duc-pho/","Phường Phổ Minh")</f>
        <v>Phường Phổ Minh</v>
      </c>
    </row>
    <row r="6798" spans="1:7" x14ac:dyDescent="0.25">
      <c r="A6798" s="2">
        <v>6797</v>
      </c>
      <c r="B6798" s="3" t="s">
        <v>36</v>
      </c>
      <c r="C6798" s="4" t="str">
        <f t="shared" si="550"/>
        <v>Quảng Ngãi</v>
      </c>
      <c r="D6798" s="3" t="s">
        <v>453</v>
      </c>
      <c r="E6798" s="4" t="str">
        <f t="shared" si="551"/>
        <v>Thị xã Đức Phổ</v>
      </c>
      <c r="F6798" s="3" t="s">
        <v>7559</v>
      </c>
      <c r="G6798" s="4" t="str">
        <f>HYPERLINK("https://diaocthongthai.com/phuong-pho-vinh-duc-pho/","Phường Phổ Vinh")</f>
        <v>Phường Phổ Vinh</v>
      </c>
    </row>
    <row r="6799" spans="1:7" x14ac:dyDescent="0.25">
      <c r="A6799" s="2">
        <v>6798</v>
      </c>
      <c r="B6799" s="3" t="s">
        <v>36</v>
      </c>
      <c r="C6799" s="4" t="str">
        <f t="shared" si="550"/>
        <v>Quảng Ngãi</v>
      </c>
      <c r="D6799" s="3" t="s">
        <v>453</v>
      </c>
      <c r="E6799" s="4" t="str">
        <f t="shared" si="551"/>
        <v>Thị xã Đức Phổ</v>
      </c>
      <c r="F6799" s="3" t="s">
        <v>7560</v>
      </c>
      <c r="G6799" s="4" t="str">
        <f>HYPERLINK("https://diaocthongthai.com/phuong-pho-hoa-duc-pho/","Phường Phổ Hòa")</f>
        <v>Phường Phổ Hòa</v>
      </c>
    </row>
    <row r="6800" spans="1:7" x14ac:dyDescent="0.25">
      <c r="A6800" s="2">
        <v>6799</v>
      </c>
      <c r="B6800" s="3" t="s">
        <v>36</v>
      </c>
      <c r="C6800" s="4" t="str">
        <f t="shared" si="550"/>
        <v>Quảng Ngãi</v>
      </c>
      <c r="D6800" s="3" t="s">
        <v>453</v>
      </c>
      <c r="E6800" s="4" t="str">
        <f t="shared" si="551"/>
        <v>Thị xã Đức Phổ</v>
      </c>
      <c r="F6800" s="3" t="s">
        <v>7561</v>
      </c>
      <c r="G6800" s="4" t="str">
        <f>HYPERLINK("https://diaocthongthai.com/xa-pho-cuong-duc-pho/","Xã Phổ Cường")</f>
        <v>Xã Phổ Cường</v>
      </c>
    </row>
    <row r="6801" spans="1:7" x14ac:dyDescent="0.25">
      <c r="A6801" s="2">
        <v>6800</v>
      </c>
      <c r="B6801" s="3" t="s">
        <v>36</v>
      </c>
      <c r="C6801" s="4" t="str">
        <f t="shared" si="550"/>
        <v>Quảng Ngãi</v>
      </c>
      <c r="D6801" s="3" t="s">
        <v>453</v>
      </c>
      <c r="E6801" s="4" t="str">
        <f t="shared" si="551"/>
        <v>Thị xã Đức Phổ</v>
      </c>
      <c r="F6801" s="3" t="s">
        <v>7562</v>
      </c>
      <c r="G6801" s="4" t="str">
        <f>HYPERLINK("https://diaocthongthai.com/xa-pho-khanh-duc-pho/","Xã Phổ Khánh")</f>
        <v>Xã Phổ Khánh</v>
      </c>
    </row>
    <row r="6802" spans="1:7" x14ac:dyDescent="0.25">
      <c r="A6802" s="2">
        <v>6801</v>
      </c>
      <c r="B6802" s="3" t="s">
        <v>36</v>
      </c>
      <c r="C6802" s="4" t="str">
        <f t="shared" si="550"/>
        <v>Quảng Ngãi</v>
      </c>
      <c r="D6802" s="3" t="s">
        <v>453</v>
      </c>
      <c r="E6802" s="4" t="str">
        <f t="shared" si="551"/>
        <v>Thị xã Đức Phổ</v>
      </c>
      <c r="F6802" s="3" t="s">
        <v>7563</v>
      </c>
      <c r="G6802" s="4" t="str">
        <f>HYPERLINK("https://diaocthongthai.com/phuong-pho-thanh-duc-pho/","Phường Phổ Thạnh")</f>
        <v>Phường Phổ Thạnh</v>
      </c>
    </row>
    <row r="6803" spans="1:7" x14ac:dyDescent="0.25">
      <c r="A6803" s="2">
        <v>6802</v>
      </c>
      <c r="B6803" s="3" t="s">
        <v>36</v>
      </c>
      <c r="C6803" s="4" t="str">
        <f t="shared" si="550"/>
        <v>Quảng Ngãi</v>
      </c>
      <c r="D6803" s="3" t="s">
        <v>453</v>
      </c>
      <c r="E6803" s="4" t="str">
        <f t="shared" si="551"/>
        <v>Thị xã Đức Phổ</v>
      </c>
      <c r="F6803" s="3" t="s">
        <v>7564</v>
      </c>
      <c r="G6803" s="4" t="str">
        <f>HYPERLINK("https://diaocthongthai.com/xa-pho-chau-duc-pho/","Xã Phổ Châu")</f>
        <v>Xã Phổ Châu</v>
      </c>
    </row>
    <row r="6804" spans="1:7" x14ac:dyDescent="0.25">
      <c r="A6804" s="2">
        <v>6803</v>
      </c>
      <c r="B6804" s="3" t="s">
        <v>36</v>
      </c>
      <c r="C6804" s="4" t="str">
        <f t="shared" si="550"/>
        <v>Quảng Ngãi</v>
      </c>
      <c r="D6804" s="3" t="s">
        <v>454</v>
      </c>
      <c r="E6804" s="4" t="str">
        <f t="shared" ref="E6804:E6822" si="552">HYPERLINK("https://diaocthongthai.com/ban-do-huyen-ba-to-quang-ngai/","Huyện Ba Tơ")</f>
        <v>Huyện Ba Tơ</v>
      </c>
      <c r="F6804" s="3" t="s">
        <v>7565</v>
      </c>
      <c r="G6804" s="4" t="str">
        <f>HYPERLINK("https://diaocthongthai.com/thi-tran-ba-to-ba-to/","Thị trấn Ba Tơ")</f>
        <v>Thị trấn Ba Tơ</v>
      </c>
    </row>
    <row r="6805" spans="1:7" x14ac:dyDescent="0.25">
      <c r="A6805" s="2">
        <v>6804</v>
      </c>
      <c r="B6805" s="3" t="s">
        <v>36</v>
      </c>
      <c r="C6805" s="4" t="str">
        <f t="shared" si="550"/>
        <v>Quảng Ngãi</v>
      </c>
      <c r="D6805" s="3" t="s">
        <v>454</v>
      </c>
      <c r="E6805" s="4" t="str">
        <f t="shared" si="552"/>
        <v>Huyện Ba Tơ</v>
      </c>
      <c r="F6805" s="3" t="s">
        <v>7566</v>
      </c>
      <c r="G6805" s="4" t="str">
        <f>HYPERLINK("https://diaocthongthai.com/xa-ba-dien-ba-to/","Xã Ba Điền")</f>
        <v>Xã Ba Điền</v>
      </c>
    </row>
    <row r="6806" spans="1:7" x14ac:dyDescent="0.25">
      <c r="A6806" s="2">
        <v>6805</v>
      </c>
      <c r="B6806" s="3" t="s">
        <v>36</v>
      </c>
      <c r="C6806" s="4" t="str">
        <f t="shared" si="550"/>
        <v>Quảng Ngãi</v>
      </c>
      <c r="D6806" s="3" t="s">
        <v>454</v>
      </c>
      <c r="E6806" s="4" t="str">
        <f t="shared" si="552"/>
        <v>Huyện Ba Tơ</v>
      </c>
      <c r="F6806" s="3" t="s">
        <v>7567</v>
      </c>
      <c r="G6806" s="4" t="str">
        <f>HYPERLINK("https://diaocthongthai.com/xa-ba-vinh-ba-to/","Xã Ba Vinh")</f>
        <v>Xã Ba Vinh</v>
      </c>
    </row>
    <row r="6807" spans="1:7" x14ac:dyDescent="0.25">
      <c r="A6807" s="2">
        <v>6806</v>
      </c>
      <c r="B6807" s="3" t="s">
        <v>36</v>
      </c>
      <c r="C6807" s="4" t="str">
        <f t="shared" si="550"/>
        <v>Quảng Ngãi</v>
      </c>
      <c r="D6807" s="3" t="s">
        <v>454</v>
      </c>
      <c r="E6807" s="4" t="str">
        <f t="shared" si="552"/>
        <v>Huyện Ba Tơ</v>
      </c>
      <c r="F6807" s="3" t="s">
        <v>7568</v>
      </c>
      <c r="G6807" s="4" t="str">
        <f>HYPERLINK("https://diaocthongthai.com/xa-ba-thanh-ba-to/","Xã Ba Thành")</f>
        <v>Xã Ba Thành</v>
      </c>
    </row>
    <row r="6808" spans="1:7" x14ac:dyDescent="0.25">
      <c r="A6808" s="2">
        <v>6807</v>
      </c>
      <c r="B6808" s="3" t="s">
        <v>36</v>
      </c>
      <c r="C6808" s="4" t="str">
        <f t="shared" si="550"/>
        <v>Quảng Ngãi</v>
      </c>
      <c r="D6808" s="3" t="s">
        <v>454</v>
      </c>
      <c r="E6808" s="4" t="str">
        <f t="shared" si="552"/>
        <v>Huyện Ba Tơ</v>
      </c>
      <c r="F6808" s="3" t="s">
        <v>7569</v>
      </c>
      <c r="G6808" s="4" t="str">
        <f>HYPERLINK("https://diaocthongthai.com/xa-ba-dong-ba-to/","Xã Ba Động")</f>
        <v>Xã Ba Động</v>
      </c>
    </row>
    <row r="6809" spans="1:7" x14ac:dyDescent="0.25">
      <c r="A6809" s="2">
        <v>6808</v>
      </c>
      <c r="B6809" s="3" t="s">
        <v>36</v>
      </c>
      <c r="C6809" s="4" t="str">
        <f t="shared" si="550"/>
        <v>Quảng Ngãi</v>
      </c>
      <c r="D6809" s="3" t="s">
        <v>454</v>
      </c>
      <c r="E6809" s="4" t="str">
        <f t="shared" si="552"/>
        <v>Huyện Ba Tơ</v>
      </c>
      <c r="F6809" s="3" t="s">
        <v>7570</v>
      </c>
      <c r="G6809" s="4" t="str">
        <f>HYPERLINK("https://diaocthongthai.com/xa-ba-dinh-ba-to/","Xã Ba Dinh")</f>
        <v>Xã Ba Dinh</v>
      </c>
    </row>
    <row r="6810" spans="1:7" x14ac:dyDescent="0.25">
      <c r="A6810" s="2">
        <v>6809</v>
      </c>
      <c r="B6810" s="3" t="s">
        <v>36</v>
      </c>
      <c r="C6810" s="4" t="str">
        <f t="shared" ref="C6810:C6823" si="553">HYPERLINK("https://diaocthongthai.com/ban-do-quang-ngai/","Quảng Ngãi")</f>
        <v>Quảng Ngãi</v>
      </c>
      <c r="D6810" s="3" t="s">
        <v>454</v>
      </c>
      <c r="E6810" s="4" t="str">
        <f t="shared" si="552"/>
        <v>Huyện Ba Tơ</v>
      </c>
      <c r="F6810" s="3" t="s">
        <v>7571</v>
      </c>
      <c r="G6810" s="4" t="str">
        <f>HYPERLINK("https://diaocthongthai.com/xa-ba-giang-ba-to/","Xã Ba Giang")</f>
        <v>Xã Ba Giang</v>
      </c>
    </row>
    <row r="6811" spans="1:7" x14ac:dyDescent="0.25">
      <c r="A6811" s="2">
        <v>6810</v>
      </c>
      <c r="B6811" s="3" t="s">
        <v>36</v>
      </c>
      <c r="C6811" s="4" t="str">
        <f t="shared" si="553"/>
        <v>Quảng Ngãi</v>
      </c>
      <c r="D6811" s="3" t="s">
        <v>454</v>
      </c>
      <c r="E6811" s="4" t="str">
        <f t="shared" si="552"/>
        <v>Huyện Ba Tơ</v>
      </c>
      <c r="F6811" s="3" t="s">
        <v>7572</v>
      </c>
      <c r="G6811" s="4" t="str">
        <f>HYPERLINK("https://diaocthongthai.com/xa-ba-lien-ba-to/","Xã Ba Liên")</f>
        <v>Xã Ba Liên</v>
      </c>
    </row>
    <row r="6812" spans="1:7" x14ac:dyDescent="0.25">
      <c r="A6812" s="2">
        <v>6811</v>
      </c>
      <c r="B6812" s="3" t="s">
        <v>36</v>
      </c>
      <c r="C6812" s="4" t="str">
        <f t="shared" si="553"/>
        <v>Quảng Ngãi</v>
      </c>
      <c r="D6812" s="3" t="s">
        <v>454</v>
      </c>
      <c r="E6812" s="4" t="str">
        <f t="shared" si="552"/>
        <v>Huyện Ba Tơ</v>
      </c>
      <c r="F6812" s="3" t="s">
        <v>7573</v>
      </c>
      <c r="G6812" s="4" t="str">
        <f>HYPERLINK("https://diaocthongthai.com/xa-ba-ngac-ba-to/","Xã Ba Ngạc")</f>
        <v>Xã Ba Ngạc</v>
      </c>
    </row>
    <row r="6813" spans="1:7" x14ac:dyDescent="0.25">
      <c r="A6813" s="2">
        <v>6812</v>
      </c>
      <c r="B6813" s="3" t="s">
        <v>36</v>
      </c>
      <c r="C6813" s="4" t="str">
        <f t="shared" si="553"/>
        <v>Quảng Ngãi</v>
      </c>
      <c r="D6813" s="3" t="s">
        <v>454</v>
      </c>
      <c r="E6813" s="4" t="str">
        <f t="shared" si="552"/>
        <v>Huyện Ba Tơ</v>
      </c>
      <c r="F6813" s="3" t="s">
        <v>7574</v>
      </c>
      <c r="G6813" s="4" t="str">
        <f>HYPERLINK("https://diaocthongthai.com/xa-ba-kham-ba-to/","Xã Ba Khâm")</f>
        <v>Xã Ba Khâm</v>
      </c>
    </row>
    <row r="6814" spans="1:7" x14ac:dyDescent="0.25">
      <c r="A6814" s="2">
        <v>6813</v>
      </c>
      <c r="B6814" s="3" t="s">
        <v>36</v>
      </c>
      <c r="C6814" s="4" t="str">
        <f t="shared" si="553"/>
        <v>Quảng Ngãi</v>
      </c>
      <c r="D6814" s="3" t="s">
        <v>454</v>
      </c>
      <c r="E6814" s="4" t="str">
        <f t="shared" si="552"/>
        <v>Huyện Ba Tơ</v>
      </c>
      <c r="F6814" s="3" t="s">
        <v>7575</v>
      </c>
      <c r="G6814" s="4" t="str">
        <f>HYPERLINK("https://diaocthongthai.com/xa-ba-cung-ba-to/","Xã Ba Cung")</f>
        <v>Xã Ba Cung</v>
      </c>
    </row>
    <row r="6815" spans="1:7" x14ac:dyDescent="0.25">
      <c r="A6815" s="2">
        <v>6814</v>
      </c>
      <c r="B6815" s="3" t="s">
        <v>36</v>
      </c>
      <c r="C6815" s="4" t="str">
        <f t="shared" si="553"/>
        <v>Quảng Ngãi</v>
      </c>
      <c r="D6815" s="3" t="s">
        <v>454</v>
      </c>
      <c r="E6815" s="4" t="str">
        <f t="shared" si="552"/>
        <v>Huyện Ba Tơ</v>
      </c>
      <c r="F6815" s="3" t="s">
        <v>7576</v>
      </c>
      <c r="G6815" s="4" t="str">
        <f>HYPERLINK("https://diaocthongthai.com/xa-ba-tieu-ba-to/","Xã Ba Tiêu")</f>
        <v>Xã Ba Tiêu</v>
      </c>
    </row>
    <row r="6816" spans="1:7" x14ac:dyDescent="0.25">
      <c r="A6816" s="2">
        <v>6815</v>
      </c>
      <c r="B6816" s="3" t="s">
        <v>36</v>
      </c>
      <c r="C6816" s="4" t="str">
        <f t="shared" si="553"/>
        <v>Quảng Ngãi</v>
      </c>
      <c r="D6816" s="3" t="s">
        <v>454</v>
      </c>
      <c r="E6816" s="4" t="str">
        <f t="shared" si="552"/>
        <v>Huyện Ba Tơ</v>
      </c>
      <c r="F6816" s="3" t="s">
        <v>7577</v>
      </c>
      <c r="G6816" s="4" t="str">
        <f>HYPERLINK("https://diaocthongthai.com/xa-ba-trang-ba-to/","Xã Ba Trang")</f>
        <v>Xã Ba Trang</v>
      </c>
    </row>
    <row r="6817" spans="1:7" x14ac:dyDescent="0.25">
      <c r="A6817" s="2">
        <v>6816</v>
      </c>
      <c r="B6817" s="3" t="s">
        <v>36</v>
      </c>
      <c r="C6817" s="4" t="str">
        <f t="shared" si="553"/>
        <v>Quảng Ngãi</v>
      </c>
      <c r="D6817" s="3" t="s">
        <v>454</v>
      </c>
      <c r="E6817" s="4" t="str">
        <f t="shared" si="552"/>
        <v>Huyện Ba Tơ</v>
      </c>
      <c r="F6817" s="3" t="s">
        <v>7578</v>
      </c>
      <c r="G6817" s="4" t="str">
        <f>HYPERLINK("https://diaocthongthai.com/xa-ba-to-ba-to/","Xã Ba Tô")</f>
        <v>Xã Ba Tô</v>
      </c>
    </row>
    <row r="6818" spans="1:7" x14ac:dyDescent="0.25">
      <c r="A6818" s="2">
        <v>6817</v>
      </c>
      <c r="B6818" s="3" t="s">
        <v>36</v>
      </c>
      <c r="C6818" s="4" t="str">
        <f t="shared" si="553"/>
        <v>Quảng Ngãi</v>
      </c>
      <c r="D6818" s="3" t="s">
        <v>454</v>
      </c>
      <c r="E6818" s="4" t="str">
        <f t="shared" si="552"/>
        <v>Huyện Ba Tơ</v>
      </c>
      <c r="F6818" s="3" t="s">
        <v>7579</v>
      </c>
      <c r="G6818" s="4" t="str">
        <f>HYPERLINK("https://diaocthongthai.com/xa-ba-bich-ba-to/","Xã Ba Bích")</f>
        <v>Xã Ba Bích</v>
      </c>
    </row>
    <row r="6819" spans="1:7" x14ac:dyDescent="0.25">
      <c r="A6819" s="2">
        <v>6818</v>
      </c>
      <c r="B6819" s="3" t="s">
        <v>36</v>
      </c>
      <c r="C6819" s="4" t="str">
        <f t="shared" si="553"/>
        <v>Quảng Ngãi</v>
      </c>
      <c r="D6819" s="3" t="s">
        <v>454</v>
      </c>
      <c r="E6819" s="4" t="str">
        <f t="shared" si="552"/>
        <v>Huyện Ba Tơ</v>
      </c>
      <c r="F6819" s="3" t="s">
        <v>7580</v>
      </c>
      <c r="G6819" s="4" t="str">
        <f>HYPERLINK("https://diaocthongthai.com/xa-ba-vi-ba-to/","Xã Ba Vì")</f>
        <v>Xã Ba Vì</v>
      </c>
    </row>
    <row r="6820" spans="1:7" x14ac:dyDescent="0.25">
      <c r="A6820" s="2">
        <v>6819</v>
      </c>
      <c r="B6820" s="3" t="s">
        <v>36</v>
      </c>
      <c r="C6820" s="4" t="str">
        <f t="shared" si="553"/>
        <v>Quảng Ngãi</v>
      </c>
      <c r="D6820" s="3" t="s">
        <v>454</v>
      </c>
      <c r="E6820" s="4" t="str">
        <f t="shared" si="552"/>
        <v>Huyện Ba Tơ</v>
      </c>
      <c r="F6820" s="3" t="s">
        <v>7581</v>
      </c>
      <c r="G6820" s="4" t="str">
        <f>HYPERLINK("https://diaocthongthai.com/xa-ba-le-ba-to/","Xã Ba Lế")</f>
        <v>Xã Ba Lế</v>
      </c>
    </row>
    <row r="6821" spans="1:7" x14ac:dyDescent="0.25">
      <c r="A6821" s="2">
        <v>6820</v>
      </c>
      <c r="B6821" s="3" t="s">
        <v>36</v>
      </c>
      <c r="C6821" s="4" t="str">
        <f t="shared" si="553"/>
        <v>Quảng Ngãi</v>
      </c>
      <c r="D6821" s="3" t="s">
        <v>454</v>
      </c>
      <c r="E6821" s="4" t="str">
        <f t="shared" si="552"/>
        <v>Huyện Ba Tơ</v>
      </c>
      <c r="F6821" s="3" t="s">
        <v>7582</v>
      </c>
      <c r="G6821" s="4" t="str">
        <f>HYPERLINK("https://diaocthongthai.com/xa-ba-nam-ba-to/","Xã Ba Nam")</f>
        <v>Xã Ba Nam</v>
      </c>
    </row>
    <row r="6822" spans="1:7" x14ac:dyDescent="0.25">
      <c r="A6822" s="2">
        <v>6821</v>
      </c>
      <c r="B6822" s="3" t="s">
        <v>36</v>
      </c>
      <c r="C6822" s="4" t="str">
        <f t="shared" si="553"/>
        <v>Quảng Ngãi</v>
      </c>
      <c r="D6822" s="3" t="s">
        <v>454</v>
      </c>
      <c r="E6822" s="4" t="str">
        <f t="shared" si="552"/>
        <v>Huyện Ba Tơ</v>
      </c>
      <c r="F6822" s="3" t="s">
        <v>7583</v>
      </c>
      <c r="G6822" s="4" t="str">
        <f>HYPERLINK("https://diaocthongthai.com/xa-ba-xa-ba-to/","Xã Ba Xa")</f>
        <v>Xã Ba Xa</v>
      </c>
    </row>
    <row r="6823" spans="1:7" x14ac:dyDescent="0.25">
      <c r="A6823" s="2">
        <v>6822</v>
      </c>
      <c r="B6823" s="3" t="s">
        <v>36</v>
      </c>
      <c r="C6823" s="4" t="str">
        <f t="shared" si="553"/>
        <v>Quảng Ngãi</v>
      </c>
      <c r="D6823" s="3">
        <v>536</v>
      </c>
      <c r="E6823" s="4" t="str">
        <f>HYPERLINK("https://diaocthongthai.com/ban-do-huyen-ly-son-quang-ngai/","Huyện Lý Sơn")</f>
        <v>Huyện Lý Sơn</v>
      </c>
      <c r="G6823" s="4" t="str">
        <f>HYPERLINK("https://diaocthongthai.com/ban-do-huyen-ly-son-quang-ngai/","Không phân chia đơn vị hành chính cấp xã")</f>
        <v>Không phân chia đơn vị hành chính cấp xã</v>
      </c>
    </row>
    <row r="6824" spans="1:7" x14ac:dyDescent="0.25">
      <c r="A6824" s="2">
        <v>6823</v>
      </c>
      <c r="B6824" s="3" t="s">
        <v>37</v>
      </c>
      <c r="C6824" s="4" t="str">
        <f t="shared" ref="C6824:C6855" si="554">HYPERLINK("https://diaocthongthai.com/ban-do-binh-dinh/","Bình Định")</f>
        <v>Bình Định</v>
      </c>
      <c r="D6824" s="3" t="s">
        <v>455</v>
      </c>
      <c r="E6824" s="4" t="str">
        <f t="shared" ref="E6824:E6844" si="555">HYPERLINK("https://diaocthongthai.com/ban-do-tp-qui-nhon-binh-dinh/","Thành phố Quy Nhơn")</f>
        <v>Thành phố Quy Nhơn</v>
      </c>
      <c r="F6824" s="3" t="s">
        <v>7584</v>
      </c>
      <c r="G6824" s="4" t="str">
        <f>HYPERLINK("https://diaocthongthai.com/phuong-nhon-binh-tp-quy-nhon/","Phường Nhơn Bình")</f>
        <v>Phường Nhơn Bình</v>
      </c>
    </row>
    <row r="6825" spans="1:7" x14ac:dyDescent="0.25">
      <c r="A6825" s="2">
        <v>6824</v>
      </c>
      <c r="B6825" s="3" t="s">
        <v>37</v>
      </c>
      <c r="C6825" s="4" t="str">
        <f t="shared" si="554"/>
        <v>Bình Định</v>
      </c>
      <c r="D6825" s="3" t="s">
        <v>455</v>
      </c>
      <c r="E6825" s="4" t="str">
        <f t="shared" si="555"/>
        <v>Thành phố Quy Nhơn</v>
      </c>
      <c r="F6825" s="3" t="s">
        <v>7585</v>
      </c>
      <c r="G6825" s="4" t="str">
        <f>HYPERLINK("https://diaocthongthai.com/phuong-nhon-phu-tp-quy-nhon/","Phường Nhơn Phú")</f>
        <v>Phường Nhơn Phú</v>
      </c>
    </row>
    <row r="6826" spans="1:7" x14ac:dyDescent="0.25">
      <c r="A6826" s="2">
        <v>6825</v>
      </c>
      <c r="B6826" s="3" t="s">
        <v>37</v>
      </c>
      <c r="C6826" s="4" t="str">
        <f t="shared" si="554"/>
        <v>Bình Định</v>
      </c>
      <c r="D6826" s="3" t="s">
        <v>455</v>
      </c>
      <c r="E6826" s="4" t="str">
        <f t="shared" si="555"/>
        <v>Thành phố Quy Nhơn</v>
      </c>
      <c r="F6826" s="3" t="s">
        <v>7586</v>
      </c>
      <c r="G6826" s="4" t="str">
        <f>HYPERLINK("https://diaocthongthai.com/phuong-dong-da-tp-quy-nhon/","Phường Đống Đa")</f>
        <v>Phường Đống Đa</v>
      </c>
    </row>
    <row r="6827" spans="1:7" x14ac:dyDescent="0.25">
      <c r="A6827" s="2">
        <v>6826</v>
      </c>
      <c r="B6827" s="3" t="s">
        <v>37</v>
      </c>
      <c r="C6827" s="4" t="str">
        <f t="shared" si="554"/>
        <v>Bình Định</v>
      </c>
      <c r="D6827" s="3" t="s">
        <v>455</v>
      </c>
      <c r="E6827" s="4" t="str">
        <f t="shared" si="555"/>
        <v>Thành phố Quy Nhơn</v>
      </c>
      <c r="F6827" s="3" t="s">
        <v>7587</v>
      </c>
      <c r="G6827" s="4" t="str">
        <f>HYPERLINK("https://diaocthongthai.com/phuong-tran-quang-dieu-tp-quy-nhon/","Phường Trần Quang Diệu")</f>
        <v>Phường Trần Quang Diệu</v>
      </c>
    </row>
    <row r="6828" spans="1:7" x14ac:dyDescent="0.25">
      <c r="A6828" s="2">
        <v>6827</v>
      </c>
      <c r="B6828" s="3" t="s">
        <v>37</v>
      </c>
      <c r="C6828" s="4" t="str">
        <f t="shared" si="554"/>
        <v>Bình Định</v>
      </c>
      <c r="D6828" s="3" t="s">
        <v>455</v>
      </c>
      <c r="E6828" s="4" t="str">
        <f t="shared" si="555"/>
        <v>Thành phố Quy Nhơn</v>
      </c>
      <c r="F6828" s="3" t="s">
        <v>7588</v>
      </c>
      <c r="G6828" s="4" t="str">
        <f>HYPERLINK("https://diaocthongthai.com/phuong-hai-cang-tp-quy-nhon/","Phường Hải Cảng")</f>
        <v>Phường Hải Cảng</v>
      </c>
    </row>
    <row r="6829" spans="1:7" x14ac:dyDescent="0.25">
      <c r="A6829" s="2">
        <v>6828</v>
      </c>
      <c r="B6829" s="3" t="s">
        <v>37</v>
      </c>
      <c r="C6829" s="4" t="str">
        <f t="shared" si="554"/>
        <v>Bình Định</v>
      </c>
      <c r="D6829" s="3" t="s">
        <v>455</v>
      </c>
      <c r="E6829" s="4" t="str">
        <f t="shared" si="555"/>
        <v>Thành phố Quy Nhơn</v>
      </c>
      <c r="F6829" s="3" t="s">
        <v>7589</v>
      </c>
      <c r="G6829" s="4" t="str">
        <f>HYPERLINK("https://diaocthongthai.com/phuong-quang-trung-tp-quy-nhon/","Phường Quang Trung")</f>
        <v>Phường Quang Trung</v>
      </c>
    </row>
    <row r="6830" spans="1:7" x14ac:dyDescent="0.25">
      <c r="A6830" s="2">
        <v>6829</v>
      </c>
      <c r="B6830" s="3" t="s">
        <v>37</v>
      </c>
      <c r="C6830" s="4" t="str">
        <f t="shared" si="554"/>
        <v>Bình Định</v>
      </c>
      <c r="D6830" s="3" t="s">
        <v>455</v>
      </c>
      <c r="E6830" s="4" t="str">
        <f t="shared" si="555"/>
        <v>Thành phố Quy Nhơn</v>
      </c>
      <c r="F6830" s="3" t="s">
        <v>7590</v>
      </c>
      <c r="G6830" s="4" t="str">
        <f>HYPERLINK("https://diaocthongthai.com/phuong-thi-nai-tp-quy-nhon/","Phường Thị Nại")</f>
        <v>Phường Thị Nại</v>
      </c>
    </row>
    <row r="6831" spans="1:7" x14ac:dyDescent="0.25">
      <c r="A6831" s="2">
        <v>6830</v>
      </c>
      <c r="B6831" s="3" t="s">
        <v>37</v>
      </c>
      <c r="C6831" s="4" t="str">
        <f t="shared" si="554"/>
        <v>Bình Định</v>
      </c>
      <c r="D6831" s="3" t="s">
        <v>455</v>
      </c>
      <c r="E6831" s="4" t="str">
        <f t="shared" si="555"/>
        <v>Thành phố Quy Nhơn</v>
      </c>
      <c r="F6831" s="3" t="s">
        <v>7591</v>
      </c>
      <c r="G6831" s="4" t="str">
        <f>HYPERLINK("https://diaocthongthai.com/phuong-le-hong-phong-tp-quy-nhon/","Phường Lê Hồng Phong")</f>
        <v>Phường Lê Hồng Phong</v>
      </c>
    </row>
    <row r="6832" spans="1:7" x14ac:dyDescent="0.25">
      <c r="A6832" s="2">
        <v>6831</v>
      </c>
      <c r="B6832" s="3" t="s">
        <v>37</v>
      </c>
      <c r="C6832" s="4" t="str">
        <f t="shared" si="554"/>
        <v>Bình Định</v>
      </c>
      <c r="D6832" s="3" t="s">
        <v>455</v>
      </c>
      <c r="E6832" s="4" t="str">
        <f t="shared" si="555"/>
        <v>Thành phố Quy Nhơn</v>
      </c>
      <c r="F6832" s="3" t="s">
        <v>7592</v>
      </c>
      <c r="G6832" s="4" t="str">
        <f>HYPERLINK("https://diaocthongthai.com/phuong-tran-hung-dao-tp-quy-nhon/","Phường Trần Hưng Đạo")</f>
        <v>Phường Trần Hưng Đạo</v>
      </c>
    </row>
    <row r="6833" spans="1:7" x14ac:dyDescent="0.25">
      <c r="A6833" s="2">
        <v>6832</v>
      </c>
      <c r="B6833" s="3" t="s">
        <v>37</v>
      </c>
      <c r="C6833" s="4" t="str">
        <f t="shared" si="554"/>
        <v>Bình Định</v>
      </c>
      <c r="D6833" s="3" t="s">
        <v>455</v>
      </c>
      <c r="E6833" s="4" t="str">
        <f t="shared" si="555"/>
        <v>Thành phố Quy Nhơn</v>
      </c>
      <c r="F6833" s="3" t="s">
        <v>7593</v>
      </c>
      <c r="G6833" s="4" t="str">
        <f>HYPERLINK("https://diaocthongthai.com/phuong-ngo-may-tp-quy-nhon/","Phường Ngô Mây")</f>
        <v>Phường Ngô Mây</v>
      </c>
    </row>
    <row r="6834" spans="1:7" x14ac:dyDescent="0.25">
      <c r="A6834" s="2">
        <v>6833</v>
      </c>
      <c r="B6834" s="3" t="s">
        <v>37</v>
      </c>
      <c r="C6834" s="4" t="str">
        <f t="shared" si="554"/>
        <v>Bình Định</v>
      </c>
      <c r="D6834" s="3" t="s">
        <v>455</v>
      </c>
      <c r="E6834" s="4" t="str">
        <f t="shared" si="555"/>
        <v>Thành phố Quy Nhơn</v>
      </c>
      <c r="F6834" s="3" t="s">
        <v>7594</v>
      </c>
      <c r="G6834" s="4" t="str">
        <f>HYPERLINK("https://diaocthongthai.com/phuong-ly-thuong-kiet-tp-quy-nhon/","Phường Lý Thường Kiệt")</f>
        <v>Phường Lý Thường Kiệt</v>
      </c>
    </row>
    <row r="6835" spans="1:7" x14ac:dyDescent="0.25">
      <c r="A6835" s="2">
        <v>6834</v>
      </c>
      <c r="B6835" s="3" t="s">
        <v>37</v>
      </c>
      <c r="C6835" s="4" t="str">
        <f t="shared" si="554"/>
        <v>Bình Định</v>
      </c>
      <c r="D6835" s="3" t="s">
        <v>455</v>
      </c>
      <c r="E6835" s="4" t="str">
        <f t="shared" si="555"/>
        <v>Thành phố Quy Nhơn</v>
      </c>
      <c r="F6835" s="3" t="s">
        <v>7595</v>
      </c>
      <c r="G6835" s="4" t="str">
        <f>HYPERLINK("https://diaocthongthai.com/phuong-le-loi-tp-quy-nhon/","Phường Lê Lợi")</f>
        <v>Phường Lê Lợi</v>
      </c>
    </row>
    <row r="6836" spans="1:7" x14ac:dyDescent="0.25">
      <c r="A6836" s="2">
        <v>6835</v>
      </c>
      <c r="B6836" s="3" t="s">
        <v>37</v>
      </c>
      <c r="C6836" s="4" t="str">
        <f t="shared" si="554"/>
        <v>Bình Định</v>
      </c>
      <c r="D6836" s="3" t="s">
        <v>455</v>
      </c>
      <c r="E6836" s="4" t="str">
        <f t="shared" si="555"/>
        <v>Thành phố Quy Nhơn</v>
      </c>
      <c r="F6836" s="3" t="s">
        <v>7596</v>
      </c>
      <c r="G6836" s="4" t="str">
        <f>HYPERLINK("https://diaocthongthai.com/phuong-tran-phu-tp-quy-nhon/","Phường Trần Phú")</f>
        <v>Phường Trần Phú</v>
      </c>
    </row>
    <row r="6837" spans="1:7" x14ac:dyDescent="0.25">
      <c r="A6837" s="2">
        <v>6836</v>
      </c>
      <c r="B6837" s="3" t="s">
        <v>37</v>
      </c>
      <c r="C6837" s="4" t="str">
        <f t="shared" si="554"/>
        <v>Bình Định</v>
      </c>
      <c r="D6837" s="3" t="s">
        <v>455</v>
      </c>
      <c r="E6837" s="4" t="str">
        <f t="shared" si="555"/>
        <v>Thành phố Quy Nhơn</v>
      </c>
      <c r="F6837" s="3" t="s">
        <v>7597</v>
      </c>
      <c r="G6837" s="4" t="str">
        <f>HYPERLINK("https://diaocthongthai.com/phuong-bui-thi-xuan-tp-quy-nhon/","Phường Bùi Thị Xuân")</f>
        <v>Phường Bùi Thị Xuân</v>
      </c>
    </row>
    <row r="6838" spans="1:7" x14ac:dyDescent="0.25">
      <c r="A6838" s="2">
        <v>6837</v>
      </c>
      <c r="B6838" s="3" t="s">
        <v>37</v>
      </c>
      <c r="C6838" s="4" t="str">
        <f t="shared" si="554"/>
        <v>Bình Định</v>
      </c>
      <c r="D6838" s="3" t="s">
        <v>455</v>
      </c>
      <c r="E6838" s="4" t="str">
        <f t="shared" si="555"/>
        <v>Thành phố Quy Nhơn</v>
      </c>
      <c r="F6838" s="3" t="s">
        <v>7598</v>
      </c>
      <c r="G6838" s="4" t="str">
        <f>HYPERLINK("https://diaocthongthai.com/phuong-nguyen-van-cu-tp-quy-nhon/","Phường Nguyễn Văn Cừ")</f>
        <v>Phường Nguyễn Văn Cừ</v>
      </c>
    </row>
    <row r="6839" spans="1:7" x14ac:dyDescent="0.25">
      <c r="A6839" s="2">
        <v>6838</v>
      </c>
      <c r="B6839" s="3" t="s">
        <v>37</v>
      </c>
      <c r="C6839" s="4" t="str">
        <f t="shared" si="554"/>
        <v>Bình Định</v>
      </c>
      <c r="D6839" s="3" t="s">
        <v>455</v>
      </c>
      <c r="E6839" s="4" t="str">
        <f t="shared" si="555"/>
        <v>Thành phố Quy Nhơn</v>
      </c>
      <c r="F6839" s="3" t="s">
        <v>7599</v>
      </c>
      <c r="G6839" s="4" t="str">
        <f>HYPERLINK("https://diaocthongthai.com/phuong-ghenh-rang-tp-quy-nhon/","Phường Ghềnh Ráng")</f>
        <v>Phường Ghềnh Ráng</v>
      </c>
    </row>
    <row r="6840" spans="1:7" x14ac:dyDescent="0.25">
      <c r="A6840" s="2">
        <v>6839</v>
      </c>
      <c r="B6840" s="3" t="s">
        <v>37</v>
      </c>
      <c r="C6840" s="4" t="str">
        <f t="shared" si="554"/>
        <v>Bình Định</v>
      </c>
      <c r="D6840" s="3" t="s">
        <v>455</v>
      </c>
      <c r="E6840" s="4" t="str">
        <f t="shared" si="555"/>
        <v>Thành phố Quy Nhơn</v>
      </c>
      <c r="F6840" s="3" t="s">
        <v>7600</v>
      </c>
      <c r="G6840" s="4" t="str">
        <f>HYPERLINK("https://diaocthongthai.com/xa-nhon-ly-tp-quy-nhon/","Xã Nhơn Lý")</f>
        <v>Xã Nhơn Lý</v>
      </c>
    </row>
    <row r="6841" spans="1:7" x14ac:dyDescent="0.25">
      <c r="A6841" s="2">
        <v>6840</v>
      </c>
      <c r="B6841" s="3" t="s">
        <v>37</v>
      </c>
      <c r="C6841" s="4" t="str">
        <f t="shared" si="554"/>
        <v>Bình Định</v>
      </c>
      <c r="D6841" s="3" t="s">
        <v>455</v>
      </c>
      <c r="E6841" s="4" t="str">
        <f t="shared" si="555"/>
        <v>Thành phố Quy Nhơn</v>
      </c>
      <c r="F6841" s="3" t="s">
        <v>7601</v>
      </c>
      <c r="G6841" s="4" t="str">
        <f>HYPERLINK("https://diaocthongthai.com/xa-nhon-hoi-tp-quy-nhon/","Xã Nhơn Hội")</f>
        <v>Xã Nhơn Hội</v>
      </c>
    </row>
    <row r="6842" spans="1:7" x14ac:dyDescent="0.25">
      <c r="A6842" s="2">
        <v>6841</v>
      </c>
      <c r="B6842" s="3" t="s">
        <v>37</v>
      </c>
      <c r="C6842" s="4" t="str">
        <f t="shared" si="554"/>
        <v>Bình Định</v>
      </c>
      <c r="D6842" s="3" t="s">
        <v>455</v>
      </c>
      <c r="E6842" s="4" t="str">
        <f t="shared" si="555"/>
        <v>Thành phố Quy Nhơn</v>
      </c>
      <c r="F6842" s="3" t="s">
        <v>7602</v>
      </c>
      <c r="G6842" s="4" t="str">
        <f>HYPERLINK("https://diaocthongthai.com/xa-nhon-hai-tp-quy-nhon/","Xã Nhơn Hải")</f>
        <v>Xã Nhơn Hải</v>
      </c>
    </row>
    <row r="6843" spans="1:7" x14ac:dyDescent="0.25">
      <c r="A6843" s="2">
        <v>6842</v>
      </c>
      <c r="B6843" s="3" t="s">
        <v>37</v>
      </c>
      <c r="C6843" s="4" t="str">
        <f t="shared" si="554"/>
        <v>Bình Định</v>
      </c>
      <c r="D6843" s="3" t="s">
        <v>455</v>
      </c>
      <c r="E6843" s="4" t="str">
        <f t="shared" si="555"/>
        <v>Thành phố Quy Nhơn</v>
      </c>
      <c r="F6843" s="3" t="s">
        <v>7603</v>
      </c>
      <c r="G6843" s="4" t="str">
        <f>HYPERLINK("https://diaocthongthai.com/xa-nhon-chau-tp-quy-nhon/","Xã Nhơn Châu")</f>
        <v>Xã Nhơn Châu</v>
      </c>
    </row>
    <row r="6844" spans="1:7" x14ac:dyDescent="0.25">
      <c r="A6844" s="2">
        <v>6843</v>
      </c>
      <c r="B6844" s="3" t="s">
        <v>37</v>
      </c>
      <c r="C6844" s="4" t="str">
        <f t="shared" si="554"/>
        <v>Bình Định</v>
      </c>
      <c r="D6844" s="3" t="s">
        <v>455</v>
      </c>
      <c r="E6844" s="4" t="str">
        <f t="shared" si="555"/>
        <v>Thành phố Quy Nhơn</v>
      </c>
      <c r="F6844" s="3" t="s">
        <v>7604</v>
      </c>
      <c r="G6844" s="4" t="str">
        <f>HYPERLINK("https://diaocthongthai.com/xa-phuoc-my-tp-quy-nhon/","Xã Phước Mỹ")</f>
        <v>Xã Phước Mỹ</v>
      </c>
    </row>
    <row r="6845" spans="1:7" x14ac:dyDescent="0.25">
      <c r="A6845" s="2">
        <v>6844</v>
      </c>
      <c r="B6845" s="3" t="s">
        <v>37</v>
      </c>
      <c r="C6845" s="4" t="str">
        <f t="shared" si="554"/>
        <v>Bình Định</v>
      </c>
      <c r="D6845" s="3" t="s">
        <v>456</v>
      </c>
      <c r="E6845" s="4" t="str">
        <f t="shared" ref="E6845:E6854" si="556">HYPERLINK("https://diaocthongthai.com/ban-do-huyen-an-lao-binh-dinh/","Huyện An Lão")</f>
        <v>Huyện An Lão</v>
      </c>
      <c r="F6845" s="3" t="s">
        <v>7605</v>
      </c>
      <c r="G6845" s="4" t="str">
        <f>HYPERLINK("https://diaocthongthai.com/thi-tran-an-lao-an-lao-binh-dinh/","Thị trấn An Lão")</f>
        <v>Thị trấn An Lão</v>
      </c>
    </row>
    <row r="6846" spans="1:7" x14ac:dyDescent="0.25">
      <c r="A6846" s="2">
        <v>6845</v>
      </c>
      <c r="B6846" s="3" t="s">
        <v>37</v>
      </c>
      <c r="C6846" s="4" t="str">
        <f t="shared" si="554"/>
        <v>Bình Định</v>
      </c>
      <c r="D6846" s="3" t="s">
        <v>456</v>
      </c>
      <c r="E6846" s="4" t="str">
        <f t="shared" si="556"/>
        <v>Huyện An Lão</v>
      </c>
      <c r="F6846" s="3" t="s">
        <v>7606</v>
      </c>
      <c r="G6846" s="4" t="str">
        <f>HYPERLINK("https://diaocthongthai.com/xa-an-hung-an-lao-binh-dinh/","Xã An Hưng")</f>
        <v>Xã An Hưng</v>
      </c>
    </row>
    <row r="6847" spans="1:7" x14ac:dyDescent="0.25">
      <c r="A6847" s="2">
        <v>6846</v>
      </c>
      <c r="B6847" s="3" t="s">
        <v>37</v>
      </c>
      <c r="C6847" s="4" t="str">
        <f t="shared" si="554"/>
        <v>Bình Định</v>
      </c>
      <c r="D6847" s="3" t="s">
        <v>456</v>
      </c>
      <c r="E6847" s="4" t="str">
        <f t="shared" si="556"/>
        <v>Huyện An Lão</v>
      </c>
      <c r="F6847" s="3" t="s">
        <v>7607</v>
      </c>
      <c r="G6847" s="4" t="str">
        <f>HYPERLINK("https://diaocthongthai.com/xa-an-trung-an-lao-binh-dinh/","Xã An Trung")</f>
        <v>Xã An Trung</v>
      </c>
    </row>
    <row r="6848" spans="1:7" x14ac:dyDescent="0.25">
      <c r="A6848" s="2">
        <v>6847</v>
      </c>
      <c r="B6848" s="3" t="s">
        <v>37</v>
      </c>
      <c r="C6848" s="4" t="str">
        <f t="shared" si="554"/>
        <v>Bình Định</v>
      </c>
      <c r="D6848" s="3" t="s">
        <v>456</v>
      </c>
      <c r="E6848" s="4" t="str">
        <f t="shared" si="556"/>
        <v>Huyện An Lão</v>
      </c>
      <c r="F6848" s="3" t="s">
        <v>7608</v>
      </c>
      <c r="G6848" s="4" t="str">
        <f>HYPERLINK("https://diaocthongthai.com/xa-an-dung-an-lao-binh-dinh/","Xã An Dũng")</f>
        <v>Xã An Dũng</v>
      </c>
    </row>
    <row r="6849" spans="1:7" x14ac:dyDescent="0.25">
      <c r="A6849" s="2">
        <v>6848</v>
      </c>
      <c r="B6849" s="3" t="s">
        <v>37</v>
      </c>
      <c r="C6849" s="4" t="str">
        <f t="shared" si="554"/>
        <v>Bình Định</v>
      </c>
      <c r="D6849" s="3" t="s">
        <v>456</v>
      </c>
      <c r="E6849" s="4" t="str">
        <f t="shared" si="556"/>
        <v>Huyện An Lão</v>
      </c>
      <c r="F6849" s="3" t="s">
        <v>7609</v>
      </c>
      <c r="G6849" s="4" t="str">
        <f>HYPERLINK("https://diaocthongthai.com/xa-an-vinh-an-lao-binh-dinh/","Xã An Vinh")</f>
        <v>Xã An Vinh</v>
      </c>
    </row>
    <row r="6850" spans="1:7" x14ac:dyDescent="0.25">
      <c r="A6850" s="2">
        <v>6849</v>
      </c>
      <c r="B6850" s="3" t="s">
        <v>37</v>
      </c>
      <c r="C6850" s="4" t="str">
        <f t="shared" si="554"/>
        <v>Bình Định</v>
      </c>
      <c r="D6850" s="3" t="s">
        <v>456</v>
      </c>
      <c r="E6850" s="4" t="str">
        <f t="shared" si="556"/>
        <v>Huyện An Lão</v>
      </c>
      <c r="F6850" s="3" t="s">
        <v>7610</v>
      </c>
      <c r="G6850" s="4" t="str">
        <f>HYPERLINK("https://diaocthongthai.com/xa-an-toan-an-lao-binh-dinh/","Xã An Toàn")</f>
        <v>Xã An Toàn</v>
      </c>
    </row>
    <row r="6851" spans="1:7" x14ac:dyDescent="0.25">
      <c r="A6851" s="2">
        <v>6850</v>
      </c>
      <c r="B6851" s="3" t="s">
        <v>37</v>
      </c>
      <c r="C6851" s="4" t="str">
        <f t="shared" si="554"/>
        <v>Bình Định</v>
      </c>
      <c r="D6851" s="3" t="s">
        <v>456</v>
      </c>
      <c r="E6851" s="4" t="str">
        <f t="shared" si="556"/>
        <v>Huyện An Lão</v>
      </c>
      <c r="F6851" s="3" t="s">
        <v>7611</v>
      </c>
      <c r="G6851" s="4" t="str">
        <f>HYPERLINK("https://diaocthongthai.com/xa-an-tan-an-lao-binh-dinh/","Xã An Tân")</f>
        <v>Xã An Tân</v>
      </c>
    </row>
    <row r="6852" spans="1:7" x14ac:dyDescent="0.25">
      <c r="A6852" s="2">
        <v>6851</v>
      </c>
      <c r="B6852" s="3" t="s">
        <v>37</v>
      </c>
      <c r="C6852" s="4" t="str">
        <f t="shared" si="554"/>
        <v>Bình Định</v>
      </c>
      <c r="D6852" s="3" t="s">
        <v>456</v>
      </c>
      <c r="E6852" s="4" t="str">
        <f t="shared" si="556"/>
        <v>Huyện An Lão</v>
      </c>
      <c r="F6852" s="3" t="s">
        <v>7612</v>
      </c>
      <c r="G6852" s="4" t="str">
        <f>HYPERLINK("https://diaocthongthai.com/xa-an-hoa-an-lao-binh-dinh/","Xã An Hòa")</f>
        <v>Xã An Hòa</v>
      </c>
    </row>
    <row r="6853" spans="1:7" x14ac:dyDescent="0.25">
      <c r="A6853" s="2">
        <v>6852</v>
      </c>
      <c r="B6853" s="3" t="s">
        <v>37</v>
      </c>
      <c r="C6853" s="4" t="str">
        <f t="shared" si="554"/>
        <v>Bình Định</v>
      </c>
      <c r="D6853" s="3" t="s">
        <v>456</v>
      </c>
      <c r="E6853" s="4" t="str">
        <f t="shared" si="556"/>
        <v>Huyện An Lão</v>
      </c>
      <c r="F6853" s="3" t="s">
        <v>7613</v>
      </c>
      <c r="G6853" s="4" t="str">
        <f>HYPERLINK("https://diaocthongthai.com/xa-an-quang-an-lao-binh-dinh/","Xã An Quang")</f>
        <v>Xã An Quang</v>
      </c>
    </row>
    <row r="6854" spans="1:7" x14ac:dyDescent="0.25">
      <c r="A6854" s="2">
        <v>6853</v>
      </c>
      <c r="B6854" s="3" t="s">
        <v>37</v>
      </c>
      <c r="C6854" s="4" t="str">
        <f t="shared" si="554"/>
        <v>Bình Định</v>
      </c>
      <c r="D6854" s="3" t="s">
        <v>456</v>
      </c>
      <c r="E6854" s="4" t="str">
        <f t="shared" si="556"/>
        <v>Huyện An Lão</v>
      </c>
      <c r="F6854" s="3" t="s">
        <v>7614</v>
      </c>
      <c r="G6854" s="4" t="str">
        <f>HYPERLINK("https://diaocthongthai.com/xa-an-nghia-an-lao-binh-dinh/","Xã An Nghĩa")</f>
        <v>Xã An Nghĩa</v>
      </c>
    </row>
    <row r="6855" spans="1:7" x14ac:dyDescent="0.25">
      <c r="A6855" s="2">
        <v>6854</v>
      </c>
      <c r="B6855" s="3" t="s">
        <v>37</v>
      </c>
      <c r="C6855" s="4" t="str">
        <f t="shared" si="554"/>
        <v>Bình Định</v>
      </c>
      <c r="D6855" s="3" t="s">
        <v>457</v>
      </c>
      <c r="E6855" s="4" t="str">
        <f t="shared" ref="E6855:E6871" si="557">HYPERLINK("https://diaocthongthai.com/ban-do-huyen-hoai-nhon-binh-dinh/","Thị xã Hoài Nhơn")</f>
        <v>Thị xã Hoài Nhơn</v>
      </c>
      <c r="F6855" s="3" t="s">
        <v>7615</v>
      </c>
      <c r="G6855" s="4" t="str">
        <f>HYPERLINK("https://diaocthongthai.com/phuong-tam-quan-hoai-nhon/","Phường Tam Quan")</f>
        <v>Phường Tam Quan</v>
      </c>
    </row>
    <row r="6856" spans="1:7" x14ac:dyDescent="0.25">
      <c r="A6856" s="2">
        <v>6855</v>
      </c>
      <c r="B6856" s="3" t="s">
        <v>37</v>
      </c>
      <c r="C6856" s="4" t="str">
        <f t="shared" ref="C6856:C6887" si="558">HYPERLINK("https://diaocthongthai.com/ban-do-binh-dinh/","Bình Định")</f>
        <v>Bình Định</v>
      </c>
      <c r="D6856" s="3" t="s">
        <v>457</v>
      </c>
      <c r="E6856" s="4" t="str">
        <f t="shared" si="557"/>
        <v>Thị xã Hoài Nhơn</v>
      </c>
      <c r="F6856" s="3" t="s">
        <v>7616</v>
      </c>
      <c r="G6856" s="4" t="str">
        <f>HYPERLINK("https://diaocthongthai.com/phuong-bong-son-hoai-nhon/","Phường Bồng Sơn")</f>
        <v>Phường Bồng Sơn</v>
      </c>
    </row>
    <row r="6857" spans="1:7" x14ac:dyDescent="0.25">
      <c r="A6857" s="2">
        <v>6856</v>
      </c>
      <c r="B6857" s="3" t="s">
        <v>37</v>
      </c>
      <c r="C6857" s="4" t="str">
        <f t="shared" si="558"/>
        <v>Bình Định</v>
      </c>
      <c r="D6857" s="3" t="s">
        <v>457</v>
      </c>
      <c r="E6857" s="4" t="str">
        <f t="shared" si="557"/>
        <v>Thị xã Hoài Nhơn</v>
      </c>
      <c r="F6857" s="3" t="s">
        <v>7617</v>
      </c>
      <c r="G6857" s="4" t="str">
        <f>HYPERLINK("https://diaocthongthai.com/xa-hoai-son-hoai-nhon/","Xã Hoài Sơn")</f>
        <v>Xã Hoài Sơn</v>
      </c>
    </row>
    <row r="6858" spans="1:7" x14ac:dyDescent="0.25">
      <c r="A6858" s="2">
        <v>6857</v>
      </c>
      <c r="B6858" s="3" t="s">
        <v>37</v>
      </c>
      <c r="C6858" s="4" t="str">
        <f t="shared" si="558"/>
        <v>Bình Định</v>
      </c>
      <c r="D6858" s="3" t="s">
        <v>457</v>
      </c>
      <c r="E6858" s="4" t="str">
        <f t="shared" si="557"/>
        <v>Thị xã Hoài Nhơn</v>
      </c>
      <c r="F6858" s="3" t="s">
        <v>7618</v>
      </c>
      <c r="G6858" s="4" t="str">
        <f>HYPERLINK("https://diaocthongthai.com/xa-hoai-chau-bac-hoai-nhon/","Xã Hoài Châu Bắc")</f>
        <v>Xã Hoài Châu Bắc</v>
      </c>
    </row>
    <row r="6859" spans="1:7" x14ac:dyDescent="0.25">
      <c r="A6859" s="2">
        <v>6858</v>
      </c>
      <c r="B6859" s="3" t="s">
        <v>37</v>
      </c>
      <c r="C6859" s="4" t="str">
        <f t="shared" si="558"/>
        <v>Bình Định</v>
      </c>
      <c r="D6859" s="3" t="s">
        <v>457</v>
      </c>
      <c r="E6859" s="4" t="str">
        <f t="shared" si="557"/>
        <v>Thị xã Hoài Nhơn</v>
      </c>
      <c r="F6859" s="3" t="s">
        <v>7619</v>
      </c>
      <c r="G6859" s="4" t="str">
        <f>HYPERLINK("https://diaocthongthai.com/xa-hoai-chau-hoai-nhon/","Xã Hoài Châu")</f>
        <v>Xã Hoài Châu</v>
      </c>
    </row>
    <row r="6860" spans="1:7" x14ac:dyDescent="0.25">
      <c r="A6860" s="2">
        <v>6859</v>
      </c>
      <c r="B6860" s="3" t="s">
        <v>37</v>
      </c>
      <c r="C6860" s="4" t="str">
        <f t="shared" si="558"/>
        <v>Bình Định</v>
      </c>
      <c r="D6860" s="3" t="s">
        <v>457</v>
      </c>
      <c r="E6860" s="4" t="str">
        <f t="shared" si="557"/>
        <v>Thị xã Hoài Nhơn</v>
      </c>
      <c r="F6860" s="3" t="s">
        <v>7620</v>
      </c>
      <c r="G6860" s="4" t="str">
        <f>HYPERLINK("https://diaocthongthai.com/xa-hoai-phu-hoai-nhon/","Xã Hoài Phú")</f>
        <v>Xã Hoài Phú</v>
      </c>
    </row>
    <row r="6861" spans="1:7" x14ac:dyDescent="0.25">
      <c r="A6861" s="2">
        <v>6860</v>
      </c>
      <c r="B6861" s="3" t="s">
        <v>37</v>
      </c>
      <c r="C6861" s="4" t="str">
        <f t="shared" si="558"/>
        <v>Bình Định</v>
      </c>
      <c r="D6861" s="3" t="s">
        <v>457</v>
      </c>
      <c r="E6861" s="4" t="str">
        <f t="shared" si="557"/>
        <v>Thị xã Hoài Nhơn</v>
      </c>
      <c r="F6861" s="3" t="s">
        <v>7621</v>
      </c>
      <c r="G6861" s="4" t="str">
        <f>HYPERLINK("https://diaocthongthai.com/phuong-tam-quan-bac-hoai-nhon/","Phường Tam Quan Bắc")</f>
        <v>Phường Tam Quan Bắc</v>
      </c>
    </row>
    <row r="6862" spans="1:7" x14ac:dyDescent="0.25">
      <c r="A6862" s="2">
        <v>6861</v>
      </c>
      <c r="B6862" s="3" t="s">
        <v>37</v>
      </c>
      <c r="C6862" s="4" t="str">
        <f t="shared" si="558"/>
        <v>Bình Định</v>
      </c>
      <c r="D6862" s="3" t="s">
        <v>457</v>
      </c>
      <c r="E6862" s="4" t="str">
        <f t="shared" si="557"/>
        <v>Thị xã Hoài Nhơn</v>
      </c>
      <c r="F6862" s="3" t="s">
        <v>7622</v>
      </c>
      <c r="G6862" s="4" t="str">
        <f>HYPERLINK("https://diaocthongthai.com/phuong-tam-quan-nam-hoai-nhon/","Phường Tam Quan Nam")</f>
        <v>Phường Tam Quan Nam</v>
      </c>
    </row>
    <row r="6863" spans="1:7" x14ac:dyDescent="0.25">
      <c r="A6863" s="2">
        <v>6862</v>
      </c>
      <c r="B6863" s="3" t="s">
        <v>37</v>
      </c>
      <c r="C6863" s="4" t="str">
        <f t="shared" si="558"/>
        <v>Bình Định</v>
      </c>
      <c r="D6863" s="3" t="s">
        <v>457</v>
      </c>
      <c r="E6863" s="4" t="str">
        <f t="shared" si="557"/>
        <v>Thị xã Hoài Nhơn</v>
      </c>
      <c r="F6863" s="3" t="s">
        <v>7623</v>
      </c>
      <c r="G6863" s="4" t="str">
        <f>HYPERLINK("https://diaocthongthai.com/xa-hoai-hao-hoai-nhon/","Phường Hoài Hảo")</f>
        <v>Phường Hoài Hảo</v>
      </c>
    </row>
    <row r="6864" spans="1:7" x14ac:dyDescent="0.25">
      <c r="A6864" s="2">
        <v>6863</v>
      </c>
      <c r="B6864" s="3" t="s">
        <v>37</v>
      </c>
      <c r="C6864" s="4" t="str">
        <f t="shared" si="558"/>
        <v>Bình Định</v>
      </c>
      <c r="D6864" s="3" t="s">
        <v>457</v>
      </c>
      <c r="E6864" s="4" t="str">
        <f t="shared" si="557"/>
        <v>Thị xã Hoài Nhơn</v>
      </c>
      <c r="F6864" s="3" t="s">
        <v>7624</v>
      </c>
      <c r="G6864" s="4" t="str">
        <f>HYPERLINK("https://diaocthongthai.com/phuong-hoai-thanh-tay-hoai-nhon/","Phường Hoài Thanh Tây")</f>
        <v>Phường Hoài Thanh Tây</v>
      </c>
    </row>
    <row r="6865" spans="1:7" x14ac:dyDescent="0.25">
      <c r="A6865" s="2">
        <v>6864</v>
      </c>
      <c r="B6865" s="3" t="s">
        <v>37</v>
      </c>
      <c r="C6865" s="4" t="str">
        <f t="shared" si="558"/>
        <v>Bình Định</v>
      </c>
      <c r="D6865" s="3" t="s">
        <v>457</v>
      </c>
      <c r="E6865" s="4" t="str">
        <f t="shared" si="557"/>
        <v>Thị xã Hoài Nhơn</v>
      </c>
      <c r="F6865" s="3" t="s">
        <v>7625</v>
      </c>
      <c r="G6865" s="4" t="str">
        <f>HYPERLINK("https://diaocthongthai.com/phuong-hoai-thanh-hoai-nhon/","Phường Hoài Thanh")</f>
        <v>Phường Hoài Thanh</v>
      </c>
    </row>
    <row r="6866" spans="1:7" x14ac:dyDescent="0.25">
      <c r="A6866" s="2">
        <v>6865</v>
      </c>
      <c r="B6866" s="3" t="s">
        <v>37</v>
      </c>
      <c r="C6866" s="4" t="str">
        <f t="shared" si="558"/>
        <v>Bình Định</v>
      </c>
      <c r="D6866" s="3" t="s">
        <v>457</v>
      </c>
      <c r="E6866" s="4" t="str">
        <f t="shared" si="557"/>
        <v>Thị xã Hoài Nhơn</v>
      </c>
      <c r="F6866" s="3" t="s">
        <v>7626</v>
      </c>
      <c r="G6866" s="4" t="str">
        <f>HYPERLINK("https://diaocthongthai.com/phuong-hoai-huong-hoai-nhon/","Phường Hoài Hương")</f>
        <v>Phường Hoài Hương</v>
      </c>
    </row>
    <row r="6867" spans="1:7" x14ac:dyDescent="0.25">
      <c r="A6867" s="2">
        <v>6866</v>
      </c>
      <c r="B6867" s="3" t="s">
        <v>37</v>
      </c>
      <c r="C6867" s="4" t="str">
        <f t="shared" si="558"/>
        <v>Bình Định</v>
      </c>
      <c r="D6867" s="3" t="s">
        <v>457</v>
      </c>
      <c r="E6867" s="4" t="str">
        <f t="shared" si="557"/>
        <v>Thị xã Hoài Nhơn</v>
      </c>
      <c r="F6867" s="3" t="s">
        <v>7627</v>
      </c>
      <c r="G6867" s="4" t="str">
        <f>HYPERLINK("https://diaocthongthai.com/phuong-hoai-tan-hoai-nhon/","Phường Hoài Tân")</f>
        <v>Phường Hoài Tân</v>
      </c>
    </row>
    <row r="6868" spans="1:7" x14ac:dyDescent="0.25">
      <c r="A6868" s="2">
        <v>6867</v>
      </c>
      <c r="B6868" s="3" t="s">
        <v>37</v>
      </c>
      <c r="C6868" s="4" t="str">
        <f t="shared" si="558"/>
        <v>Bình Định</v>
      </c>
      <c r="D6868" s="3" t="s">
        <v>457</v>
      </c>
      <c r="E6868" s="4" t="str">
        <f t="shared" si="557"/>
        <v>Thị xã Hoài Nhơn</v>
      </c>
      <c r="F6868" s="3" t="s">
        <v>7628</v>
      </c>
      <c r="G6868" s="4" t="str">
        <f>HYPERLINK("https://diaocthongthai.com/xa-hoai-hai-hoai-nhon/","Xã Hoài Hải")</f>
        <v>Xã Hoài Hải</v>
      </c>
    </row>
    <row r="6869" spans="1:7" x14ac:dyDescent="0.25">
      <c r="A6869" s="2">
        <v>6868</v>
      </c>
      <c r="B6869" s="3" t="s">
        <v>37</v>
      </c>
      <c r="C6869" s="4" t="str">
        <f t="shared" si="558"/>
        <v>Bình Định</v>
      </c>
      <c r="D6869" s="3" t="s">
        <v>457</v>
      </c>
      <c r="E6869" s="4" t="str">
        <f t="shared" si="557"/>
        <v>Thị xã Hoài Nhơn</v>
      </c>
      <c r="F6869" s="3" t="s">
        <v>7629</v>
      </c>
      <c r="G6869" s="4" t="str">
        <f>HYPERLINK("https://diaocthongthai.com/phuong-hoai-xuan-hoai-nhon/","Phường Hoài Xuân")</f>
        <v>Phường Hoài Xuân</v>
      </c>
    </row>
    <row r="6870" spans="1:7" x14ac:dyDescent="0.25">
      <c r="A6870" s="2">
        <v>6869</v>
      </c>
      <c r="B6870" s="3" t="s">
        <v>37</v>
      </c>
      <c r="C6870" s="4" t="str">
        <f t="shared" si="558"/>
        <v>Bình Định</v>
      </c>
      <c r="D6870" s="3" t="s">
        <v>457</v>
      </c>
      <c r="E6870" s="4" t="str">
        <f t="shared" si="557"/>
        <v>Thị xã Hoài Nhơn</v>
      </c>
      <c r="F6870" s="3" t="s">
        <v>7630</v>
      </c>
      <c r="G6870" s="4" t="str">
        <f>HYPERLINK("https://diaocthongthai.com/xa-hoai-my-hoai-nhon/","Xã Hoài Mỹ")</f>
        <v>Xã Hoài Mỹ</v>
      </c>
    </row>
    <row r="6871" spans="1:7" x14ac:dyDescent="0.25">
      <c r="A6871" s="2">
        <v>6870</v>
      </c>
      <c r="B6871" s="3" t="s">
        <v>37</v>
      </c>
      <c r="C6871" s="4" t="str">
        <f t="shared" si="558"/>
        <v>Bình Định</v>
      </c>
      <c r="D6871" s="3" t="s">
        <v>457</v>
      </c>
      <c r="E6871" s="4" t="str">
        <f t="shared" si="557"/>
        <v>Thị xã Hoài Nhơn</v>
      </c>
      <c r="F6871" s="3" t="s">
        <v>7631</v>
      </c>
      <c r="G6871" s="4" t="str">
        <f>HYPERLINK("https://diaocthongthai.com/phuong-hoai-duc-hoai-nhon/","Phường Hoài Đức")</f>
        <v>Phường Hoài Đức</v>
      </c>
    </row>
    <row r="6872" spans="1:7" x14ac:dyDescent="0.25">
      <c r="A6872" s="2">
        <v>6871</v>
      </c>
      <c r="B6872" s="3" t="s">
        <v>37</v>
      </c>
      <c r="C6872" s="4" t="str">
        <f t="shared" si="558"/>
        <v>Bình Định</v>
      </c>
      <c r="D6872" s="3" t="s">
        <v>458</v>
      </c>
      <c r="E6872" s="4" t="str">
        <f t="shared" ref="E6872:E6886" si="559">HYPERLINK("https://diaocthongthai.com/ban-do-huyen-hoai-an-binh-dinh/","Huyện Hoài Ân")</f>
        <v>Huyện Hoài Ân</v>
      </c>
      <c r="F6872" s="3" t="s">
        <v>7632</v>
      </c>
      <c r="G6872" s="4" t="str">
        <f>HYPERLINK("https://diaocthongthai.com/thi-tran-tang-bat-ho-hoai-an/","Thị trấn Tăng Bạt Hổ")</f>
        <v>Thị trấn Tăng Bạt Hổ</v>
      </c>
    </row>
    <row r="6873" spans="1:7" x14ac:dyDescent="0.25">
      <c r="A6873" s="2">
        <v>6872</v>
      </c>
      <c r="B6873" s="3" t="s">
        <v>37</v>
      </c>
      <c r="C6873" s="4" t="str">
        <f t="shared" si="558"/>
        <v>Bình Định</v>
      </c>
      <c r="D6873" s="3" t="s">
        <v>458</v>
      </c>
      <c r="E6873" s="4" t="str">
        <f t="shared" si="559"/>
        <v>Huyện Hoài Ân</v>
      </c>
      <c r="F6873" s="3" t="s">
        <v>7633</v>
      </c>
      <c r="G6873" s="4" t="str">
        <f>HYPERLINK("https://diaocthongthai.com/xa-an-hao-tay-hoai-an/","Xã Ân Hảo Tây")</f>
        <v>Xã Ân Hảo Tây</v>
      </c>
    </row>
    <row r="6874" spans="1:7" x14ac:dyDescent="0.25">
      <c r="A6874" s="2">
        <v>6873</v>
      </c>
      <c r="B6874" s="3" t="s">
        <v>37</v>
      </c>
      <c r="C6874" s="4" t="str">
        <f t="shared" si="558"/>
        <v>Bình Định</v>
      </c>
      <c r="D6874" s="3" t="s">
        <v>458</v>
      </c>
      <c r="E6874" s="4" t="str">
        <f t="shared" si="559"/>
        <v>Huyện Hoài Ân</v>
      </c>
      <c r="F6874" s="3" t="s">
        <v>7634</v>
      </c>
      <c r="G6874" s="4" t="str">
        <f>HYPERLINK("https://diaocthongthai.com/xa-an-hao-dong-hoai-an/","Xã Ân Hảo Đông")</f>
        <v>Xã Ân Hảo Đông</v>
      </c>
    </row>
    <row r="6875" spans="1:7" x14ac:dyDescent="0.25">
      <c r="A6875" s="2">
        <v>6874</v>
      </c>
      <c r="B6875" s="3" t="s">
        <v>37</v>
      </c>
      <c r="C6875" s="4" t="str">
        <f t="shared" si="558"/>
        <v>Bình Định</v>
      </c>
      <c r="D6875" s="3" t="s">
        <v>458</v>
      </c>
      <c r="E6875" s="4" t="str">
        <f t="shared" si="559"/>
        <v>Huyện Hoài Ân</v>
      </c>
      <c r="F6875" s="3" t="s">
        <v>7635</v>
      </c>
      <c r="G6875" s="4" t="str">
        <f>HYPERLINK("https://diaocthongthai.com/xa-an-son-hoai-an/","Xã Ân Sơn")</f>
        <v>Xã Ân Sơn</v>
      </c>
    </row>
    <row r="6876" spans="1:7" x14ac:dyDescent="0.25">
      <c r="A6876" s="2">
        <v>6875</v>
      </c>
      <c r="B6876" s="3" t="s">
        <v>37</v>
      </c>
      <c r="C6876" s="4" t="str">
        <f t="shared" si="558"/>
        <v>Bình Định</v>
      </c>
      <c r="D6876" s="3" t="s">
        <v>458</v>
      </c>
      <c r="E6876" s="4" t="str">
        <f t="shared" si="559"/>
        <v>Huyện Hoài Ân</v>
      </c>
      <c r="F6876" s="3" t="s">
        <v>7636</v>
      </c>
      <c r="G6876" s="4" t="str">
        <f>HYPERLINK("https://diaocthongthai.com/xa-an-my-hoai-an/","Xã Ân Mỹ")</f>
        <v>Xã Ân Mỹ</v>
      </c>
    </row>
    <row r="6877" spans="1:7" x14ac:dyDescent="0.25">
      <c r="A6877" s="2">
        <v>6876</v>
      </c>
      <c r="B6877" s="3" t="s">
        <v>37</v>
      </c>
      <c r="C6877" s="4" t="str">
        <f t="shared" si="558"/>
        <v>Bình Định</v>
      </c>
      <c r="D6877" s="3" t="s">
        <v>458</v>
      </c>
      <c r="E6877" s="4" t="str">
        <f t="shared" si="559"/>
        <v>Huyện Hoài Ân</v>
      </c>
      <c r="F6877" s="3" t="s">
        <v>7637</v>
      </c>
      <c r="G6877" s="4" t="str">
        <f>HYPERLINK("https://diaocthongthai.com/xa-dak-mang-hoai-an/","Xã Đak Mang")</f>
        <v>Xã Đak Mang</v>
      </c>
    </row>
    <row r="6878" spans="1:7" x14ac:dyDescent="0.25">
      <c r="A6878" s="2">
        <v>6877</v>
      </c>
      <c r="B6878" s="3" t="s">
        <v>37</v>
      </c>
      <c r="C6878" s="4" t="str">
        <f t="shared" si="558"/>
        <v>Bình Định</v>
      </c>
      <c r="D6878" s="3" t="s">
        <v>458</v>
      </c>
      <c r="E6878" s="4" t="str">
        <f t="shared" si="559"/>
        <v>Huyện Hoài Ân</v>
      </c>
      <c r="F6878" s="3" t="s">
        <v>7638</v>
      </c>
      <c r="G6878" s="4" t="str">
        <f>HYPERLINK("https://diaocthongthai.com/xa-an-tin-hoai-an/","Xã Ân Tín")</f>
        <v>Xã Ân Tín</v>
      </c>
    </row>
    <row r="6879" spans="1:7" x14ac:dyDescent="0.25">
      <c r="A6879" s="2">
        <v>6878</v>
      </c>
      <c r="B6879" s="3" t="s">
        <v>37</v>
      </c>
      <c r="C6879" s="4" t="str">
        <f t="shared" si="558"/>
        <v>Bình Định</v>
      </c>
      <c r="D6879" s="3" t="s">
        <v>458</v>
      </c>
      <c r="E6879" s="4" t="str">
        <f t="shared" si="559"/>
        <v>Huyện Hoài Ân</v>
      </c>
      <c r="F6879" s="3" t="s">
        <v>7639</v>
      </c>
      <c r="G6879" s="4" t="str">
        <f>HYPERLINK("https://diaocthongthai.com/xa-an-thanh-hoai-an/","Xã Ân Thạnh")</f>
        <v>Xã Ân Thạnh</v>
      </c>
    </row>
    <row r="6880" spans="1:7" x14ac:dyDescent="0.25">
      <c r="A6880" s="2">
        <v>6879</v>
      </c>
      <c r="B6880" s="3" t="s">
        <v>37</v>
      </c>
      <c r="C6880" s="4" t="str">
        <f t="shared" si="558"/>
        <v>Bình Định</v>
      </c>
      <c r="D6880" s="3" t="s">
        <v>458</v>
      </c>
      <c r="E6880" s="4" t="str">
        <f t="shared" si="559"/>
        <v>Huyện Hoài Ân</v>
      </c>
      <c r="F6880" s="3" t="s">
        <v>7640</v>
      </c>
      <c r="G6880" s="4" t="str">
        <f>HYPERLINK("https://diaocthongthai.com/xa-an-phong-hoai-an/","Xã Ân Phong")</f>
        <v>Xã Ân Phong</v>
      </c>
    </row>
    <row r="6881" spans="1:7" x14ac:dyDescent="0.25">
      <c r="A6881" s="2">
        <v>6880</v>
      </c>
      <c r="B6881" s="3" t="s">
        <v>37</v>
      </c>
      <c r="C6881" s="4" t="str">
        <f t="shared" si="558"/>
        <v>Bình Định</v>
      </c>
      <c r="D6881" s="3" t="s">
        <v>458</v>
      </c>
      <c r="E6881" s="4" t="str">
        <f t="shared" si="559"/>
        <v>Huyện Hoài Ân</v>
      </c>
      <c r="F6881" s="3" t="s">
        <v>7641</v>
      </c>
      <c r="G6881" s="4" t="str">
        <f>HYPERLINK("https://diaocthongthai.com/xa-an-duc-hoai-an/","Xã Ân Đức")</f>
        <v>Xã Ân Đức</v>
      </c>
    </row>
    <row r="6882" spans="1:7" x14ac:dyDescent="0.25">
      <c r="A6882" s="2">
        <v>6881</v>
      </c>
      <c r="B6882" s="3" t="s">
        <v>37</v>
      </c>
      <c r="C6882" s="4" t="str">
        <f t="shared" si="558"/>
        <v>Bình Định</v>
      </c>
      <c r="D6882" s="3" t="s">
        <v>458</v>
      </c>
      <c r="E6882" s="4" t="str">
        <f t="shared" si="559"/>
        <v>Huyện Hoài Ân</v>
      </c>
      <c r="F6882" s="3" t="s">
        <v>7642</v>
      </c>
      <c r="G6882" s="4" t="str">
        <f>HYPERLINK("https://diaocthongthai.com/xa-an-huu-hoai-an/","Xã Ân Hữu")</f>
        <v>Xã Ân Hữu</v>
      </c>
    </row>
    <row r="6883" spans="1:7" x14ac:dyDescent="0.25">
      <c r="A6883" s="2">
        <v>6882</v>
      </c>
      <c r="B6883" s="3" t="s">
        <v>37</v>
      </c>
      <c r="C6883" s="4" t="str">
        <f t="shared" si="558"/>
        <v>Bình Định</v>
      </c>
      <c r="D6883" s="3" t="s">
        <v>458</v>
      </c>
      <c r="E6883" s="4" t="str">
        <f t="shared" si="559"/>
        <v>Huyện Hoài Ân</v>
      </c>
      <c r="F6883" s="3" t="s">
        <v>7643</v>
      </c>
      <c r="G6883" s="4" t="str">
        <f>HYPERLINK("https://diaocthongthai.com/xa-bok-toi-hoai-an/","Xã Bok Tới")</f>
        <v>Xã Bok Tới</v>
      </c>
    </row>
    <row r="6884" spans="1:7" x14ac:dyDescent="0.25">
      <c r="A6884" s="2">
        <v>6883</v>
      </c>
      <c r="B6884" s="3" t="s">
        <v>37</v>
      </c>
      <c r="C6884" s="4" t="str">
        <f t="shared" si="558"/>
        <v>Bình Định</v>
      </c>
      <c r="D6884" s="3" t="s">
        <v>458</v>
      </c>
      <c r="E6884" s="4" t="str">
        <f t="shared" si="559"/>
        <v>Huyện Hoài Ân</v>
      </c>
      <c r="F6884" s="3" t="s">
        <v>7644</v>
      </c>
      <c r="G6884" s="4" t="str">
        <f>HYPERLINK("https://diaocthongthai.com/xa-an-tuong-tay-hoai-an/","Xã Ân Tường Tây")</f>
        <v>Xã Ân Tường Tây</v>
      </c>
    </row>
    <row r="6885" spans="1:7" x14ac:dyDescent="0.25">
      <c r="A6885" s="2">
        <v>6884</v>
      </c>
      <c r="B6885" s="3" t="s">
        <v>37</v>
      </c>
      <c r="C6885" s="4" t="str">
        <f t="shared" si="558"/>
        <v>Bình Định</v>
      </c>
      <c r="D6885" s="3" t="s">
        <v>458</v>
      </c>
      <c r="E6885" s="4" t="str">
        <f t="shared" si="559"/>
        <v>Huyện Hoài Ân</v>
      </c>
      <c r="F6885" s="3" t="s">
        <v>7645</v>
      </c>
      <c r="G6885" s="4" t="str">
        <f>HYPERLINK("https://diaocthongthai.com/xa-an-tuong-dong-hoai-an/","Xã Ân Tường Đông")</f>
        <v>Xã Ân Tường Đông</v>
      </c>
    </row>
    <row r="6886" spans="1:7" x14ac:dyDescent="0.25">
      <c r="A6886" s="2">
        <v>6885</v>
      </c>
      <c r="B6886" s="3" t="s">
        <v>37</v>
      </c>
      <c r="C6886" s="4" t="str">
        <f t="shared" si="558"/>
        <v>Bình Định</v>
      </c>
      <c r="D6886" s="3" t="s">
        <v>458</v>
      </c>
      <c r="E6886" s="4" t="str">
        <f t="shared" si="559"/>
        <v>Huyện Hoài Ân</v>
      </c>
      <c r="F6886" s="3" t="s">
        <v>7646</v>
      </c>
      <c r="G6886" s="4" t="str">
        <f>HYPERLINK("https://diaocthongthai.com/xa-an-nghia-hoai-an/","Xã Ân Nghĩa")</f>
        <v>Xã Ân Nghĩa</v>
      </c>
    </row>
    <row r="6887" spans="1:7" x14ac:dyDescent="0.25">
      <c r="A6887" s="2">
        <v>6886</v>
      </c>
      <c r="B6887" s="3" t="s">
        <v>37</v>
      </c>
      <c r="C6887" s="4" t="str">
        <f t="shared" si="558"/>
        <v>Bình Định</v>
      </c>
      <c r="D6887" s="3" t="s">
        <v>459</v>
      </c>
      <c r="E6887" s="4" t="str">
        <f t="shared" ref="E6887:E6905" si="560">HYPERLINK("https://diaocthongthai.com/ban-do-huyen-phu-my-binh-dinh/","Huyện Phù Mỹ")</f>
        <v>Huyện Phù Mỹ</v>
      </c>
      <c r="F6887" s="3" t="s">
        <v>7647</v>
      </c>
      <c r="G6887" s="4" t="str">
        <f>HYPERLINK("https://diaocthongthai.com/thi-tran-phu-my-phu-my-binh-dinh/","Thị trấn Phù Mỹ")</f>
        <v>Thị trấn Phù Mỹ</v>
      </c>
    </row>
    <row r="6888" spans="1:7" x14ac:dyDescent="0.25">
      <c r="A6888" s="2">
        <v>6887</v>
      </c>
      <c r="B6888" s="3" t="s">
        <v>37</v>
      </c>
      <c r="C6888" s="4" t="str">
        <f t="shared" ref="C6888:C6919" si="561">HYPERLINK("https://diaocthongthai.com/ban-do-binh-dinh/","Bình Định")</f>
        <v>Bình Định</v>
      </c>
      <c r="D6888" s="3" t="s">
        <v>459</v>
      </c>
      <c r="E6888" s="4" t="str">
        <f t="shared" si="560"/>
        <v>Huyện Phù Mỹ</v>
      </c>
      <c r="F6888" s="3" t="s">
        <v>7648</v>
      </c>
      <c r="G6888" s="4" t="str">
        <f>HYPERLINK("https://diaocthongthai.com/thi-tran-binh-duong-phu-my-binh-dinh/","Thị trấn Bình Dương")</f>
        <v>Thị trấn Bình Dương</v>
      </c>
    </row>
    <row r="6889" spans="1:7" x14ac:dyDescent="0.25">
      <c r="A6889" s="2">
        <v>6888</v>
      </c>
      <c r="B6889" s="3" t="s">
        <v>37</v>
      </c>
      <c r="C6889" s="4" t="str">
        <f t="shared" si="561"/>
        <v>Bình Định</v>
      </c>
      <c r="D6889" s="3" t="s">
        <v>459</v>
      </c>
      <c r="E6889" s="4" t="str">
        <f t="shared" si="560"/>
        <v>Huyện Phù Mỹ</v>
      </c>
      <c r="F6889" s="3" t="s">
        <v>7649</v>
      </c>
      <c r="G6889" s="4" t="str">
        <f>HYPERLINK("https://diaocthongthai.com/xa-my-duc-phu-my-binh-dinh/","Xã Mỹ Đức")</f>
        <v>Xã Mỹ Đức</v>
      </c>
    </row>
    <row r="6890" spans="1:7" x14ac:dyDescent="0.25">
      <c r="A6890" s="2">
        <v>6889</v>
      </c>
      <c r="B6890" s="3" t="s">
        <v>37</v>
      </c>
      <c r="C6890" s="4" t="str">
        <f t="shared" si="561"/>
        <v>Bình Định</v>
      </c>
      <c r="D6890" s="3" t="s">
        <v>459</v>
      </c>
      <c r="E6890" s="4" t="str">
        <f t="shared" si="560"/>
        <v>Huyện Phù Mỹ</v>
      </c>
      <c r="F6890" s="3" t="s">
        <v>7650</v>
      </c>
      <c r="G6890" s="4" t="str">
        <f>HYPERLINK("https://diaocthongthai.com/xa-my-chau-phu-my-binh-dinh/","Xã Mỹ Châu")</f>
        <v>Xã Mỹ Châu</v>
      </c>
    </row>
    <row r="6891" spans="1:7" x14ac:dyDescent="0.25">
      <c r="A6891" s="2">
        <v>6890</v>
      </c>
      <c r="B6891" s="3" t="s">
        <v>37</v>
      </c>
      <c r="C6891" s="4" t="str">
        <f t="shared" si="561"/>
        <v>Bình Định</v>
      </c>
      <c r="D6891" s="3" t="s">
        <v>459</v>
      </c>
      <c r="E6891" s="4" t="str">
        <f t="shared" si="560"/>
        <v>Huyện Phù Mỹ</v>
      </c>
      <c r="F6891" s="3" t="s">
        <v>7651</v>
      </c>
      <c r="G6891" s="4" t="str">
        <f>HYPERLINK("https://diaocthongthai.com/xa-my-thang-phu-my-binh-dinh/","Xã Mỹ Thắng")</f>
        <v>Xã Mỹ Thắng</v>
      </c>
    </row>
    <row r="6892" spans="1:7" x14ac:dyDescent="0.25">
      <c r="A6892" s="2">
        <v>6891</v>
      </c>
      <c r="B6892" s="3" t="s">
        <v>37</v>
      </c>
      <c r="C6892" s="4" t="str">
        <f t="shared" si="561"/>
        <v>Bình Định</v>
      </c>
      <c r="D6892" s="3" t="s">
        <v>459</v>
      </c>
      <c r="E6892" s="4" t="str">
        <f t="shared" si="560"/>
        <v>Huyện Phù Mỹ</v>
      </c>
      <c r="F6892" s="3" t="s">
        <v>7652</v>
      </c>
      <c r="G6892" s="4" t="str">
        <f>HYPERLINK("https://diaocthongthai.com/xa-my-loc-phu-my-binh-dinh/","Xã Mỹ Lộc")</f>
        <v>Xã Mỹ Lộc</v>
      </c>
    </row>
    <row r="6893" spans="1:7" x14ac:dyDescent="0.25">
      <c r="A6893" s="2">
        <v>6892</v>
      </c>
      <c r="B6893" s="3" t="s">
        <v>37</v>
      </c>
      <c r="C6893" s="4" t="str">
        <f t="shared" si="561"/>
        <v>Bình Định</v>
      </c>
      <c r="D6893" s="3" t="s">
        <v>459</v>
      </c>
      <c r="E6893" s="4" t="str">
        <f t="shared" si="560"/>
        <v>Huyện Phù Mỹ</v>
      </c>
      <c r="F6893" s="3" t="s">
        <v>7653</v>
      </c>
      <c r="G6893" s="4" t="str">
        <f>HYPERLINK("https://diaocthongthai.com/xa-my-loi-phu-my-binh-dinh/","Xã Mỹ Lợi")</f>
        <v>Xã Mỹ Lợi</v>
      </c>
    </row>
    <row r="6894" spans="1:7" x14ac:dyDescent="0.25">
      <c r="A6894" s="2">
        <v>6893</v>
      </c>
      <c r="B6894" s="3" t="s">
        <v>37</v>
      </c>
      <c r="C6894" s="4" t="str">
        <f t="shared" si="561"/>
        <v>Bình Định</v>
      </c>
      <c r="D6894" s="3" t="s">
        <v>459</v>
      </c>
      <c r="E6894" s="4" t="str">
        <f t="shared" si="560"/>
        <v>Huyện Phù Mỹ</v>
      </c>
      <c r="F6894" s="3" t="s">
        <v>7654</v>
      </c>
      <c r="G6894" s="4" t="str">
        <f>HYPERLINK("https://diaocthongthai.com/xa-my-an-phu-my-binh-dinh/","Xã Mỹ An")</f>
        <v>Xã Mỹ An</v>
      </c>
    </row>
    <row r="6895" spans="1:7" x14ac:dyDescent="0.25">
      <c r="A6895" s="2">
        <v>6894</v>
      </c>
      <c r="B6895" s="3" t="s">
        <v>37</v>
      </c>
      <c r="C6895" s="4" t="str">
        <f t="shared" si="561"/>
        <v>Bình Định</v>
      </c>
      <c r="D6895" s="3" t="s">
        <v>459</v>
      </c>
      <c r="E6895" s="4" t="str">
        <f t="shared" si="560"/>
        <v>Huyện Phù Mỹ</v>
      </c>
      <c r="F6895" s="3" t="s">
        <v>7655</v>
      </c>
      <c r="G6895" s="4" t="str">
        <f>HYPERLINK("https://diaocthongthai.com/xa-my-phong-phu-my-binh-dinh/","Xã Mỹ Phong")</f>
        <v>Xã Mỹ Phong</v>
      </c>
    </row>
    <row r="6896" spans="1:7" x14ac:dyDescent="0.25">
      <c r="A6896" s="2">
        <v>6895</v>
      </c>
      <c r="B6896" s="3" t="s">
        <v>37</v>
      </c>
      <c r="C6896" s="4" t="str">
        <f t="shared" si="561"/>
        <v>Bình Định</v>
      </c>
      <c r="D6896" s="3" t="s">
        <v>459</v>
      </c>
      <c r="E6896" s="4" t="str">
        <f t="shared" si="560"/>
        <v>Huyện Phù Mỹ</v>
      </c>
      <c r="F6896" s="3" t="s">
        <v>7656</v>
      </c>
      <c r="G6896" s="4" t="str">
        <f>HYPERLINK("https://diaocthongthai.com/xa-my-trinh-phu-my-binh-dinh/","Xã Mỹ Trinh")</f>
        <v>Xã Mỹ Trinh</v>
      </c>
    </row>
    <row r="6897" spans="1:7" x14ac:dyDescent="0.25">
      <c r="A6897" s="2">
        <v>6896</v>
      </c>
      <c r="B6897" s="3" t="s">
        <v>37</v>
      </c>
      <c r="C6897" s="4" t="str">
        <f t="shared" si="561"/>
        <v>Bình Định</v>
      </c>
      <c r="D6897" s="3" t="s">
        <v>459</v>
      </c>
      <c r="E6897" s="4" t="str">
        <f t="shared" si="560"/>
        <v>Huyện Phù Mỹ</v>
      </c>
      <c r="F6897" s="3" t="s">
        <v>7657</v>
      </c>
      <c r="G6897" s="4" t="str">
        <f>HYPERLINK("https://diaocthongthai.com/xa-my-tho-phu-my-binh-dinh/","Xã Mỹ Thọ")</f>
        <v>Xã Mỹ Thọ</v>
      </c>
    </row>
    <row r="6898" spans="1:7" x14ac:dyDescent="0.25">
      <c r="A6898" s="2">
        <v>6897</v>
      </c>
      <c r="B6898" s="3" t="s">
        <v>37</v>
      </c>
      <c r="C6898" s="4" t="str">
        <f t="shared" si="561"/>
        <v>Bình Định</v>
      </c>
      <c r="D6898" s="3" t="s">
        <v>459</v>
      </c>
      <c r="E6898" s="4" t="str">
        <f t="shared" si="560"/>
        <v>Huyện Phù Mỹ</v>
      </c>
      <c r="F6898" s="3" t="s">
        <v>7658</v>
      </c>
      <c r="G6898" s="4" t="str">
        <f>HYPERLINK("https://diaocthongthai.com/xa-my-hoa-phu-my-binh-dinh/","Xã Mỹ Hòa")</f>
        <v>Xã Mỹ Hòa</v>
      </c>
    </row>
    <row r="6899" spans="1:7" x14ac:dyDescent="0.25">
      <c r="A6899" s="2">
        <v>6898</v>
      </c>
      <c r="B6899" s="3" t="s">
        <v>37</v>
      </c>
      <c r="C6899" s="4" t="str">
        <f t="shared" si="561"/>
        <v>Bình Định</v>
      </c>
      <c r="D6899" s="3" t="s">
        <v>459</v>
      </c>
      <c r="E6899" s="4" t="str">
        <f t="shared" si="560"/>
        <v>Huyện Phù Mỹ</v>
      </c>
      <c r="F6899" s="3" t="s">
        <v>7659</v>
      </c>
      <c r="G6899" s="4" t="str">
        <f>HYPERLINK("https://diaocthongthai.com/xa-my-thanh-phu-my-binh-dinh/","Xã Mỹ Thành")</f>
        <v>Xã Mỹ Thành</v>
      </c>
    </row>
    <row r="6900" spans="1:7" x14ac:dyDescent="0.25">
      <c r="A6900" s="2">
        <v>6899</v>
      </c>
      <c r="B6900" s="3" t="s">
        <v>37</v>
      </c>
      <c r="C6900" s="4" t="str">
        <f t="shared" si="561"/>
        <v>Bình Định</v>
      </c>
      <c r="D6900" s="3" t="s">
        <v>459</v>
      </c>
      <c r="E6900" s="4" t="str">
        <f t="shared" si="560"/>
        <v>Huyện Phù Mỹ</v>
      </c>
      <c r="F6900" s="3" t="s">
        <v>7660</v>
      </c>
      <c r="G6900" s="4" t="str">
        <f>HYPERLINK("https://diaocthongthai.com/xa-my-chanh-phu-my-binh-dinh/","Xã Mỹ Chánh")</f>
        <v>Xã Mỹ Chánh</v>
      </c>
    </row>
    <row r="6901" spans="1:7" x14ac:dyDescent="0.25">
      <c r="A6901" s="2">
        <v>6900</v>
      </c>
      <c r="B6901" s="3" t="s">
        <v>37</v>
      </c>
      <c r="C6901" s="4" t="str">
        <f t="shared" si="561"/>
        <v>Bình Định</v>
      </c>
      <c r="D6901" s="3" t="s">
        <v>459</v>
      </c>
      <c r="E6901" s="4" t="str">
        <f t="shared" si="560"/>
        <v>Huyện Phù Mỹ</v>
      </c>
      <c r="F6901" s="3" t="s">
        <v>7661</v>
      </c>
      <c r="G6901" s="4" t="str">
        <f>HYPERLINK("https://diaocthongthai.com/xa-my-quang-phu-my-binh-dinh/","Xã Mỹ Quang")</f>
        <v>Xã Mỹ Quang</v>
      </c>
    </row>
    <row r="6902" spans="1:7" x14ac:dyDescent="0.25">
      <c r="A6902" s="2">
        <v>6901</v>
      </c>
      <c r="B6902" s="3" t="s">
        <v>37</v>
      </c>
      <c r="C6902" s="4" t="str">
        <f t="shared" si="561"/>
        <v>Bình Định</v>
      </c>
      <c r="D6902" s="3" t="s">
        <v>459</v>
      </c>
      <c r="E6902" s="4" t="str">
        <f t="shared" si="560"/>
        <v>Huyện Phù Mỹ</v>
      </c>
      <c r="F6902" s="3" t="s">
        <v>7662</v>
      </c>
      <c r="G6902" s="4" t="str">
        <f>HYPERLINK("https://diaocthongthai.com/xa-my-hiep-phu-my-binh-dinh/","Xã Mỹ Hiệp")</f>
        <v>Xã Mỹ Hiệp</v>
      </c>
    </row>
    <row r="6903" spans="1:7" x14ac:dyDescent="0.25">
      <c r="A6903" s="2">
        <v>6902</v>
      </c>
      <c r="B6903" s="3" t="s">
        <v>37</v>
      </c>
      <c r="C6903" s="4" t="str">
        <f t="shared" si="561"/>
        <v>Bình Định</v>
      </c>
      <c r="D6903" s="3" t="s">
        <v>459</v>
      </c>
      <c r="E6903" s="4" t="str">
        <f t="shared" si="560"/>
        <v>Huyện Phù Mỹ</v>
      </c>
      <c r="F6903" s="3" t="s">
        <v>7663</v>
      </c>
      <c r="G6903" s="4" t="str">
        <f>HYPERLINK("https://diaocthongthai.com/xa-my-tai-phu-my-binh-dinh/","Xã Mỹ Tài")</f>
        <v>Xã Mỹ Tài</v>
      </c>
    </row>
    <row r="6904" spans="1:7" x14ac:dyDescent="0.25">
      <c r="A6904" s="2">
        <v>6903</v>
      </c>
      <c r="B6904" s="3" t="s">
        <v>37</v>
      </c>
      <c r="C6904" s="4" t="str">
        <f t="shared" si="561"/>
        <v>Bình Định</v>
      </c>
      <c r="D6904" s="3" t="s">
        <v>459</v>
      </c>
      <c r="E6904" s="4" t="str">
        <f t="shared" si="560"/>
        <v>Huyện Phù Mỹ</v>
      </c>
      <c r="F6904" s="3" t="s">
        <v>7664</v>
      </c>
      <c r="G6904" s="4" t="str">
        <f>HYPERLINK("https://diaocthongthai.com/xa-my-cat-phu-my-binh-dinh/","Xã Mỹ Cát")</f>
        <v>Xã Mỹ Cát</v>
      </c>
    </row>
    <row r="6905" spans="1:7" x14ac:dyDescent="0.25">
      <c r="A6905" s="2">
        <v>6904</v>
      </c>
      <c r="B6905" s="3" t="s">
        <v>37</v>
      </c>
      <c r="C6905" s="4" t="str">
        <f t="shared" si="561"/>
        <v>Bình Định</v>
      </c>
      <c r="D6905" s="3" t="s">
        <v>459</v>
      </c>
      <c r="E6905" s="4" t="str">
        <f t="shared" si="560"/>
        <v>Huyện Phù Mỹ</v>
      </c>
      <c r="F6905" s="3" t="s">
        <v>7665</v>
      </c>
      <c r="G6905" s="4" t="str">
        <f>HYPERLINK("https://diaocthongthai.com/xa-my-chanh-tay-phu-my-binh-dinh/","Xã Mỹ Chánh Tây")</f>
        <v>Xã Mỹ Chánh Tây</v>
      </c>
    </row>
    <row r="6906" spans="1:7" x14ac:dyDescent="0.25">
      <c r="A6906" s="2">
        <v>6905</v>
      </c>
      <c r="B6906" s="3" t="s">
        <v>37</v>
      </c>
      <c r="C6906" s="4" t="str">
        <f t="shared" si="561"/>
        <v>Bình Định</v>
      </c>
      <c r="D6906" s="3" t="s">
        <v>460</v>
      </c>
      <c r="E6906" s="4" t="str">
        <f t="shared" ref="E6906:E6914" si="562">HYPERLINK("https://diaocthongthai.com/ban-do-huyen-vinh-thanh-binh-dinh/","Huyện Vĩnh Thạnh")</f>
        <v>Huyện Vĩnh Thạnh</v>
      </c>
      <c r="F6906" s="3" t="s">
        <v>7666</v>
      </c>
      <c r="G6906" s="4" t="str">
        <f>HYPERLINK("https://diaocthongthai.com/thi-tran-vinh-thanh-vinh-thanh-binh-dinh/","Thị trấn Vĩnh Thạnh")</f>
        <v>Thị trấn Vĩnh Thạnh</v>
      </c>
    </row>
    <row r="6907" spans="1:7" x14ac:dyDescent="0.25">
      <c r="A6907" s="2">
        <v>6906</v>
      </c>
      <c r="B6907" s="3" t="s">
        <v>37</v>
      </c>
      <c r="C6907" s="4" t="str">
        <f t="shared" si="561"/>
        <v>Bình Định</v>
      </c>
      <c r="D6907" s="3" t="s">
        <v>460</v>
      </c>
      <c r="E6907" s="4" t="str">
        <f t="shared" si="562"/>
        <v>Huyện Vĩnh Thạnh</v>
      </c>
      <c r="F6907" s="3" t="s">
        <v>7667</v>
      </c>
      <c r="G6907" s="4" t="str">
        <f>HYPERLINK("https://diaocthongthai.com/xa-vinh-son-vinh-thanh-binh-dinh/","Xã Vĩnh Sơn")</f>
        <v>Xã Vĩnh Sơn</v>
      </c>
    </row>
    <row r="6908" spans="1:7" x14ac:dyDescent="0.25">
      <c r="A6908" s="2">
        <v>6907</v>
      </c>
      <c r="B6908" s="3" t="s">
        <v>37</v>
      </c>
      <c r="C6908" s="4" t="str">
        <f t="shared" si="561"/>
        <v>Bình Định</v>
      </c>
      <c r="D6908" s="3" t="s">
        <v>460</v>
      </c>
      <c r="E6908" s="4" t="str">
        <f t="shared" si="562"/>
        <v>Huyện Vĩnh Thạnh</v>
      </c>
      <c r="F6908" s="3" t="s">
        <v>7668</v>
      </c>
      <c r="G6908" s="4" t="str">
        <f>HYPERLINK("https://diaocthongthai.com/xa-vinh-kim-vinh-thanh-binh-dinh/","Xã Vĩnh Kim")</f>
        <v>Xã Vĩnh Kim</v>
      </c>
    </row>
    <row r="6909" spans="1:7" x14ac:dyDescent="0.25">
      <c r="A6909" s="2">
        <v>6908</v>
      </c>
      <c r="B6909" s="3" t="s">
        <v>37</v>
      </c>
      <c r="C6909" s="4" t="str">
        <f t="shared" si="561"/>
        <v>Bình Định</v>
      </c>
      <c r="D6909" s="3" t="s">
        <v>460</v>
      </c>
      <c r="E6909" s="4" t="str">
        <f t="shared" si="562"/>
        <v>Huyện Vĩnh Thạnh</v>
      </c>
      <c r="F6909" s="3" t="s">
        <v>7669</v>
      </c>
      <c r="G6909" s="4" t="str">
        <f>HYPERLINK("https://diaocthongthai.com/xa-vinh-hiep-vinh-thanh-binh-dinh/","Xã Vĩnh Hiệp")</f>
        <v>Xã Vĩnh Hiệp</v>
      </c>
    </row>
    <row r="6910" spans="1:7" x14ac:dyDescent="0.25">
      <c r="A6910" s="2">
        <v>6909</v>
      </c>
      <c r="B6910" s="3" t="s">
        <v>37</v>
      </c>
      <c r="C6910" s="4" t="str">
        <f t="shared" si="561"/>
        <v>Bình Định</v>
      </c>
      <c r="D6910" s="3" t="s">
        <v>460</v>
      </c>
      <c r="E6910" s="4" t="str">
        <f t="shared" si="562"/>
        <v>Huyện Vĩnh Thạnh</v>
      </c>
      <c r="F6910" s="3" t="s">
        <v>7670</v>
      </c>
      <c r="G6910" s="4" t="str">
        <f>HYPERLINK("https://diaocthongthai.com/xa-vinh-hao-vinh-thanh-binh-dinh/","Xã Vĩnh Hảo")</f>
        <v>Xã Vĩnh Hảo</v>
      </c>
    </row>
    <row r="6911" spans="1:7" x14ac:dyDescent="0.25">
      <c r="A6911" s="2">
        <v>6910</v>
      </c>
      <c r="B6911" s="3" t="s">
        <v>37</v>
      </c>
      <c r="C6911" s="4" t="str">
        <f t="shared" si="561"/>
        <v>Bình Định</v>
      </c>
      <c r="D6911" s="3" t="s">
        <v>460</v>
      </c>
      <c r="E6911" s="4" t="str">
        <f t="shared" si="562"/>
        <v>Huyện Vĩnh Thạnh</v>
      </c>
      <c r="F6911" s="3" t="s">
        <v>7671</v>
      </c>
      <c r="G6911" s="4" t="str">
        <f>HYPERLINK("https://diaocthongthai.com/xa-vinh-hoa-vinh-thanh-binh-dinh/","Xã Vĩnh Hòa")</f>
        <v>Xã Vĩnh Hòa</v>
      </c>
    </row>
    <row r="6912" spans="1:7" x14ac:dyDescent="0.25">
      <c r="A6912" s="2">
        <v>6911</v>
      </c>
      <c r="B6912" s="3" t="s">
        <v>37</v>
      </c>
      <c r="C6912" s="4" t="str">
        <f t="shared" si="561"/>
        <v>Bình Định</v>
      </c>
      <c r="D6912" s="3" t="s">
        <v>460</v>
      </c>
      <c r="E6912" s="4" t="str">
        <f t="shared" si="562"/>
        <v>Huyện Vĩnh Thạnh</v>
      </c>
      <c r="F6912" s="3" t="s">
        <v>7672</v>
      </c>
      <c r="G6912" s="4" t="str">
        <f>HYPERLINK("https://diaocthongthai.com/xa-vinh-thinh-vinh-thanh-binh-dinh/","Xã Vĩnh Thịnh")</f>
        <v>Xã Vĩnh Thịnh</v>
      </c>
    </row>
    <row r="6913" spans="1:7" x14ac:dyDescent="0.25">
      <c r="A6913" s="2">
        <v>6912</v>
      </c>
      <c r="B6913" s="3" t="s">
        <v>37</v>
      </c>
      <c r="C6913" s="4" t="str">
        <f t="shared" si="561"/>
        <v>Bình Định</v>
      </c>
      <c r="D6913" s="3" t="s">
        <v>460</v>
      </c>
      <c r="E6913" s="4" t="str">
        <f t="shared" si="562"/>
        <v>Huyện Vĩnh Thạnh</v>
      </c>
      <c r="F6913" s="3" t="s">
        <v>7673</v>
      </c>
      <c r="G6913" s="4" t="str">
        <f>HYPERLINK("https://diaocthongthai.com/xa-vinh-thuan-vinh-thanh-binh-dinh/","Xã Vĩnh Thuận")</f>
        <v>Xã Vĩnh Thuận</v>
      </c>
    </row>
    <row r="6914" spans="1:7" x14ac:dyDescent="0.25">
      <c r="A6914" s="2">
        <v>6913</v>
      </c>
      <c r="B6914" s="3" t="s">
        <v>37</v>
      </c>
      <c r="C6914" s="4" t="str">
        <f t="shared" si="561"/>
        <v>Bình Định</v>
      </c>
      <c r="D6914" s="3" t="s">
        <v>460</v>
      </c>
      <c r="E6914" s="4" t="str">
        <f t="shared" si="562"/>
        <v>Huyện Vĩnh Thạnh</v>
      </c>
      <c r="F6914" s="3" t="s">
        <v>7674</v>
      </c>
      <c r="G6914" s="4" t="str">
        <f>HYPERLINK("https://diaocthongthai.com/xa-vinh-quang-vinh-thanh-binh-dinh/","Xã Vĩnh Quang")</f>
        <v>Xã Vĩnh Quang</v>
      </c>
    </row>
    <row r="6915" spans="1:7" x14ac:dyDescent="0.25">
      <c r="A6915" s="2">
        <v>6914</v>
      </c>
      <c r="B6915" s="3" t="s">
        <v>37</v>
      </c>
      <c r="C6915" s="4" t="str">
        <f t="shared" si="561"/>
        <v>Bình Định</v>
      </c>
      <c r="D6915" s="3" t="s">
        <v>461</v>
      </c>
      <c r="E6915" s="4" t="str">
        <f t="shared" ref="E6915:E6929" si="563">HYPERLINK("https://diaocthongthai.com/ban-do-huyen-tay-son-binh-dinh/","Huyện Tây Sơn")</f>
        <v>Huyện Tây Sơn</v>
      </c>
      <c r="F6915" s="3" t="s">
        <v>7675</v>
      </c>
      <c r="G6915" s="4" t="str">
        <f>HYPERLINK("https://diaocthongthai.com/thi-tran-phu-phong-tay-son/","Thị trấn Phú Phong")</f>
        <v>Thị trấn Phú Phong</v>
      </c>
    </row>
    <row r="6916" spans="1:7" x14ac:dyDescent="0.25">
      <c r="A6916" s="2">
        <v>6915</v>
      </c>
      <c r="B6916" s="3" t="s">
        <v>37</v>
      </c>
      <c r="C6916" s="4" t="str">
        <f t="shared" si="561"/>
        <v>Bình Định</v>
      </c>
      <c r="D6916" s="3" t="s">
        <v>461</v>
      </c>
      <c r="E6916" s="4" t="str">
        <f t="shared" si="563"/>
        <v>Huyện Tây Sơn</v>
      </c>
      <c r="F6916" s="3" t="s">
        <v>7676</v>
      </c>
      <c r="G6916" s="4" t="str">
        <f>HYPERLINK("https://diaocthongthai.com/xa-binh-tan-tay-son/","Xã Bình Tân")</f>
        <v>Xã Bình Tân</v>
      </c>
    </row>
    <row r="6917" spans="1:7" x14ac:dyDescent="0.25">
      <c r="A6917" s="2">
        <v>6916</v>
      </c>
      <c r="B6917" s="3" t="s">
        <v>37</v>
      </c>
      <c r="C6917" s="4" t="str">
        <f t="shared" si="561"/>
        <v>Bình Định</v>
      </c>
      <c r="D6917" s="3" t="s">
        <v>461</v>
      </c>
      <c r="E6917" s="4" t="str">
        <f t="shared" si="563"/>
        <v>Huyện Tây Sơn</v>
      </c>
      <c r="F6917" s="3" t="s">
        <v>7677</v>
      </c>
      <c r="G6917" s="4" t="str">
        <f>HYPERLINK("https://diaocthongthai.com/xa-tay-thuan-tay-son/","Xã Tây Thuận")</f>
        <v>Xã Tây Thuận</v>
      </c>
    </row>
    <row r="6918" spans="1:7" x14ac:dyDescent="0.25">
      <c r="A6918" s="2">
        <v>6917</v>
      </c>
      <c r="B6918" s="3" t="s">
        <v>37</v>
      </c>
      <c r="C6918" s="4" t="str">
        <f t="shared" si="561"/>
        <v>Bình Định</v>
      </c>
      <c r="D6918" s="3" t="s">
        <v>461</v>
      </c>
      <c r="E6918" s="4" t="str">
        <f t="shared" si="563"/>
        <v>Huyện Tây Sơn</v>
      </c>
      <c r="F6918" s="3" t="s">
        <v>7678</v>
      </c>
      <c r="G6918" s="4" t="str">
        <f>HYPERLINK("https://diaocthongthai.com/xa-binh-thuan-tay-son/","Xã Bình Thuận")</f>
        <v>Xã Bình Thuận</v>
      </c>
    </row>
    <row r="6919" spans="1:7" x14ac:dyDescent="0.25">
      <c r="A6919" s="2">
        <v>6918</v>
      </c>
      <c r="B6919" s="3" t="s">
        <v>37</v>
      </c>
      <c r="C6919" s="4" t="str">
        <f t="shared" si="561"/>
        <v>Bình Định</v>
      </c>
      <c r="D6919" s="3" t="s">
        <v>461</v>
      </c>
      <c r="E6919" s="4" t="str">
        <f t="shared" si="563"/>
        <v>Huyện Tây Sơn</v>
      </c>
      <c r="F6919" s="3" t="s">
        <v>7679</v>
      </c>
      <c r="G6919" s="4" t="str">
        <f>HYPERLINK("https://diaocthongthai.com/xa-tay-giang-tay-son/","Xã Tây Giang")</f>
        <v>Xã Tây Giang</v>
      </c>
    </row>
    <row r="6920" spans="1:7" x14ac:dyDescent="0.25">
      <c r="A6920" s="2">
        <v>6919</v>
      </c>
      <c r="B6920" s="3" t="s">
        <v>37</v>
      </c>
      <c r="C6920" s="4" t="str">
        <f t="shared" ref="C6920:C6951" si="564">HYPERLINK("https://diaocthongthai.com/ban-do-binh-dinh/","Bình Định")</f>
        <v>Bình Định</v>
      </c>
      <c r="D6920" s="3" t="s">
        <v>461</v>
      </c>
      <c r="E6920" s="4" t="str">
        <f t="shared" si="563"/>
        <v>Huyện Tây Sơn</v>
      </c>
      <c r="F6920" s="3" t="s">
        <v>7680</v>
      </c>
      <c r="G6920" s="4" t="str">
        <f>HYPERLINK("https://diaocthongthai.com/xa-binh-thanh-tay-son/","Xã Bình Thành")</f>
        <v>Xã Bình Thành</v>
      </c>
    </row>
    <row r="6921" spans="1:7" x14ac:dyDescent="0.25">
      <c r="A6921" s="2">
        <v>6920</v>
      </c>
      <c r="B6921" s="3" t="s">
        <v>37</v>
      </c>
      <c r="C6921" s="4" t="str">
        <f t="shared" si="564"/>
        <v>Bình Định</v>
      </c>
      <c r="D6921" s="3" t="s">
        <v>461</v>
      </c>
      <c r="E6921" s="4" t="str">
        <f t="shared" si="563"/>
        <v>Huyện Tây Sơn</v>
      </c>
      <c r="F6921" s="3" t="s">
        <v>7681</v>
      </c>
      <c r="G6921" s="4" t="str">
        <f>HYPERLINK("https://diaocthongthai.com/xa-tay-an-tay-son/","Xã Tây An")</f>
        <v>Xã Tây An</v>
      </c>
    </row>
    <row r="6922" spans="1:7" x14ac:dyDescent="0.25">
      <c r="A6922" s="2">
        <v>6921</v>
      </c>
      <c r="B6922" s="3" t="s">
        <v>37</v>
      </c>
      <c r="C6922" s="4" t="str">
        <f t="shared" si="564"/>
        <v>Bình Định</v>
      </c>
      <c r="D6922" s="3" t="s">
        <v>461</v>
      </c>
      <c r="E6922" s="4" t="str">
        <f t="shared" si="563"/>
        <v>Huyện Tây Sơn</v>
      </c>
      <c r="F6922" s="3" t="s">
        <v>7682</v>
      </c>
      <c r="G6922" s="4" t="str">
        <f>HYPERLINK("https://diaocthongthai.com/xa-binh-hoa-tay-son/","Xã Bình Hòa")</f>
        <v>Xã Bình Hòa</v>
      </c>
    </row>
    <row r="6923" spans="1:7" x14ac:dyDescent="0.25">
      <c r="A6923" s="2">
        <v>6922</v>
      </c>
      <c r="B6923" s="3" t="s">
        <v>37</v>
      </c>
      <c r="C6923" s="4" t="str">
        <f t="shared" si="564"/>
        <v>Bình Định</v>
      </c>
      <c r="D6923" s="3" t="s">
        <v>461</v>
      </c>
      <c r="E6923" s="4" t="str">
        <f t="shared" si="563"/>
        <v>Huyện Tây Sơn</v>
      </c>
      <c r="F6923" s="3" t="s">
        <v>7683</v>
      </c>
      <c r="G6923" s="4" t="str">
        <f>HYPERLINK("https://diaocthongthai.com/xa-tay-binh-tay-son/","Xã Tây Bình")</f>
        <v>Xã Tây Bình</v>
      </c>
    </row>
    <row r="6924" spans="1:7" x14ac:dyDescent="0.25">
      <c r="A6924" s="2">
        <v>6923</v>
      </c>
      <c r="B6924" s="3" t="s">
        <v>37</v>
      </c>
      <c r="C6924" s="4" t="str">
        <f t="shared" si="564"/>
        <v>Bình Định</v>
      </c>
      <c r="D6924" s="3" t="s">
        <v>461</v>
      </c>
      <c r="E6924" s="4" t="str">
        <f t="shared" si="563"/>
        <v>Huyện Tây Sơn</v>
      </c>
      <c r="F6924" s="3" t="s">
        <v>7684</v>
      </c>
      <c r="G6924" s="4" t="str">
        <f>HYPERLINK("https://diaocthongthai.com/xa-binh-tuong-tay-son/","Xã Bình Tường")</f>
        <v>Xã Bình Tường</v>
      </c>
    </row>
    <row r="6925" spans="1:7" x14ac:dyDescent="0.25">
      <c r="A6925" s="2">
        <v>6924</v>
      </c>
      <c r="B6925" s="3" t="s">
        <v>37</v>
      </c>
      <c r="C6925" s="4" t="str">
        <f t="shared" si="564"/>
        <v>Bình Định</v>
      </c>
      <c r="D6925" s="3" t="s">
        <v>461</v>
      </c>
      <c r="E6925" s="4" t="str">
        <f t="shared" si="563"/>
        <v>Huyện Tây Sơn</v>
      </c>
      <c r="F6925" s="3" t="s">
        <v>7685</v>
      </c>
      <c r="G6925" s="4" t="str">
        <f>HYPERLINK("https://diaocthongthai.com/xa-tay-vinh-tay-son/","Xã Tây Vinh")</f>
        <v>Xã Tây Vinh</v>
      </c>
    </row>
    <row r="6926" spans="1:7" x14ac:dyDescent="0.25">
      <c r="A6926" s="2">
        <v>6925</v>
      </c>
      <c r="B6926" s="3" t="s">
        <v>37</v>
      </c>
      <c r="C6926" s="4" t="str">
        <f t="shared" si="564"/>
        <v>Bình Định</v>
      </c>
      <c r="D6926" s="3" t="s">
        <v>461</v>
      </c>
      <c r="E6926" s="4" t="str">
        <f t="shared" si="563"/>
        <v>Huyện Tây Sơn</v>
      </c>
      <c r="F6926" s="3" t="s">
        <v>7686</v>
      </c>
      <c r="G6926" s="4" t="str">
        <f>HYPERLINK("https://diaocthongthai.com/xa-vinh-an-tay-son/","Xã Vĩnh An")</f>
        <v>Xã Vĩnh An</v>
      </c>
    </row>
    <row r="6927" spans="1:7" x14ac:dyDescent="0.25">
      <c r="A6927" s="2">
        <v>6926</v>
      </c>
      <c r="B6927" s="3" t="s">
        <v>37</v>
      </c>
      <c r="C6927" s="4" t="str">
        <f t="shared" si="564"/>
        <v>Bình Định</v>
      </c>
      <c r="D6927" s="3" t="s">
        <v>461</v>
      </c>
      <c r="E6927" s="4" t="str">
        <f t="shared" si="563"/>
        <v>Huyện Tây Sơn</v>
      </c>
      <c r="F6927" s="3" t="s">
        <v>7687</v>
      </c>
      <c r="G6927" s="4" t="str">
        <f>HYPERLINK("https://diaocthongthai.com/xa-tay-xuan-tay-son/","Xã Tây Xuân")</f>
        <v>Xã Tây Xuân</v>
      </c>
    </row>
    <row r="6928" spans="1:7" x14ac:dyDescent="0.25">
      <c r="A6928" s="2">
        <v>6927</v>
      </c>
      <c r="B6928" s="3" t="s">
        <v>37</v>
      </c>
      <c r="C6928" s="4" t="str">
        <f t="shared" si="564"/>
        <v>Bình Định</v>
      </c>
      <c r="D6928" s="3" t="s">
        <v>461</v>
      </c>
      <c r="E6928" s="4" t="str">
        <f t="shared" si="563"/>
        <v>Huyện Tây Sơn</v>
      </c>
      <c r="F6928" s="3" t="s">
        <v>7688</v>
      </c>
      <c r="G6928" s="4" t="str">
        <f>HYPERLINK("https://diaocthongthai.com/xa-binh-nghi-tay-son/","Xã Bình Nghi")</f>
        <v>Xã Bình Nghi</v>
      </c>
    </row>
    <row r="6929" spans="1:7" x14ac:dyDescent="0.25">
      <c r="A6929" s="2">
        <v>6928</v>
      </c>
      <c r="B6929" s="3" t="s">
        <v>37</v>
      </c>
      <c r="C6929" s="4" t="str">
        <f t="shared" si="564"/>
        <v>Bình Định</v>
      </c>
      <c r="D6929" s="3" t="s">
        <v>461</v>
      </c>
      <c r="E6929" s="4" t="str">
        <f t="shared" si="563"/>
        <v>Huyện Tây Sơn</v>
      </c>
      <c r="F6929" s="3" t="s">
        <v>7689</v>
      </c>
      <c r="G6929" s="4" t="str">
        <f>HYPERLINK("https://diaocthongthai.com/xa-tay-phu-tay-son/","Xã Tây Phú")</f>
        <v>Xã Tây Phú</v>
      </c>
    </row>
    <row r="6930" spans="1:7" x14ac:dyDescent="0.25">
      <c r="A6930" s="2">
        <v>6929</v>
      </c>
      <c r="B6930" s="3" t="s">
        <v>37</v>
      </c>
      <c r="C6930" s="4" t="str">
        <f t="shared" si="564"/>
        <v>Bình Định</v>
      </c>
      <c r="D6930" s="3" t="s">
        <v>462</v>
      </c>
      <c r="E6930" s="4" t="str">
        <f t="shared" ref="E6930:E6947" si="565">HYPERLINK("https://diaocthongthai.com/ban-do-huyen-phu-cat-binh-dinh/","Huyện Phù Cát")</f>
        <v>Huyện Phù Cát</v>
      </c>
      <c r="F6930" s="3" t="s">
        <v>7690</v>
      </c>
      <c r="G6930" s="4" t="str">
        <f>HYPERLINK("https://diaocthongthai.com/thi-tran-ngo-may-phu-cat/","Thị trấn Ngô Mây")</f>
        <v>Thị trấn Ngô Mây</v>
      </c>
    </row>
    <row r="6931" spans="1:7" x14ac:dyDescent="0.25">
      <c r="A6931" s="2">
        <v>6930</v>
      </c>
      <c r="B6931" s="3" t="s">
        <v>37</v>
      </c>
      <c r="C6931" s="4" t="str">
        <f t="shared" si="564"/>
        <v>Bình Định</v>
      </c>
      <c r="D6931" s="3" t="s">
        <v>462</v>
      </c>
      <c r="E6931" s="4" t="str">
        <f t="shared" si="565"/>
        <v>Huyện Phù Cát</v>
      </c>
      <c r="F6931" s="3" t="s">
        <v>7691</v>
      </c>
      <c r="G6931" s="4" t="str">
        <f>HYPERLINK("https://diaocthongthai.com/xa-cat-son-phu-cat/","Xã Cát Sơn")</f>
        <v>Xã Cát Sơn</v>
      </c>
    </row>
    <row r="6932" spans="1:7" x14ac:dyDescent="0.25">
      <c r="A6932" s="2">
        <v>6931</v>
      </c>
      <c r="B6932" s="3" t="s">
        <v>37</v>
      </c>
      <c r="C6932" s="4" t="str">
        <f t="shared" si="564"/>
        <v>Bình Định</v>
      </c>
      <c r="D6932" s="3" t="s">
        <v>462</v>
      </c>
      <c r="E6932" s="4" t="str">
        <f t="shared" si="565"/>
        <v>Huyện Phù Cát</v>
      </c>
      <c r="F6932" s="3" t="s">
        <v>7692</v>
      </c>
      <c r="G6932" s="4" t="str">
        <f>HYPERLINK("https://diaocthongthai.com/xa-cat-minh-phu-cat/","Xã Cát Minh")</f>
        <v>Xã Cát Minh</v>
      </c>
    </row>
    <row r="6933" spans="1:7" x14ac:dyDescent="0.25">
      <c r="A6933" s="2">
        <v>6932</v>
      </c>
      <c r="B6933" s="3" t="s">
        <v>37</v>
      </c>
      <c r="C6933" s="4" t="str">
        <f t="shared" si="564"/>
        <v>Bình Định</v>
      </c>
      <c r="D6933" s="3" t="s">
        <v>462</v>
      </c>
      <c r="E6933" s="4" t="str">
        <f t="shared" si="565"/>
        <v>Huyện Phù Cát</v>
      </c>
      <c r="F6933" s="3" t="s">
        <v>7693</v>
      </c>
      <c r="G6933" s="4" t="str">
        <f>HYPERLINK("https://diaocthongthai.com/xa-cat-khanh-phu-cat/","Xã Cát Khánh")</f>
        <v>Xã Cát Khánh</v>
      </c>
    </row>
    <row r="6934" spans="1:7" x14ac:dyDescent="0.25">
      <c r="A6934" s="2">
        <v>6933</v>
      </c>
      <c r="B6934" s="3" t="s">
        <v>37</v>
      </c>
      <c r="C6934" s="4" t="str">
        <f t="shared" si="564"/>
        <v>Bình Định</v>
      </c>
      <c r="D6934" s="3" t="s">
        <v>462</v>
      </c>
      <c r="E6934" s="4" t="str">
        <f t="shared" si="565"/>
        <v>Huyện Phù Cát</v>
      </c>
      <c r="F6934" s="3" t="s">
        <v>7694</v>
      </c>
      <c r="G6934" s="4" t="str">
        <f>HYPERLINK("https://diaocthongthai.com/xa-cat-tai-phu-cat/","Xã Cát Tài")</f>
        <v>Xã Cát Tài</v>
      </c>
    </row>
    <row r="6935" spans="1:7" x14ac:dyDescent="0.25">
      <c r="A6935" s="2">
        <v>6934</v>
      </c>
      <c r="B6935" s="3" t="s">
        <v>37</v>
      </c>
      <c r="C6935" s="4" t="str">
        <f t="shared" si="564"/>
        <v>Bình Định</v>
      </c>
      <c r="D6935" s="3" t="s">
        <v>462</v>
      </c>
      <c r="E6935" s="4" t="str">
        <f t="shared" si="565"/>
        <v>Huyện Phù Cát</v>
      </c>
      <c r="F6935" s="3" t="s">
        <v>7695</v>
      </c>
      <c r="G6935" s="4" t="str">
        <f>HYPERLINK("https://diaocthongthai.com/xa-cat-lam-phu-cat/","Xã Cát Lâm")</f>
        <v>Xã Cát Lâm</v>
      </c>
    </row>
    <row r="6936" spans="1:7" x14ac:dyDescent="0.25">
      <c r="A6936" s="2">
        <v>6935</v>
      </c>
      <c r="B6936" s="3" t="s">
        <v>37</v>
      </c>
      <c r="C6936" s="4" t="str">
        <f t="shared" si="564"/>
        <v>Bình Định</v>
      </c>
      <c r="D6936" s="3" t="s">
        <v>462</v>
      </c>
      <c r="E6936" s="4" t="str">
        <f t="shared" si="565"/>
        <v>Huyện Phù Cát</v>
      </c>
      <c r="F6936" s="3" t="s">
        <v>7696</v>
      </c>
      <c r="G6936" s="4" t="str">
        <f>HYPERLINK("https://diaocthongthai.com/xa-cat-hanh-phu-cat/","Xã Cát Hanh")</f>
        <v>Xã Cát Hanh</v>
      </c>
    </row>
    <row r="6937" spans="1:7" x14ac:dyDescent="0.25">
      <c r="A6937" s="2">
        <v>6936</v>
      </c>
      <c r="B6937" s="3" t="s">
        <v>37</v>
      </c>
      <c r="C6937" s="4" t="str">
        <f t="shared" si="564"/>
        <v>Bình Định</v>
      </c>
      <c r="D6937" s="3" t="s">
        <v>462</v>
      </c>
      <c r="E6937" s="4" t="str">
        <f t="shared" si="565"/>
        <v>Huyện Phù Cát</v>
      </c>
      <c r="F6937" s="3" t="s">
        <v>7697</v>
      </c>
      <c r="G6937" s="4" t="str">
        <f>HYPERLINK("https://diaocthongthai.com/xa-cat-thanh-phu-cat/","Xã Cát Thành")</f>
        <v>Xã Cát Thành</v>
      </c>
    </row>
    <row r="6938" spans="1:7" x14ac:dyDescent="0.25">
      <c r="A6938" s="2">
        <v>6937</v>
      </c>
      <c r="B6938" s="3" t="s">
        <v>37</v>
      </c>
      <c r="C6938" s="4" t="str">
        <f t="shared" si="564"/>
        <v>Bình Định</v>
      </c>
      <c r="D6938" s="3" t="s">
        <v>462</v>
      </c>
      <c r="E6938" s="4" t="str">
        <f t="shared" si="565"/>
        <v>Huyện Phù Cát</v>
      </c>
      <c r="F6938" s="3" t="s">
        <v>7698</v>
      </c>
      <c r="G6938" s="4" t="str">
        <f>HYPERLINK("https://diaocthongthai.com/xa-cat-trinh-phu-cat/","Xã Cát Trinh")</f>
        <v>Xã Cát Trinh</v>
      </c>
    </row>
    <row r="6939" spans="1:7" x14ac:dyDescent="0.25">
      <c r="A6939" s="2">
        <v>6938</v>
      </c>
      <c r="B6939" s="3" t="s">
        <v>37</v>
      </c>
      <c r="C6939" s="4" t="str">
        <f t="shared" si="564"/>
        <v>Bình Định</v>
      </c>
      <c r="D6939" s="3" t="s">
        <v>462</v>
      </c>
      <c r="E6939" s="4" t="str">
        <f t="shared" si="565"/>
        <v>Huyện Phù Cát</v>
      </c>
      <c r="F6939" s="3" t="s">
        <v>7699</v>
      </c>
      <c r="G6939" s="4" t="str">
        <f>HYPERLINK("https://diaocthongthai.com/xa-cat-hai-phu-cat/","Xã Cát Hải")</f>
        <v>Xã Cát Hải</v>
      </c>
    </row>
    <row r="6940" spans="1:7" x14ac:dyDescent="0.25">
      <c r="A6940" s="2">
        <v>6939</v>
      </c>
      <c r="B6940" s="3" t="s">
        <v>37</v>
      </c>
      <c r="C6940" s="4" t="str">
        <f t="shared" si="564"/>
        <v>Bình Định</v>
      </c>
      <c r="D6940" s="3" t="s">
        <v>462</v>
      </c>
      <c r="E6940" s="4" t="str">
        <f t="shared" si="565"/>
        <v>Huyện Phù Cát</v>
      </c>
      <c r="F6940" s="3" t="s">
        <v>7700</v>
      </c>
      <c r="G6940" s="4" t="str">
        <f>HYPERLINK("https://diaocthongthai.com/xa-cat-hiep-phu-cat/","Xã Cát Hiệp")</f>
        <v>Xã Cát Hiệp</v>
      </c>
    </row>
    <row r="6941" spans="1:7" x14ac:dyDescent="0.25">
      <c r="A6941" s="2">
        <v>6940</v>
      </c>
      <c r="B6941" s="3" t="s">
        <v>37</v>
      </c>
      <c r="C6941" s="4" t="str">
        <f t="shared" si="564"/>
        <v>Bình Định</v>
      </c>
      <c r="D6941" s="3" t="s">
        <v>462</v>
      </c>
      <c r="E6941" s="4" t="str">
        <f t="shared" si="565"/>
        <v>Huyện Phù Cát</v>
      </c>
      <c r="F6941" s="3" t="s">
        <v>7701</v>
      </c>
      <c r="G6941" s="4" t="str">
        <f>HYPERLINK("https://diaocthongthai.com/xa-cat-nhon-phu-cat/","Xã Cát Nhơn")</f>
        <v>Xã Cát Nhơn</v>
      </c>
    </row>
    <row r="6942" spans="1:7" x14ac:dyDescent="0.25">
      <c r="A6942" s="2">
        <v>6941</v>
      </c>
      <c r="B6942" s="3" t="s">
        <v>37</v>
      </c>
      <c r="C6942" s="4" t="str">
        <f t="shared" si="564"/>
        <v>Bình Định</v>
      </c>
      <c r="D6942" s="3" t="s">
        <v>462</v>
      </c>
      <c r="E6942" s="4" t="str">
        <f t="shared" si="565"/>
        <v>Huyện Phù Cát</v>
      </c>
      <c r="F6942" s="3" t="s">
        <v>7702</v>
      </c>
      <c r="G6942" s="4" t="str">
        <f>HYPERLINK("https://diaocthongthai.com/xa-cat-hung-phu-cat/","Xã Cát Hưng")</f>
        <v>Xã Cát Hưng</v>
      </c>
    </row>
    <row r="6943" spans="1:7" x14ac:dyDescent="0.25">
      <c r="A6943" s="2">
        <v>6942</v>
      </c>
      <c r="B6943" s="3" t="s">
        <v>37</v>
      </c>
      <c r="C6943" s="4" t="str">
        <f t="shared" si="564"/>
        <v>Bình Định</v>
      </c>
      <c r="D6943" s="3" t="s">
        <v>462</v>
      </c>
      <c r="E6943" s="4" t="str">
        <f t="shared" si="565"/>
        <v>Huyện Phù Cát</v>
      </c>
      <c r="F6943" s="3" t="s">
        <v>7703</v>
      </c>
      <c r="G6943" s="4" t="str">
        <f>HYPERLINK("https://diaocthongthai.com/xa-cat-tuong-phu-cat/","Xã Cát Tường")</f>
        <v>Xã Cát Tường</v>
      </c>
    </row>
    <row r="6944" spans="1:7" x14ac:dyDescent="0.25">
      <c r="A6944" s="2">
        <v>6943</v>
      </c>
      <c r="B6944" s="3" t="s">
        <v>37</v>
      </c>
      <c r="C6944" s="4" t="str">
        <f t="shared" si="564"/>
        <v>Bình Định</v>
      </c>
      <c r="D6944" s="3" t="s">
        <v>462</v>
      </c>
      <c r="E6944" s="4" t="str">
        <f t="shared" si="565"/>
        <v>Huyện Phù Cát</v>
      </c>
      <c r="F6944" s="3" t="s">
        <v>7704</v>
      </c>
      <c r="G6944" s="4" t="str">
        <f>HYPERLINK("https://diaocthongthai.com/xa-cat-tan-phu-cat/","Xã Cát Tân")</f>
        <v>Xã Cát Tân</v>
      </c>
    </row>
    <row r="6945" spans="1:7" x14ac:dyDescent="0.25">
      <c r="A6945" s="2">
        <v>6944</v>
      </c>
      <c r="B6945" s="3" t="s">
        <v>37</v>
      </c>
      <c r="C6945" s="4" t="str">
        <f t="shared" si="564"/>
        <v>Bình Định</v>
      </c>
      <c r="D6945" s="3" t="s">
        <v>462</v>
      </c>
      <c r="E6945" s="4" t="str">
        <f t="shared" si="565"/>
        <v>Huyện Phù Cát</v>
      </c>
      <c r="F6945" s="3" t="s">
        <v>7705</v>
      </c>
      <c r="G6945" s="4" t="str">
        <f>HYPERLINK("https://diaocthongthai.com/thi-tran-cat-tien-phu-cat/","Thị trấn Cát Tiến")</f>
        <v>Thị trấn Cát Tiến</v>
      </c>
    </row>
    <row r="6946" spans="1:7" x14ac:dyDescent="0.25">
      <c r="A6946" s="2">
        <v>6945</v>
      </c>
      <c r="B6946" s="3" t="s">
        <v>37</v>
      </c>
      <c r="C6946" s="4" t="str">
        <f t="shared" si="564"/>
        <v>Bình Định</v>
      </c>
      <c r="D6946" s="3" t="s">
        <v>462</v>
      </c>
      <c r="E6946" s="4" t="str">
        <f t="shared" si="565"/>
        <v>Huyện Phù Cát</v>
      </c>
      <c r="F6946" s="3" t="s">
        <v>7706</v>
      </c>
      <c r="G6946" s="4" t="str">
        <f>HYPERLINK("https://diaocthongthai.com/xa-cat-thang-phu-cat/","Xã Cát Thắng")</f>
        <v>Xã Cát Thắng</v>
      </c>
    </row>
    <row r="6947" spans="1:7" x14ac:dyDescent="0.25">
      <c r="A6947" s="2">
        <v>6946</v>
      </c>
      <c r="B6947" s="3" t="s">
        <v>37</v>
      </c>
      <c r="C6947" s="4" t="str">
        <f t="shared" si="564"/>
        <v>Bình Định</v>
      </c>
      <c r="D6947" s="3" t="s">
        <v>462</v>
      </c>
      <c r="E6947" s="4" t="str">
        <f t="shared" si="565"/>
        <v>Huyện Phù Cát</v>
      </c>
      <c r="F6947" s="3" t="s">
        <v>7707</v>
      </c>
      <c r="G6947" s="4" t="str">
        <f>HYPERLINK("https://diaocthongthai.com/xa-cat-chanh-phu-cat/","Xã Cát Chánh")</f>
        <v>Xã Cát Chánh</v>
      </c>
    </row>
    <row r="6948" spans="1:7" x14ac:dyDescent="0.25">
      <c r="A6948" s="2">
        <v>6947</v>
      </c>
      <c r="B6948" s="3" t="s">
        <v>37</v>
      </c>
      <c r="C6948" s="4" t="str">
        <f t="shared" si="564"/>
        <v>Bình Định</v>
      </c>
      <c r="D6948" s="3" t="s">
        <v>463</v>
      </c>
      <c r="E6948" s="4" t="str">
        <f t="shared" ref="E6948:E6962" si="566">HYPERLINK("https://diaocthongthai.com/ban-do-thi-xa-an-nhon-binh-dinh/","Thị xã An Nhơn")</f>
        <v>Thị xã An Nhơn</v>
      </c>
      <c r="F6948" s="3" t="s">
        <v>7708</v>
      </c>
      <c r="G6948" s="4" t="str">
        <f>HYPERLINK("https://diaocthongthai.com/phuong-binh-dinh-an-nhon/","Phường Bình Định")</f>
        <v>Phường Bình Định</v>
      </c>
    </row>
    <row r="6949" spans="1:7" x14ac:dyDescent="0.25">
      <c r="A6949" s="2">
        <v>6948</v>
      </c>
      <c r="B6949" s="3" t="s">
        <v>37</v>
      </c>
      <c r="C6949" s="4" t="str">
        <f t="shared" si="564"/>
        <v>Bình Định</v>
      </c>
      <c r="D6949" s="3" t="s">
        <v>463</v>
      </c>
      <c r="E6949" s="4" t="str">
        <f t="shared" si="566"/>
        <v>Thị xã An Nhơn</v>
      </c>
      <c r="F6949" s="3" t="s">
        <v>7709</v>
      </c>
      <c r="G6949" s="4" t="str">
        <f>HYPERLINK("https://diaocthongthai.com/phuong-dap-da-an-nhon/","Phường Đập Đá")</f>
        <v>Phường Đập Đá</v>
      </c>
    </row>
    <row r="6950" spans="1:7" x14ac:dyDescent="0.25">
      <c r="A6950" s="2">
        <v>6949</v>
      </c>
      <c r="B6950" s="3" t="s">
        <v>37</v>
      </c>
      <c r="C6950" s="4" t="str">
        <f t="shared" si="564"/>
        <v>Bình Định</v>
      </c>
      <c r="D6950" s="3" t="s">
        <v>463</v>
      </c>
      <c r="E6950" s="4" t="str">
        <f t="shared" si="566"/>
        <v>Thị xã An Nhơn</v>
      </c>
      <c r="F6950" s="3" t="s">
        <v>7710</v>
      </c>
      <c r="G6950" s="4" t="str">
        <f>HYPERLINK("https://diaocthongthai.com/xa-nhon-my-an-nhon/","Xã Nhơn Mỹ")</f>
        <v>Xã Nhơn Mỹ</v>
      </c>
    </row>
    <row r="6951" spans="1:7" x14ac:dyDescent="0.25">
      <c r="A6951" s="2">
        <v>6950</v>
      </c>
      <c r="B6951" s="3" t="s">
        <v>37</v>
      </c>
      <c r="C6951" s="4" t="str">
        <f t="shared" si="564"/>
        <v>Bình Định</v>
      </c>
      <c r="D6951" s="3" t="s">
        <v>463</v>
      </c>
      <c r="E6951" s="4" t="str">
        <f t="shared" si="566"/>
        <v>Thị xã An Nhơn</v>
      </c>
      <c r="F6951" s="3" t="s">
        <v>7711</v>
      </c>
      <c r="G6951" s="4" t="str">
        <f>HYPERLINK("https://diaocthongthai.com/phuong-nhon-thanh-an-nhon/","Phường Nhơn Thành")</f>
        <v>Phường Nhơn Thành</v>
      </c>
    </row>
    <row r="6952" spans="1:7" x14ac:dyDescent="0.25">
      <c r="A6952" s="2">
        <v>6951</v>
      </c>
      <c r="B6952" s="3" t="s">
        <v>37</v>
      </c>
      <c r="C6952" s="4" t="str">
        <f t="shared" ref="C6952:C6982" si="567">HYPERLINK("https://diaocthongthai.com/ban-do-binh-dinh/","Bình Định")</f>
        <v>Bình Định</v>
      </c>
      <c r="D6952" s="3" t="s">
        <v>463</v>
      </c>
      <c r="E6952" s="4" t="str">
        <f t="shared" si="566"/>
        <v>Thị xã An Nhơn</v>
      </c>
      <c r="F6952" s="3" t="s">
        <v>7712</v>
      </c>
      <c r="G6952" s="4" t="str">
        <f>HYPERLINK("https://diaocthongthai.com/xa-nhon-hanh-an-nhon/","Xã Nhơn Hạnh")</f>
        <v>Xã Nhơn Hạnh</v>
      </c>
    </row>
    <row r="6953" spans="1:7" x14ac:dyDescent="0.25">
      <c r="A6953" s="2">
        <v>6952</v>
      </c>
      <c r="B6953" s="3" t="s">
        <v>37</v>
      </c>
      <c r="C6953" s="4" t="str">
        <f t="shared" si="567"/>
        <v>Bình Định</v>
      </c>
      <c r="D6953" s="3" t="s">
        <v>463</v>
      </c>
      <c r="E6953" s="4" t="str">
        <f t="shared" si="566"/>
        <v>Thị xã An Nhơn</v>
      </c>
      <c r="F6953" s="3" t="s">
        <v>7713</v>
      </c>
      <c r="G6953" s="4" t="str">
        <f>HYPERLINK("https://diaocthongthai.com/xa-nhon-hau-an-nhon/","Xã Nhơn Hậu")</f>
        <v>Xã Nhơn Hậu</v>
      </c>
    </row>
    <row r="6954" spans="1:7" x14ac:dyDescent="0.25">
      <c r="A6954" s="2">
        <v>6953</v>
      </c>
      <c r="B6954" s="3" t="s">
        <v>37</v>
      </c>
      <c r="C6954" s="4" t="str">
        <f t="shared" si="567"/>
        <v>Bình Định</v>
      </c>
      <c r="D6954" s="3" t="s">
        <v>463</v>
      </c>
      <c r="E6954" s="4" t="str">
        <f t="shared" si="566"/>
        <v>Thị xã An Nhơn</v>
      </c>
      <c r="F6954" s="3" t="s">
        <v>7714</v>
      </c>
      <c r="G6954" s="4" t="str">
        <f>HYPERLINK("https://diaocthongthai.com/xa-nhon-phong-an-nhon/","Xã Nhơn Phong")</f>
        <v>Xã Nhơn Phong</v>
      </c>
    </row>
    <row r="6955" spans="1:7" x14ac:dyDescent="0.25">
      <c r="A6955" s="2">
        <v>6954</v>
      </c>
      <c r="B6955" s="3" t="s">
        <v>37</v>
      </c>
      <c r="C6955" s="4" t="str">
        <f t="shared" si="567"/>
        <v>Bình Định</v>
      </c>
      <c r="D6955" s="3" t="s">
        <v>463</v>
      </c>
      <c r="E6955" s="4" t="str">
        <f t="shared" si="566"/>
        <v>Thị xã An Nhơn</v>
      </c>
      <c r="F6955" s="3" t="s">
        <v>7715</v>
      </c>
      <c r="G6955" s="4" t="str">
        <f>HYPERLINK("https://diaocthongthai.com/xa-nhon-an-an-nhon/","Xã Nhơn An")</f>
        <v>Xã Nhơn An</v>
      </c>
    </row>
    <row r="6956" spans="1:7" x14ac:dyDescent="0.25">
      <c r="A6956" s="2">
        <v>6955</v>
      </c>
      <c r="B6956" s="3" t="s">
        <v>37</v>
      </c>
      <c r="C6956" s="4" t="str">
        <f t="shared" si="567"/>
        <v>Bình Định</v>
      </c>
      <c r="D6956" s="3" t="s">
        <v>463</v>
      </c>
      <c r="E6956" s="4" t="str">
        <f t="shared" si="566"/>
        <v>Thị xã An Nhơn</v>
      </c>
      <c r="F6956" s="3" t="s">
        <v>7716</v>
      </c>
      <c r="G6956" s="4" t="str">
        <f>HYPERLINK("https://diaocthongthai.com/xa-nhon-phuc-an-nhon/","Xã Nhơn Phúc")</f>
        <v>Xã Nhơn Phúc</v>
      </c>
    </row>
    <row r="6957" spans="1:7" x14ac:dyDescent="0.25">
      <c r="A6957" s="2">
        <v>6956</v>
      </c>
      <c r="B6957" s="3" t="s">
        <v>37</v>
      </c>
      <c r="C6957" s="4" t="str">
        <f t="shared" si="567"/>
        <v>Bình Định</v>
      </c>
      <c r="D6957" s="3" t="s">
        <v>463</v>
      </c>
      <c r="E6957" s="4" t="str">
        <f t="shared" si="566"/>
        <v>Thị xã An Nhơn</v>
      </c>
      <c r="F6957" s="3" t="s">
        <v>7717</v>
      </c>
      <c r="G6957" s="4" t="str">
        <f>HYPERLINK("https://diaocthongthai.com/phuong-nhon-hung-an-nhon/","Phường Nhơn Hưng")</f>
        <v>Phường Nhơn Hưng</v>
      </c>
    </row>
    <row r="6958" spans="1:7" x14ac:dyDescent="0.25">
      <c r="A6958" s="2">
        <v>6957</v>
      </c>
      <c r="B6958" s="3" t="s">
        <v>37</v>
      </c>
      <c r="C6958" s="4" t="str">
        <f t="shared" si="567"/>
        <v>Bình Định</v>
      </c>
      <c r="D6958" s="3" t="s">
        <v>463</v>
      </c>
      <c r="E6958" s="4" t="str">
        <f t="shared" si="566"/>
        <v>Thị xã An Nhơn</v>
      </c>
      <c r="F6958" s="3" t="s">
        <v>7718</v>
      </c>
      <c r="G6958" s="4" t="str">
        <f>HYPERLINK("https://diaocthongthai.com/xa-nhon-khanh-an-nhon/","Xã Nhơn Khánh")</f>
        <v>Xã Nhơn Khánh</v>
      </c>
    </row>
    <row r="6959" spans="1:7" x14ac:dyDescent="0.25">
      <c r="A6959" s="2">
        <v>6958</v>
      </c>
      <c r="B6959" s="3" t="s">
        <v>37</v>
      </c>
      <c r="C6959" s="4" t="str">
        <f t="shared" si="567"/>
        <v>Bình Định</v>
      </c>
      <c r="D6959" s="3" t="s">
        <v>463</v>
      </c>
      <c r="E6959" s="4" t="str">
        <f t="shared" si="566"/>
        <v>Thị xã An Nhơn</v>
      </c>
      <c r="F6959" s="3" t="s">
        <v>7719</v>
      </c>
      <c r="G6959" s="4" t="str">
        <f>HYPERLINK("https://diaocthongthai.com/xa-nhon-loc-an-nhon/","Xã Nhơn Lộc")</f>
        <v>Xã Nhơn Lộc</v>
      </c>
    </row>
    <row r="6960" spans="1:7" x14ac:dyDescent="0.25">
      <c r="A6960" s="2">
        <v>6959</v>
      </c>
      <c r="B6960" s="3" t="s">
        <v>37</v>
      </c>
      <c r="C6960" s="4" t="str">
        <f t="shared" si="567"/>
        <v>Bình Định</v>
      </c>
      <c r="D6960" s="3" t="s">
        <v>463</v>
      </c>
      <c r="E6960" s="4" t="str">
        <f t="shared" si="566"/>
        <v>Thị xã An Nhơn</v>
      </c>
      <c r="F6960" s="3" t="s">
        <v>7720</v>
      </c>
      <c r="G6960" s="4" t="str">
        <f>HYPERLINK("https://diaocthongthai.com/phuong-nhon-hoa-an-nhon/","Phường Nhơn Hoà")</f>
        <v>Phường Nhơn Hoà</v>
      </c>
    </row>
    <row r="6961" spans="1:7" x14ac:dyDescent="0.25">
      <c r="A6961" s="2">
        <v>6960</v>
      </c>
      <c r="B6961" s="3" t="s">
        <v>37</v>
      </c>
      <c r="C6961" s="4" t="str">
        <f t="shared" si="567"/>
        <v>Bình Định</v>
      </c>
      <c r="D6961" s="3" t="s">
        <v>463</v>
      </c>
      <c r="E6961" s="4" t="str">
        <f t="shared" si="566"/>
        <v>Thị xã An Nhơn</v>
      </c>
      <c r="F6961" s="3" t="s">
        <v>7721</v>
      </c>
      <c r="G6961" s="4" t="str">
        <f>HYPERLINK("https://diaocthongthai.com/xa-nhon-tan-an-nhon/","Xã Nhơn Tân")</f>
        <v>Xã Nhơn Tân</v>
      </c>
    </row>
    <row r="6962" spans="1:7" x14ac:dyDescent="0.25">
      <c r="A6962" s="2">
        <v>6961</v>
      </c>
      <c r="B6962" s="3" t="s">
        <v>37</v>
      </c>
      <c r="C6962" s="4" t="str">
        <f t="shared" si="567"/>
        <v>Bình Định</v>
      </c>
      <c r="D6962" s="3" t="s">
        <v>463</v>
      </c>
      <c r="E6962" s="4" t="str">
        <f t="shared" si="566"/>
        <v>Thị xã An Nhơn</v>
      </c>
      <c r="F6962" s="3" t="s">
        <v>7722</v>
      </c>
      <c r="G6962" s="4" t="str">
        <f>HYPERLINK("https://diaocthongthai.com/xa-nhon-tho-an-nhon/","Xã Nhơn Thọ")</f>
        <v>Xã Nhơn Thọ</v>
      </c>
    </row>
    <row r="6963" spans="1:7" x14ac:dyDescent="0.25">
      <c r="A6963" s="2">
        <v>6962</v>
      </c>
      <c r="B6963" s="3" t="s">
        <v>37</v>
      </c>
      <c r="C6963" s="4" t="str">
        <f t="shared" si="567"/>
        <v>Bình Định</v>
      </c>
      <c r="D6963" s="3" t="s">
        <v>464</v>
      </c>
      <c r="E6963" s="4" t="str">
        <f t="shared" ref="E6963:E6975" si="568">HYPERLINK("https://diaocthongthai.com/ban-do-huyen-tuy-phuoc-binh-dinh/","Huyện Tuy Phước")</f>
        <v>Huyện Tuy Phước</v>
      </c>
      <c r="F6963" s="3" t="s">
        <v>7723</v>
      </c>
      <c r="G6963" s="4" t="str">
        <f>HYPERLINK("https://diaocthongthai.com/thi-tran-tuy-phuoc-tuy-phuoc/","Thị trấn Tuy Phước")</f>
        <v>Thị trấn Tuy Phước</v>
      </c>
    </row>
    <row r="6964" spans="1:7" x14ac:dyDescent="0.25">
      <c r="A6964" s="2">
        <v>6963</v>
      </c>
      <c r="B6964" s="3" t="s">
        <v>37</v>
      </c>
      <c r="C6964" s="4" t="str">
        <f t="shared" si="567"/>
        <v>Bình Định</v>
      </c>
      <c r="D6964" s="3" t="s">
        <v>464</v>
      </c>
      <c r="E6964" s="4" t="str">
        <f t="shared" si="568"/>
        <v>Huyện Tuy Phước</v>
      </c>
      <c r="F6964" s="3" t="s">
        <v>7724</v>
      </c>
      <c r="G6964" s="4" t="str">
        <f>HYPERLINK("https://diaocthongthai.com/thi-tran-dieu-tri-tuy-phuoc/","Thị trấn Diêu Trì")</f>
        <v>Thị trấn Diêu Trì</v>
      </c>
    </row>
    <row r="6965" spans="1:7" x14ac:dyDescent="0.25">
      <c r="A6965" s="2">
        <v>6964</v>
      </c>
      <c r="B6965" s="3" t="s">
        <v>37</v>
      </c>
      <c r="C6965" s="4" t="str">
        <f t="shared" si="567"/>
        <v>Bình Định</v>
      </c>
      <c r="D6965" s="3" t="s">
        <v>464</v>
      </c>
      <c r="E6965" s="4" t="str">
        <f t="shared" si="568"/>
        <v>Huyện Tuy Phước</v>
      </c>
      <c r="F6965" s="3" t="s">
        <v>7725</v>
      </c>
      <c r="G6965" s="4" t="str">
        <f>HYPERLINK("https://diaocthongthai.com/xa-phuoc-thang-tuy-phuoc/","Xã Phước Thắng")</f>
        <v>Xã Phước Thắng</v>
      </c>
    </row>
    <row r="6966" spans="1:7" x14ac:dyDescent="0.25">
      <c r="A6966" s="2">
        <v>6965</v>
      </c>
      <c r="B6966" s="3" t="s">
        <v>37</v>
      </c>
      <c r="C6966" s="4" t="str">
        <f t="shared" si="567"/>
        <v>Bình Định</v>
      </c>
      <c r="D6966" s="3" t="s">
        <v>464</v>
      </c>
      <c r="E6966" s="4" t="str">
        <f t="shared" si="568"/>
        <v>Huyện Tuy Phước</v>
      </c>
      <c r="F6966" s="3" t="s">
        <v>7726</v>
      </c>
      <c r="G6966" s="4" t="str">
        <f>HYPERLINK("https://diaocthongthai.com/xa-phuoc-hung-tuy-phuoc/","Xã Phước Hưng")</f>
        <v>Xã Phước Hưng</v>
      </c>
    </row>
    <row r="6967" spans="1:7" x14ac:dyDescent="0.25">
      <c r="A6967" s="2">
        <v>6966</v>
      </c>
      <c r="B6967" s="3" t="s">
        <v>37</v>
      </c>
      <c r="C6967" s="4" t="str">
        <f t="shared" si="567"/>
        <v>Bình Định</v>
      </c>
      <c r="D6967" s="3" t="s">
        <v>464</v>
      </c>
      <c r="E6967" s="4" t="str">
        <f t="shared" si="568"/>
        <v>Huyện Tuy Phước</v>
      </c>
      <c r="F6967" s="3" t="s">
        <v>7727</v>
      </c>
      <c r="G6967" s="4" t="str">
        <f>HYPERLINK("https://diaocthongthai.com/xa-phuoc-quang-tuy-phuoc/","Xã Phước Quang")</f>
        <v>Xã Phước Quang</v>
      </c>
    </row>
    <row r="6968" spans="1:7" x14ac:dyDescent="0.25">
      <c r="A6968" s="2">
        <v>6967</v>
      </c>
      <c r="B6968" s="3" t="s">
        <v>37</v>
      </c>
      <c r="C6968" s="4" t="str">
        <f t="shared" si="567"/>
        <v>Bình Định</v>
      </c>
      <c r="D6968" s="3" t="s">
        <v>464</v>
      </c>
      <c r="E6968" s="4" t="str">
        <f t="shared" si="568"/>
        <v>Huyện Tuy Phước</v>
      </c>
      <c r="F6968" s="3" t="s">
        <v>7728</v>
      </c>
      <c r="G6968" s="4" t="str">
        <f>HYPERLINK("https://diaocthongthai.com/xa-phuoc-hoa-tuy-phuoc/","Xã Phước Hòa")</f>
        <v>Xã Phước Hòa</v>
      </c>
    </row>
    <row r="6969" spans="1:7" x14ac:dyDescent="0.25">
      <c r="A6969" s="2">
        <v>6968</v>
      </c>
      <c r="B6969" s="3" t="s">
        <v>37</v>
      </c>
      <c r="C6969" s="4" t="str">
        <f t="shared" si="567"/>
        <v>Bình Định</v>
      </c>
      <c r="D6969" s="3" t="s">
        <v>464</v>
      </c>
      <c r="E6969" s="4" t="str">
        <f t="shared" si="568"/>
        <v>Huyện Tuy Phước</v>
      </c>
      <c r="F6969" s="3" t="s">
        <v>7729</v>
      </c>
      <c r="G6969" s="4" t="str">
        <f>HYPERLINK("https://diaocthongthai.com/xa-phuoc-son-tuy-phuoc/","Xã Phước Sơn")</f>
        <v>Xã Phước Sơn</v>
      </c>
    </row>
    <row r="6970" spans="1:7" x14ac:dyDescent="0.25">
      <c r="A6970" s="2">
        <v>6969</v>
      </c>
      <c r="B6970" s="3" t="s">
        <v>37</v>
      </c>
      <c r="C6970" s="4" t="str">
        <f t="shared" si="567"/>
        <v>Bình Định</v>
      </c>
      <c r="D6970" s="3" t="s">
        <v>464</v>
      </c>
      <c r="E6970" s="4" t="str">
        <f t="shared" si="568"/>
        <v>Huyện Tuy Phước</v>
      </c>
      <c r="F6970" s="3" t="s">
        <v>7730</v>
      </c>
      <c r="G6970" s="4" t="str">
        <f>HYPERLINK("https://diaocthongthai.com/xa-phuoc-hiep-tuy-phuoc/","Xã Phước Hiệp")</f>
        <v>Xã Phước Hiệp</v>
      </c>
    </row>
    <row r="6971" spans="1:7" x14ac:dyDescent="0.25">
      <c r="A6971" s="2">
        <v>6970</v>
      </c>
      <c r="B6971" s="3" t="s">
        <v>37</v>
      </c>
      <c r="C6971" s="4" t="str">
        <f t="shared" si="567"/>
        <v>Bình Định</v>
      </c>
      <c r="D6971" s="3" t="s">
        <v>464</v>
      </c>
      <c r="E6971" s="4" t="str">
        <f t="shared" si="568"/>
        <v>Huyện Tuy Phước</v>
      </c>
      <c r="F6971" s="3" t="s">
        <v>7731</v>
      </c>
      <c r="G6971" s="4" t="str">
        <f>HYPERLINK("https://diaocthongthai.com/xa-phuoc-loc-tuy-phuoc/","Xã Phước Lộc")</f>
        <v>Xã Phước Lộc</v>
      </c>
    </row>
    <row r="6972" spans="1:7" x14ac:dyDescent="0.25">
      <c r="A6972" s="2">
        <v>6971</v>
      </c>
      <c r="B6972" s="3" t="s">
        <v>37</v>
      </c>
      <c r="C6972" s="4" t="str">
        <f t="shared" si="567"/>
        <v>Bình Định</v>
      </c>
      <c r="D6972" s="3" t="s">
        <v>464</v>
      </c>
      <c r="E6972" s="4" t="str">
        <f t="shared" si="568"/>
        <v>Huyện Tuy Phước</v>
      </c>
      <c r="F6972" s="3" t="s">
        <v>7732</v>
      </c>
      <c r="G6972" s="4" t="str">
        <f>HYPERLINK("https://diaocthongthai.com/xa-phuoc-nghia-tuy-phuoc/","Xã Phước Nghĩa")</f>
        <v>Xã Phước Nghĩa</v>
      </c>
    </row>
    <row r="6973" spans="1:7" x14ac:dyDescent="0.25">
      <c r="A6973" s="2">
        <v>6972</v>
      </c>
      <c r="B6973" s="3" t="s">
        <v>37</v>
      </c>
      <c r="C6973" s="4" t="str">
        <f t="shared" si="567"/>
        <v>Bình Định</v>
      </c>
      <c r="D6973" s="3" t="s">
        <v>464</v>
      </c>
      <c r="E6973" s="4" t="str">
        <f t="shared" si="568"/>
        <v>Huyện Tuy Phước</v>
      </c>
      <c r="F6973" s="3" t="s">
        <v>7733</v>
      </c>
      <c r="G6973" s="4" t="str">
        <f>HYPERLINK("https://diaocthongthai.com/xa-phuoc-thuan-tuy-phuoc/","Xã Phước Thuận")</f>
        <v>Xã Phước Thuận</v>
      </c>
    </row>
    <row r="6974" spans="1:7" x14ac:dyDescent="0.25">
      <c r="A6974" s="2">
        <v>6973</v>
      </c>
      <c r="B6974" s="3" t="s">
        <v>37</v>
      </c>
      <c r="C6974" s="4" t="str">
        <f t="shared" si="567"/>
        <v>Bình Định</v>
      </c>
      <c r="D6974" s="3" t="s">
        <v>464</v>
      </c>
      <c r="E6974" s="4" t="str">
        <f t="shared" si="568"/>
        <v>Huyện Tuy Phước</v>
      </c>
      <c r="F6974" s="3" t="s">
        <v>7734</v>
      </c>
      <c r="G6974" s="4" t="str">
        <f>HYPERLINK("https://diaocthongthai.com/xa-phuoc-an-tuy-phuoc/","Xã Phước An")</f>
        <v>Xã Phước An</v>
      </c>
    </row>
    <row r="6975" spans="1:7" x14ac:dyDescent="0.25">
      <c r="A6975" s="2">
        <v>6974</v>
      </c>
      <c r="B6975" s="3" t="s">
        <v>37</v>
      </c>
      <c r="C6975" s="4" t="str">
        <f t="shared" si="567"/>
        <v>Bình Định</v>
      </c>
      <c r="D6975" s="3" t="s">
        <v>464</v>
      </c>
      <c r="E6975" s="4" t="str">
        <f t="shared" si="568"/>
        <v>Huyện Tuy Phước</v>
      </c>
      <c r="F6975" s="3" t="s">
        <v>7735</v>
      </c>
      <c r="G6975" s="4" t="str">
        <f>HYPERLINK("https://diaocthongthai.com/xa-phuoc-thanh-tuy-phuoc/","Xã Phước Thành")</f>
        <v>Xã Phước Thành</v>
      </c>
    </row>
    <row r="6976" spans="1:7" x14ac:dyDescent="0.25">
      <c r="A6976" s="2">
        <v>6975</v>
      </c>
      <c r="B6976" s="3" t="s">
        <v>37</v>
      </c>
      <c r="C6976" s="4" t="str">
        <f t="shared" si="567"/>
        <v>Bình Định</v>
      </c>
      <c r="D6976" s="3" t="s">
        <v>465</v>
      </c>
      <c r="E6976" s="4" t="str">
        <f t="shared" ref="E6976:E6982" si="569">HYPERLINK("https://diaocthongthai.com/ban-do-huyen-van-canh-binh-dinh/","Huyện Vân Canh")</f>
        <v>Huyện Vân Canh</v>
      </c>
      <c r="F6976" s="3" t="s">
        <v>7736</v>
      </c>
      <c r="G6976" s="4" t="str">
        <f>HYPERLINK("https://diaocthongthai.com/thi-tran-van-canh-van-canh/","Thị trấn Vân Canh")</f>
        <v>Thị trấn Vân Canh</v>
      </c>
    </row>
    <row r="6977" spans="1:7" x14ac:dyDescent="0.25">
      <c r="A6977" s="2">
        <v>6976</v>
      </c>
      <c r="B6977" s="3" t="s">
        <v>37</v>
      </c>
      <c r="C6977" s="4" t="str">
        <f t="shared" si="567"/>
        <v>Bình Định</v>
      </c>
      <c r="D6977" s="3" t="s">
        <v>465</v>
      </c>
      <c r="E6977" s="4" t="str">
        <f t="shared" si="569"/>
        <v>Huyện Vân Canh</v>
      </c>
      <c r="F6977" s="3" t="s">
        <v>7737</v>
      </c>
      <c r="G6977" s="4" t="str">
        <f>HYPERLINK("https://diaocthongthai.com/xa-canh-lien-van-canh/","Xã Canh Liên")</f>
        <v>Xã Canh Liên</v>
      </c>
    </row>
    <row r="6978" spans="1:7" x14ac:dyDescent="0.25">
      <c r="A6978" s="2">
        <v>6977</v>
      </c>
      <c r="B6978" s="3" t="s">
        <v>37</v>
      </c>
      <c r="C6978" s="4" t="str">
        <f t="shared" si="567"/>
        <v>Bình Định</v>
      </c>
      <c r="D6978" s="3" t="s">
        <v>465</v>
      </c>
      <c r="E6978" s="4" t="str">
        <f t="shared" si="569"/>
        <v>Huyện Vân Canh</v>
      </c>
      <c r="F6978" s="3" t="s">
        <v>7738</v>
      </c>
      <c r="G6978" s="4" t="str">
        <f>HYPERLINK("https://diaocthongthai.com/xa-canh-hiep-van-canh/","Xã Canh Hiệp")</f>
        <v>Xã Canh Hiệp</v>
      </c>
    </row>
    <row r="6979" spans="1:7" x14ac:dyDescent="0.25">
      <c r="A6979" s="2">
        <v>6978</v>
      </c>
      <c r="B6979" s="3" t="s">
        <v>37</v>
      </c>
      <c r="C6979" s="4" t="str">
        <f t="shared" si="567"/>
        <v>Bình Định</v>
      </c>
      <c r="D6979" s="3" t="s">
        <v>465</v>
      </c>
      <c r="E6979" s="4" t="str">
        <f t="shared" si="569"/>
        <v>Huyện Vân Canh</v>
      </c>
      <c r="F6979" s="3" t="s">
        <v>7739</v>
      </c>
      <c r="G6979" s="4" t="str">
        <f>HYPERLINK("https://diaocthongthai.com/xa-canh-vinh-van-canh/","Xã Canh Vinh")</f>
        <v>Xã Canh Vinh</v>
      </c>
    </row>
    <row r="6980" spans="1:7" x14ac:dyDescent="0.25">
      <c r="A6980" s="2">
        <v>6979</v>
      </c>
      <c r="B6980" s="3" t="s">
        <v>37</v>
      </c>
      <c r="C6980" s="4" t="str">
        <f t="shared" si="567"/>
        <v>Bình Định</v>
      </c>
      <c r="D6980" s="3" t="s">
        <v>465</v>
      </c>
      <c r="E6980" s="4" t="str">
        <f t="shared" si="569"/>
        <v>Huyện Vân Canh</v>
      </c>
      <c r="F6980" s="3" t="s">
        <v>7740</v>
      </c>
      <c r="G6980" s="4" t="str">
        <f>HYPERLINK("https://diaocthongthai.com/xa-canh-hien-van-canh/","Xã Canh Hiển")</f>
        <v>Xã Canh Hiển</v>
      </c>
    </row>
    <row r="6981" spans="1:7" x14ac:dyDescent="0.25">
      <c r="A6981" s="2">
        <v>6980</v>
      </c>
      <c r="B6981" s="3" t="s">
        <v>37</v>
      </c>
      <c r="C6981" s="4" t="str">
        <f t="shared" si="567"/>
        <v>Bình Định</v>
      </c>
      <c r="D6981" s="3" t="s">
        <v>465</v>
      </c>
      <c r="E6981" s="4" t="str">
        <f t="shared" si="569"/>
        <v>Huyện Vân Canh</v>
      </c>
      <c r="F6981" s="3" t="s">
        <v>7741</v>
      </c>
      <c r="G6981" s="4" t="str">
        <f>HYPERLINK("https://diaocthongthai.com/xa-canh-thuan-van-canh/","Xã Canh Thuận")</f>
        <v>Xã Canh Thuận</v>
      </c>
    </row>
    <row r="6982" spans="1:7" x14ac:dyDescent="0.25">
      <c r="A6982" s="2">
        <v>6981</v>
      </c>
      <c r="B6982" s="3" t="s">
        <v>37</v>
      </c>
      <c r="C6982" s="4" t="str">
        <f t="shared" si="567"/>
        <v>Bình Định</v>
      </c>
      <c r="D6982" s="3" t="s">
        <v>465</v>
      </c>
      <c r="E6982" s="4" t="str">
        <f t="shared" si="569"/>
        <v>Huyện Vân Canh</v>
      </c>
      <c r="F6982" s="3" t="s">
        <v>7742</v>
      </c>
      <c r="G6982" s="4" t="str">
        <f>HYPERLINK("https://diaocthongthai.com/xa-canh-hoa-van-canh/","Xã Canh Hòa")</f>
        <v>Xã Canh Hòa</v>
      </c>
    </row>
    <row r="6983" spans="1:7" x14ac:dyDescent="0.25">
      <c r="A6983" s="2">
        <v>6982</v>
      </c>
      <c r="B6983" s="3" t="s">
        <v>38</v>
      </c>
      <c r="C6983" s="4" t="str">
        <f t="shared" ref="C6983:C7014" si="570">HYPERLINK("https://diaocthongthai.com/ban-do-phu-yen/","Phú Yên")</f>
        <v>Phú Yên</v>
      </c>
      <c r="D6983" s="3" t="s">
        <v>466</v>
      </c>
      <c r="E6983" s="4" t="str">
        <f t="shared" ref="E6983:E6998" si="571">HYPERLINK("https://diaocthongthai.com/ban-do-tp-tuy-hoa-phu-yen/","Thành phố Tuy Hoà")</f>
        <v>Thành phố Tuy Hoà</v>
      </c>
      <c r="F6983" s="3" t="s">
        <v>7743</v>
      </c>
      <c r="G6983" s="4" t="str">
        <f>HYPERLINK("https://diaocthongthai.com/phuong-1-tp-tuy-hoa/","Phường 1")</f>
        <v>Phường 1</v>
      </c>
    </row>
    <row r="6984" spans="1:7" x14ac:dyDescent="0.25">
      <c r="A6984" s="2">
        <v>6983</v>
      </c>
      <c r="B6984" s="3" t="s">
        <v>38</v>
      </c>
      <c r="C6984" s="4" t="str">
        <f t="shared" si="570"/>
        <v>Phú Yên</v>
      </c>
      <c r="D6984" s="3" t="s">
        <v>466</v>
      </c>
      <c r="E6984" s="4" t="str">
        <f t="shared" si="571"/>
        <v>Thành phố Tuy Hoà</v>
      </c>
      <c r="F6984" s="3" t="s">
        <v>7744</v>
      </c>
      <c r="G6984" s="4" t="str">
        <f>HYPERLINK("https://diaocthongthai.com/phuong-8-tp-tuy-hoa/","Phường 8")</f>
        <v>Phường 8</v>
      </c>
    </row>
    <row r="6985" spans="1:7" x14ac:dyDescent="0.25">
      <c r="A6985" s="2">
        <v>6984</v>
      </c>
      <c r="B6985" s="3" t="s">
        <v>38</v>
      </c>
      <c r="C6985" s="4" t="str">
        <f t="shared" si="570"/>
        <v>Phú Yên</v>
      </c>
      <c r="D6985" s="3" t="s">
        <v>466</v>
      </c>
      <c r="E6985" s="4" t="str">
        <f t="shared" si="571"/>
        <v>Thành phố Tuy Hoà</v>
      </c>
      <c r="F6985" s="3" t="s">
        <v>7745</v>
      </c>
      <c r="G6985" s="4" t="str">
        <f>HYPERLINK("https://diaocthongthai.com/phuong-2-tp-tuy-hoa/","Phường 2")</f>
        <v>Phường 2</v>
      </c>
    </row>
    <row r="6986" spans="1:7" x14ac:dyDescent="0.25">
      <c r="A6986" s="2">
        <v>6985</v>
      </c>
      <c r="B6986" s="3" t="s">
        <v>38</v>
      </c>
      <c r="C6986" s="4" t="str">
        <f t="shared" si="570"/>
        <v>Phú Yên</v>
      </c>
      <c r="D6986" s="3" t="s">
        <v>466</v>
      </c>
      <c r="E6986" s="4" t="str">
        <f t="shared" si="571"/>
        <v>Thành phố Tuy Hoà</v>
      </c>
      <c r="F6986" s="3" t="s">
        <v>7746</v>
      </c>
      <c r="G6986" s="4" t="str">
        <f>HYPERLINK("https://diaocthongthai.com/phuong-9-tp-tuy-hoa/","Phường 9")</f>
        <v>Phường 9</v>
      </c>
    </row>
    <row r="6987" spans="1:7" x14ac:dyDescent="0.25">
      <c r="A6987" s="2">
        <v>6986</v>
      </c>
      <c r="B6987" s="3" t="s">
        <v>38</v>
      </c>
      <c r="C6987" s="4" t="str">
        <f t="shared" si="570"/>
        <v>Phú Yên</v>
      </c>
      <c r="D6987" s="3" t="s">
        <v>466</v>
      </c>
      <c r="E6987" s="4" t="str">
        <f t="shared" si="571"/>
        <v>Thành phố Tuy Hoà</v>
      </c>
      <c r="F6987" s="3" t="s">
        <v>7747</v>
      </c>
      <c r="G6987" s="4" t="str">
        <f>HYPERLINK("https://diaocthongthai.com/phuong-3-tp-tuy-hoa/","Phường 3")</f>
        <v>Phường 3</v>
      </c>
    </row>
    <row r="6988" spans="1:7" x14ac:dyDescent="0.25">
      <c r="A6988" s="2">
        <v>6987</v>
      </c>
      <c r="B6988" s="3" t="s">
        <v>38</v>
      </c>
      <c r="C6988" s="4" t="str">
        <f t="shared" si="570"/>
        <v>Phú Yên</v>
      </c>
      <c r="D6988" s="3" t="s">
        <v>466</v>
      </c>
      <c r="E6988" s="4" t="str">
        <f t="shared" si="571"/>
        <v>Thành phố Tuy Hoà</v>
      </c>
      <c r="F6988" s="3" t="s">
        <v>7748</v>
      </c>
      <c r="G6988" s="4" t="str">
        <f>HYPERLINK("https://diaocthongthai.com/phuong-4-tp-tuy-hoa/","Phường 4")</f>
        <v>Phường 4</v>
      </c>
    </row>
    <row r="6989" spans="1:7" x14ac:dyDescent="0.25">
      <c r="A6989" s="2">
        <v>6988</v>
      </c>
      <c r="B6989" s="3" t="s">
        <v>38</v>
      </c>
      <c r="C6989" s="4" t="str">
        <f t="shared" si="570"/>
        <v>Phú Yên</v>
      </c>
      <c r="D6989" s="3" t="s">
        <v>466</v>
      </c>
      <c r="E6989" s="4" t="str">
        <f t="shared" si="571"/>
        <v>Thành phố Tuy Hoà</v>
      </c>
      <c r="F6989" s="3" t="s">
        <v>7749</v>
      </c>
      <c r="G6989" s="4" t="str">
        <f>HYPERLINK("https://diaocthongthai.com/phuong-5-tp-tuy-hoa/","Phường 5")</f>
        <v>Phường 5</v>
      </c>
    </row>
    <row r="6990" spans="1:7" x14ac:dyDescent="0.25">
      <c r="A6990" s="2">
        <v>6989</v>
      </c>
      <c r="B6990" s="3" t="s">
        <v>38</v>
      </c>
      <c r="C6990" s="4" t="str">
        <f t="shared" si="570"/>
        <v>Phú Yên</v>
      </c>
      <c r="D6990" s="3" t="s">
        <v>466</v>
      </c>
      <c r="E6990" s="4" t="str">
        <f t="shared" si="571"/>
        <v>Thành phố Tuy Hoà</v>
      </c>
      <c r="F6990" s="3" t="s">
        <v>7750</v>
      </c>
      <c r="G6990" s="4" t="str">
        <f>HYPERLINK("https://diaocthongthai.com/phuong-7-tp-tuy-hoa/","Phường 7")</f>
        <v>Phường 7</v>
      </c>
    </row>
    <row r="6991" spans="1:7" x14ac:dyDescent="0.25">
      <c r="A6991" s="2">
        <v>6990</v>
      </c>
      <c r="B6991" s="3" t="s">
        <v>38</v>
      </c>
      <c r="C6991" s="4" t="str">
        <f t="shared" si="570"/>
        <v>Phú Yên</v>
      </c>
      <c r="D6991" s="3" t="s">
        <v>466</v>
      </c>
      <c r="E6991" s="4" t="str">
        <f t="shared" si="571"/>
        <v>Thành phố Tuy Hoà</v>
      </c>
      <c r="F6991" s="3" t="s">
        <v>7751</v>
      </c>
      <c r="G6991" s="4" t="str">
        <f>HYPERLINK("https://diaocthongthai.com/phuong-6-tp-tuy-hoa/","Phường 6")</f>
        <v>Phường 6</v>
      </c>
    </row>
    <row r="6992" spans="1:7" x14ac:dyDescent="0.25">
      <c r="A6992" s="2">
        <v>6991</v>
      </c>
      <c r="B6992" s="3" t="s">
        <v>38</v>
      </c>
      <c r="C6992" s="4" t="str">
        <f t="shared" si="570"/>
        <v>Phú Yên</v>
      </c>
      <c r="D6992" s="3" t="s">
        <v>466</v>
      </c>
      <c r="E6992" s="4" t="str">
        <f t="shared" si="571"/>
        <v>Thành phố Tuy Hoà</v>
      </c>
      <c r="F6992" s="3" t="s">
        <v>7752</v>
      </c>
      <c r="G6992" s="4" t="str">
        <f>HYPERLINK("https://diaocthongthai.com/phuong-phu-thanh-tp-tuy-hoa/","Phường Phú Thạnh")</f>
        <v>Phường Phú Thạnh</v>
      </c>
    </row>
    <row r="6993" spans="1:7" x14ac:dyDescent="0.25">
      <c r="A6993" s="2">
        <v>6992</v>
      </c>
      <c r="B6993" s="3" t="s">
        <v>38</v>
      </c>
      <c r="C6993" s="4" t="str">
        <f t="shared" si="570"/>
        <v>Phú Yên</v>
      </c>
      <c r="D6993" s="3" t="s">
        <v>466</v>
      </c>
      <c r="E6993" s="4" t="str">
        <f t="shared" si="571"/>
        <v>Thành phố Tuy Hoà</v>
      </c>
      <c r="F6993" s="3" t="s">
        <v>7753</v>
      </c>
      <c r="G6993" s="4" t="str">
        <f>HYPERLINK("https://diaocthongthai.com/phuong-phu-dong-tp-tuy-hoa/","Phường Phú Đông")</f>
        <v>Phường Phú Đông</v>
      </c>
    </row>
    <row r="6994" spans="1:7" x14ac:dyDescent="0.25">
      <c r="A6994" s="2">
        <v>6993</v>
      </c>
      <c r="B6994" s="3" t="s">
        <v>38</v>
      </c>
      <c r="C6994" s="4" t="str">
        <f t="shared" si="570"/>
        <v>Phú Yên</v>
      </c>
      <c r="D6994" s="3" t="s">
        <v>466</v>
      </c>
      <c r="E6994" s="4" t="str">
        <f t="shared" si="571"/>
        <v>Thành phố Tuy Hoà</v>
      </c>
      <c r="F6994" s="3" t="s">
        <v>7754</v>
      </c>
      <c r="G6994" s="4" t="str">
        <f>HYPERLINK("https://diaocthongthai.com/xa-hoa-kien-tp-tuy-hoa/","Xã Hòa Kiến")</f>
        <v>Xã Hòa Kiến</v>
      </c>
    </row>
    <row r="6995" spans="1:7" x14ac:dyDescent="0.25">
      <c r="A6995" s="2">
        <v>6994</v>
      </c>
      <c r="B6995" s="3" t="s">
        <v>38</v>
      </c>
      <c r="C6995" s="4" t="str">
        <f t="shared" si="570"/>
        <v>Phú Yên</v>
      </c>
      <c r="D6995" s="3" t="s">
        <v>466</v>
      </c>
      <c r="E6995" s="4" t="str">
        <f t="shared" si="571"/>
        <v>Thành phố Tuy Hoà</v>
      </c>
      <c r="F6995" s="3" t="s">
        <v>7755</v>
      </c>
      <c r="G6995" s="4" t="str">
        <f>HYPERLINK("https://diaocthongthai.com/xa-binh-kien-tp-tuy-hoa/","Xã Bình Kiến")</f>
        <v>Xã Bình Kiến</v>
      </c>
    </row>
    <row r="6996" spans="1:7" x14ac:dyDescent="0.25">
      <c r="A6996" s="2">
        <v>6995</v>
      </c>
      <c r="B6996" s="3" t="s">
        <v>38</v>
      </c>
      <c r="C6996" s="4" t="str">
        <f t="shared" si="570"/>
        <v>Phú Yên</v>
      </c>
      <c r="D6996" s="3" t="s">
        <v>466</v>
      </c>
      <c r="E6996" s="4" t="str">
        <f t="shared" si="571"/>
        <v>Thành phố Tuy Hoà</v>
      </c>
      <c r="F6996" s="3" t="s">
        <v>7756</v>
      </c>
      <c r="G6996" s="4" t="str">
        <f>HYPERLINK("https://diaocthongthai.com/xa-binh-ngoc-tp-tuy-hoa/","Xã Bình Ngọc")</f>
        <v>Xã Bình Ngọc</v>
      </c>
    </row>
    <row r="6997" spans="1:7" x14ac:dyDescent="0.25">
      <c r="A6997" s="2">
        <v>6996</v>
      </c>
      <c r="B6997" s="3" t="s">
        <v>38</v>
      </c>
      <c r="C6997" s="4" t="str">
        <f t="shared" si="570"/>
        <v>Phú Yên</v>
      </c>
      <c r="D6997" s="3" t="s">
        <v>466</v>
      </c>
      <c r="E6997" s="4" t="str">
        <f t="shared" si="571"/>
        <v>Thành phố Tuy Hoà</v>
      </c>
      <c r="F6997" s="3" t="s">
        <v>7757</v>
      </c>
      <c r="G6997" s="4" t="str">
        <f>HYPERLINK("https://diaocthongthai.com/xa-an-phu-tp-tuy-hoa/","Xã An Phú")</f>
        <v>Xã An Phú</v>
      </c>
    </row>
    <row r="6998" spans="1:7" x14ac:dyDescent="0.25">
      <c r="A6998" s="2">
        <v>6997</v>
      </c>
      <c r="B6998" s="3" t="s">
        <v>38</v>
      </c>
      <c r="C6998" s="4" t="str">
        <f t="shared" si="570"/>
        <v>Phú Yên</v>
      </c>
      <c r="D6998" s="3" t="s">
        <v>466</v>
      </c>
      <c r="E6998" s="4" t="str">
        <f t="shared" si="571"/>
        <v>Thành phố Tuy Hoà</v>
      </c>
      <c r="F6998" s="3" t="s">
        <v>7758</v>
      </c>
      <c r="G6998" s="4" t="str">
        <f>HYPERLINK("https://diaocthongthai.com/phuong-phu-lam-tp-tuy-hoa/","Phường Phú Lâm")</f>
        <v>Phường Phú Lâm</v>
      </c>
    </row>
    <row r="6999" spans="1:7" x14ac:dyDescent="0.25">
      <c r="A6999" s="2">
        <v>6998</v>
      </c>
      <c r="B6999" s="3" t="s">
        <v>38</v>
      </c>
      <c r="C6999" s="4" t="str">
        <f t="shared" si="570"/>
        <v>Phú Yên</v>
      </c>
      <c r="D6999" s="3" t="s">
        <v>467</v>
      </c>
      <c r="E6999" s="4" t="str">
        <f t="shared" ref="E6999:E7011" si="572">HYPERLINK("https://diaocthongthai.com/ban-do-thi-xa-song-cau-phu-yen/","Thị xã Sông Cầu")</f>
        <v>Thị xã Sông Cầu</v>
      </c>
      <c r="F6999" s="3" t="s">
        <v>7759</v>
      </c>
      <c r="G6999" s="4" t="str">
        <f>HYPERLINK("https://diaocthongthai.com/phuong-xuan-phu-song-cau/","Phường Xuân Phú")</f>
        <v>Phường Xuân Phú</v>
      </c>
    </row>
    <row r="7000" spans="1:7" x14ac:dyDescent="0.25">
      <c r="A7000" s="2">
        <v>6999</v>
      </c>
      <c r="B7000" s="3" t="s">
        <v>38</v>
      </c>
      <c r="C7000" s="4" t="str">
        <f t="shared" si="570"/>
        <v>Phú Yên</v>
      </c>
      <c r="D7000" s="3" t="s">
        <v>467</v>
      </c>
      <c r="E7000" s="4" t="str">
        <f t="shared" si="572"/>
        <v>Thị xã Sông Cầu</v>
      </c>
      <c r="F7000" s="3" t="s">
        <v>7760</v>
      </c>
      <c r="G7000" s="4" t="str">
        <f>HYPERLINK("https://diaocthongthai.com/xa-xuan-lam-song-cau/","Xã Xuân Lâm")</f>
        <v>Xã Xuân Lâm</v>
      </c>
    </row>
    <row r="7001" spans="1:7" x14ac:dyDescent="0.25">
      <c r="A7001" s="2">
        <v>7000</v>
      </c>
      <c r="B7001" s="3" t="s">
        <v>38</v>
      </c>
      <c r="C7001" s="4" t="str">
        <f t="shared" si="570"/>
        <v>Phú Yên</v>
      </c>
      <c r="D7001" s="3" t="s">
        <v>467</v>
      </c>
      <c r="E7001" s="4" t="str">
        <f t="shared" si="572"/>
        <v>Thị xã Sông Cầu</v>
      </c>
      <c r="F7001" s="3" t="s">
        <v>7761</v>
      </c>
      <c r="G7001" s="4" t="str">
        <f>HYPERLINK("https://diaocthongthai.com/phuong-xuan-thanh-song-cau/","Phường Xuân Thành")</f>
        <v>Phường Xuân Thành</v>
      </c>
    </row>
    <row r="7002" spans="1:7" x14ac:dyDescent="0.25">
      <c r="A7002" s="2">
        <v>7001</v>
      </c>
      <c r="B7002" s="3" t="s">
        <v>38</v>
      </c>
      <c r="C7002" s="4" t="str">
        <f t="shared" si="570"/>
        <v>Phú Yên</v>
      </c>
      <c r="D7002" s="3" t="s">
        <v>467</v>
      </c>
      <c r="E7002" s="4" t="str">
        <f t="shared" si="572"/>
        <v>Thị xã Sông Cầu</v>
      </c>
      <c r="F7002" s="3" t="s">
        <v>7762</v>
      </c>
      <c r="G7002" s="4" t="str">
        <f>HYPERLINK("https://diaocthongthai.com/xa-xuan-hai-song-cau/","Xã Xuân Hải")</f>
        <v>Xã Xuân Hải</v>
      </c>
    </row>
    <row r="7003" spans="1:7" x14ac:dyDescent="0.25">
      <c r="A7003" s="2">
        <v>7002</v>
      </c>
      <c r="B7003" s="3" t="s">
        <v>38</v>
      </c>
      <c r="C7003" s="4" t="str">
        <f t="shared" si="570"/>
        <v>Phú Yên</v>
      </c>
      <c r="D7003" s="3" t="s">
        <v>467</v>
      </c>
      <c r="E7003" s="4" t="str">
        <f t="shared" si="572"/>
        <v>Thị xã Sông Cầu</v>
      </c>
      <c r="F7003" s="3" t="s">
        <v>7763</v>
      </c>
      <c r="G7003" s="4" t="str">
        <f>HYPERLINK("https://diaocthongthai.com/xa-xuan-loc-song-cau/","Xã Xuân Lộc")</f>
        <v>Xã Xuân Lộc</v>
      </c>
    </row>
    <row r="7004" spans="1:7" x14ac:dyDescent="0.25">
      <c r="A7004" s="2">
        <v>7003</v>
      </c>
      <c r="B7004" s="3" t="s">
        <v>38</v>
      </c>
      <c r="C7004" s="4" t="str">
        <f t="shared" si="570"/>
        <v>Phú Yên</v>
      </c>
      <c r="D7004" s="3" t="s">
        <v>467</v>
      </c>
      <c r="E7004" s="4" t="str">
        <f t="shared" si="572"/>
        <v>Thị xã Sông Cầu</v>
      </c>
      <c r="F7004" s="3" t="s">
        <v>7764</v>
      </c>
      <c r="G7004" s="4" t="str">
        <f>HYPERLINK("https://diaocthongthai.com/xa-xuan-binh-song-cau/","Xã Xuân Bình")</f>
        <v>Xã Xuân Bình</v>
      </c>
    </row>
    <row r="7005" spans="1:7" x14ac:dyDescent="0.25">
      <c r="A7005" s="2">
        <v>7004</v>
      </c>
      <c r="B7005" s="3" t="s">
        <v>38</v>
      </c>
      <c r="C7005" s="4" t="str">
        <f t="shared" si="570"/>
        <v>Phú Yên</v>
      </c>
      <c r="D7005" s="3" t="s">
        <v>467</v>
      </c>
      <c r="E7005" s="4" t="str">
        <f t="shared" si="572"/>
        <v>Thị xã Sông Cầu</v>
      </c>
      <c r="F7005" s="3" t="s">
        <v>7765</v>
      </c>
      <c r="G7005" s="4" t="str">
        <f>HYPERLINK("https://diaocthongthai.com/xa-xuan-canh-song-cau/","Xã Xuân Cảnh")</f>
        <v>Xã Xuân Cảnh</v>
      </c>
    </row>
    <row r="7006" spans="1:7" x14ac:dyDescent="0.25">
      <c r="A7006" s="2">
        <v>7005</v>
      </c>
      <c r="B7006" s="3" t="s">
        <v>38</v>
      </c>
      <c r="C7006" s="4" t="str">
        <f t="shared" si="570"/>
        <v>Phú Yên</v>
      </c>
      <c r="D7006" s="3" t="s">
        <v>467</v>
      </c>
      <c r="E7006" s="4" t="str">
        <f t="shared" si="572"/>
        <v>Thị xã Sông Cầu</v>
      </c>
      <c r="F7006" s="3" t="s">
        <v>7766</v>
      </c>
      <c r="G7006" s="4" t="str">
        <f>HYPERLINK("https://diaocthongthai.com/xa-xuan-thinh-song-cau/","Xã Xuân Thịnh")</f>
        <v>Xã Xuân Thịnh</v>
      </c>
    </row>
    <row r="7007" spans="1:7" x14ac:dyDescent="0.25">
      <c r="A7007" s="2">
        <v>7006</v>
      </c>
      <c r="B7007" s="3" t="s">
        <v>38</v>
      </c>
      <c r="C7007" s="4" t="str">
        <f t="shared" si="570"/>
        <v>Phú Yên</v>
      </c>
      <c r="D7007" s="3" t="s">
        <v>467</v>
      </c>
      <c r="E7007" s="4" t="str">
        <f t="shared" si="572"/>
        <v>Thị xã Sông Cầu</v>
      </c>
      <c r="F7007" s="3" t="s">
        <v>7767</v>
      </c>
      <c r="G7007" s="4" t="str">
        <f>HYPERLINK("https://diaocthongthai.com/xa-xuan-phuong-song-cau/","Xã Xuân Phương")</f>
        <v>Xã Xuân Phương</v>
      </c>
    </row>
    <row r="7008" spans="1:7" x14ac:dyDescent="0.25">
      <c r="A7008" s="2">
        <v>7007</v>
      </c>
      <c r="B7008" s="3" t="s">
        <v>38</v>
      </c>
      <c r="C7008" s="4" t="str">
        <f t="shared" si="570"/>
        <v>Phú Yên</v>
      </c>
      <c r="D7008" s="3" t="s">
        <v>467</v>
      </c>
      <c r="E7008" s="4" t="str">
        <f t="shared" si="572"/>
        <v>Thị xã Sông Cầu</v>
      </c>
      <c r="F7008" s="3" t="s">
        <v>7768</v>
      </c>
      <c r="G7008" s="4" t="str">
        <f>HYPERLINK("https://diaocthongthai.com/phuong-xuan-yen-song-cau/","Phường Xuân Yên")</f>
        <v>Phường Xuân Yên</v>
      </c>
    </row>
    <row r="7009" spans="1:7" x14ac:dyDescent="0.25">
      <c r="A7009" s="2">
        <v>7008</v>
      </c>
      <c r="B7009" s="3" t="s">
        <v>38</v>
      </c>
      <c r="C7009" s="4" t="str">
        <f t="shared" si="570"/>
        <v>Phú Yên</v>
      </c>
      <c r="D7009" s="3" t="s">
        <v>467</v>
      </c>
      <c r="E7009" s="4" t="str">
        <f t="shared" si="572"/>
        <v>Thị xã Sông Cầu</v>
      </c>
      <c r="F7009" s="3" t="s">
        <v>7769</v>
      </c>
      <c r="G7009" s="4" t="str">
        <f>HYPERLINK("https://diaocthongthai.com/xa-xuan-tho-1-song-cau/","Xã Xuân Thọ 1")</f>
        <v>Xã Xuân Thọ 1</v>
      </c>
    </row>
    <row r="7010" spans="1:7" x14ac:dyDescent="0.25">
      <c r="A7010" s="2">
        <v>7009</v>
      </c>
      <c r="B7010" s="3" t="s">
        <v>38</v>
      </c>
      <c r="C7010" s="4" t="str">
        <f t="shared" si="570"/>
        <v>Phú Yên</v>
      </c>
      <c r="D7010" s="3" t="s">
        <v>467</v>
      </c>
      <c r="E7010" s="4" t="str">
        <f t="shared" si="572"/>
        <v>Thị xã Sông Cầu</v>
      </c>
      <c r="F7010" s="3" t="s">
        <v>7770</v>
      </c>
      <c r="G7010" s="4" t="str">
        <f>HYPERLINK("https://diaocthongthai.com/phuong-xuan-dai-song-cau/","Phường Xuân Đài")</f>
        <v>Phường Xuân Đài</v>
      </c>
    </row>
    <row r="7011" spans="1:7" x14ac:dyDescent="0.25">
      <c r="A7011" s="2">
        <v>7010</v>
      </c>
      <c r="B7011" s="3" t="s">
        <v>38</v>
      </c>
      <c r="C7011" s="4" t="str">
        <f t="shared" si="570"/>
        <v>Phú Yên</v>
      </c>
      <c r="D7011" s="3" t="s">
        <v>467</v>
      </c>
      <c r="E7011" s="4" t="str">
        <f t="shared" si="572"/>
        <v>Thị xã Sông Cầu</v>
      </c>
      <c r="F7011" s="3" t="s">
        <v>7771</v>
      </c>
      <c r="G7011" s="4" t="str">
        <f>HYPERLINK("https://diaocthongthai.com/xa-xuan-tho-2-song-cau/","Xã Xuân Thọ 2")</f>
        <v>Xã Xuân Thọ 2</v>
      </c>
    </row>
    <row r="7012" spans="1:7" x14ac:dyDescent="0.25">
      <c r="A7012" s="2">
        <v>7011</v>
      </c>
      <c r="B7012" s="3" t="s">
        <v>38</v>
      </c>
      <c r="C7012" s="4" t="str">
        <f t="shared" si="570"/>
        <v>Phú Yên</v>
      </c>
      <c r="D7012" s="3" t="s">
        <v>468</v>
      </c>
      <c r="E7012" s="4" t="str">
        <f t="shared" ref="E7012:E7022" si="573">HYPERLINK("https://diaocthongthai.com/ban-do-huyen-dong-xuan-phu-yen/","Huyện Đồng Xuân")</f>
        <v>Huyện Đồng Xuân</v>
      </c>
      <c r="F7012" s="3" t="s">
        <v>7772</v>
      </c>
      <c r="G7012" s="4" t="str">
        <f>HYPERLINK("https://diaocthongthai.com/thi-tran-la-hai-dong-xuan/","Thị trấn La Hai")</f>
        <v>Thị trấn La Hai</v>
      </c>
    </row>
    <row r="7013" spans="1:7" x14ac:dyDescent="0.25">
      <c r="A7013" s="2">
        <v>7012</v>
      </c>
      <c r="B7013" s="3" t="s">
        <v>38</v>
      </c>
      <c r="C7013" s="4" t="str">
        <f t="shared" si="570"/>
        <v>Phú Yên</v>
      </c>
      <c r="D7013" s="3" t="s">
        <v>468</v>
      </c>
      <c r="E7013" s="4" t="str">
        <f t="shared" si="573"/>
        <v>Huyện Đồng Xuân</v>
      </c>
      <c r="F7013" s="3" t="s">
        <v>7773</v>
      </c>
      <c r="G7013" s="4" t="str">
        <f>HYPERLINK("https://diaocthongthai.com/xa-da-loc-dong-xuan/","Xã Đa Lộc")</f>
        <v>Xã Đa Lộc</v>
      </c>
    </row>
    <row r="7014" spans="1:7" x14ac:dyDescent="0.25">
      <c r="A7014" s="2">
        <v>7013</v>
      </c>
      <c r="B7014" s="3" t="s">
        <v>38</v>
      </c>
      <c r="C7014" s="4" t="str">
        <f t="shared" si="570"/>
        <v>Phú Yên</v>
      </c>
      <c r="D7014" s="3" t="s">
        <v>468</v>
      </c>
      <c r="E7014" s="4" t="str">
        <f t="shared" si="573"/>
        <v>Huyện Đồng Xuân</v>
      </c>
      <c r="F7014" s="3" t="s">
        <v>7774</v>
      </c>
      <c r="G7014" s="4" t="str">
        <f>HYPERLINK("https://diaocthongthai.com/xa-phu-mo-dong-xuan/","Xã Phú Mỡ")</f>
        <v>Xã Phú Mỡ</v>
      </c>
    </row>
    <row r="7015" spans="1:7" x14ac:dyDescent="0.25">
      <c r="A7015" s="2">
        <v>7014</v>
      </c>
      <c r="B7015" s="3" t="s">
        <v>38</v>
      </c>
      <c r="C7015" s="4" t="str">
        <f t="shared" ref="C7015:C7046" si="574">HYPERLINK("https://diaocthongthai.com/ban-do-phu-yen/","Phú Yên")</f>
        <v>Phú Yên</v>
      </c>
      <c r="D7015" s="3" t="s">
        <v>468</v>
      </c>
      <c r="E7015" s="4" t="str">
        <f t="shared" si="573"/>
        <v>Huyện Đồng Xuân</v>
      </c>
      <c r="F7015" s="3" t="s">
        <v>7775</v>
      </c>
      <c r="G7015" s="4" t="str">
        <f>HYPERLINK("https://diaocthongthai.com/xa-xuan-lanh-dong-xuan/","Xã Xuân Lãnh")</f>
        <v>Xã Xuân Lãnh</v>
      </c>
    </row>
    <row r="7016" spans="1:7" x14ac:dyDescent="0.25">
      <c r="A7016" s="2">
        <v>7015</v>
      </c>
      <c r="B7016" s="3" t="s">
        <v>38</v>
      </c>
      <c r="C7016" s="4" t="str">
        <f t="shared" si="574"/>
        <v>Phú Yên</v>
      </c>
      <c r="D7016" s="3" t="s">
        <v>468</v>
      </c>
      <c r="E7016" s="4" t="str">
        <f t="shared" si="573"/>
        <v>Huyện Đồng Xuân</v>
      </c>
      <c r="F7016" s="3" t="s">
        <v>7776</v>
      </c>
      <c r="G7016" s="4" t="str">
        <f>HYPERLINK("https://diaocthongthai.com/xa-xuan-long-dong-xuan/","Xã Xuân Long")</f>
        <v>Xã Xuân Long</v>
      </c>
    </row>
    <row r="7017" spans="1:7" x14ac:dyDescent="0.25">
      <c r="A7017" s="2">
        <v>7016</v>
      </c>
      <c r="B7017" s="3" t="s">
        <v>38</v>
      </c>
      <c r="C7017" s="4" t="str">
        <f t="shared" si="574"/>
        <v>Phú Yên</v>
      </c>
      <c r="D7017" s="3" t="s">
        <v>468</v>
      </c>
      <c r="E7017" s="4" t="str">
        <f t="shared" si="573"/>
        <v>Huyện Đồng Xuân</v>
      </c>
      <c r="F7017" s="3" t="s">
        <v>7777</v>
      </c>
      <c r="G7017" s="4" t="str">
        <f>HYPERLINK("https://diaocthongthai.com/xa-xuan-quang-1-dong-xuan/","Xã Xuân Quang 1")</f>
        <v>Xã Xuân Quang 1</v>
      </c>
    </row>
    <row r="7018" spans="1:7" x14ac:dyDescent="0.25">
      <c r="A7018" s="2">
        <v>7017</v>
      </c>
      <c r="B7018" s="3" t="s">
        <v>38</v>
      </c>
      <c r="C7018" s="4" t="str">
        <f t="shared" si="574"/>
        <v>Phú Yên</v>
      </c>
      <c r="D7018" s="3" t="s">
        <v>468</v>
      </c>
      <c r="E7018" s="4" t="str">
        <f t="shared" si="573"/>
        <v>Huyện Đồng Xuân</v>
      </c>
      <c r="F7018" s="3" t="s">
        <v>7778</v>
      </c>
      <c r="G7018" s="4" t="str">
        <f>HYPERLINK("https://diaocthongthai.com/xa-xuan-son-bac-dong-xuan/","Xã Xuân Sơn Bắc")</f>
        <v>Xã Xuân Sơn Bắc</v>
      </c>
    </row>
    <row r="7019" spans="1:7" x14ac:dyDescent="0.25">
      <c r="A7019" s="2">
        <v>7018</v>
      </c>
      <c r="B7019" s="3" t="s">
        <v>38</v>
      </c>
      <c r="C7019" s="4" t="str">
        <f t="shared" si="574"/>
        <v>Phú Yên</v>
      </c>
      <c r="D7019" s="3" t="s">
        <v>468</v>
      </c>
      <c r="E7019" s="4" t="str">
        <f t="shared" si="573"/>
        <v>Huyện Đồng Xuân</v>
      </c>
      <c r="F7019" s="3" t="s">
        <v>7779</v>
      </c>
      <c r="G7019" s="4" t="str">
        <f>HYPERLINK("https://diaocthongthai.com/xa-xuan-quang-2-dong-xuan/","Xã Xuân Quang 2")</f>
        <v>Xã Xuân Quang 2</v>
      </c>
    </row>
    <row r="7020" spans="1:7" x14ac:dyDescent="0.25">
      <c r="A7020" s="2">
        <v>7019</v>
      </c>
      <c r="B7020" s="3" t="s">
        <v>38</v>
      </c>
      <c r="C7020" s="4" t="str">
        <f t="shared" si="574"/>
        <v>Phú Yên</v>
      </c>
      <c r="D7020" s="3" t="s">
        <v>468</v>
      </c>
      <c r="E7020" s="4" t="str">
        <f t="shared" si="573"/>
        <v>Huyện Đồng Xuân</v>
      </c>
      <c r="F7020" s="3" t="s">
        <v>7780</v>
      </c>
      <c r="G7020" s="4" t="str">
        <f>HYPERLINK("https://diaocthongthai.com/xa-xuan-son-nam-dong-xuan/","Xã Xuân Sơn Nam")</f>
        <v>Xã Xuân Sơn Nam</v>
      </c>
    </row>
    <row r="7021" spans="1:7" x14ac:dyDescent="0.25">
      <c r="A7021" s="2">
        <v>7020</v>
      </c>
      <c r="B7021" s="3" t="s">
        <v>38</v>
      </c>
      <c r="C7021" s="4" t="str">
        <f t="shared" si="574"/>
        <v>Phú Yên</v>
      </c>
      <c r="D7021" s="3" t="s">
        <v>468</v>
      </c>
      <c r="E7021" s="4" t="str">
        <f t="shared" si="573"/>
        <v>Huyện Đồng Xuân</v>
      </c>
      <c r="F7021" s="3" t="s">
        <v>7781</v>
      </c>
      <c r="G7021" s="4" t="str">
        <f>HYPERLINK("https://diaocthongthai.com/xa-xuan-quang-3-dong-xuan/","Xã Xuân Quang 3")</f>
        <v>Xã Xuân Quang 3</v>
      </c>
    </row>
    <row r="7022" spans="1:7" x14ac:dyDescent="0.25">
      <c r="A7022" s="2">
        <v>7021</v>
      </c>
      <c r="B7022" s="3" t="s">
        <v>38</v>
      </c>
      <c r="C7022" s="4" t="str">
        <f t="shared" si="574"/>
        <v>Phú Yên</v>
      </c>
      <c r="D7022" s="3" t="s">
        <v>468</v>
      </c>
      <c r="E7022" s="4" t="str">
        <f t="shared" si="573"/>
        <v>Huyện Đồng Xuân</v>
      </c>
      <c r="F7022" s="3" t="s">
        <v>7782</v>
      </c>
      <c r="G7022" s="4" t="str">
        <f>HYPERLINK("https://diaocthongthai.com/xa-xuan-phuoc-dong-xuan/","Xã Xuân Phước")</f>
        <v>Xã Xuân Phước</v>
      </c>
    </row>
    <row r="7023" spans="1:7" x14ac:dyDescent="0.25">
      <c r="A7023" s="2">
        <v>7022</v>
      </c>
      <c r="B7023" s="3" t="s">
        <v>38</v>
      </c>
      <c r="C7023" s="4" t="str">
        <f t="shared" si="574"/>
        <v>Phú Yên</v>
      </c>
      <c r="D7023" s="3" t="s">
        <v>469</v>
      </c>
      <c r="E7023" s="4" t="str">
        <f t="shared" ref="E7023:E7037" si="575">HYPERLINK("https://diaocthongthai.com/ban-do-huyen-tuy-an-phu-yen/","Huyện Tuy An")</f>
        <v>Huyện Tuy An</v>
      </c>
      <c r="F7023" s="3" t="s">
        <v>7783</v>
      </c>
      <c r="G7023" s="4" t="str">
        <f>HYPERLINK("https://diaocthongthai.com/thi-tran-chi-thanh-tuy-an/","Thị trấn Chí Thạnh")</f>
        <v>Thị trấn Chí Thạnh</v>
      </c>
    </row>
    <row r="7024" spans="1:7" x14ac:dyDescent="0.25">
      <c r="A7024" s="2">
        <v>7023</v>
      </c>
      <c r="B7024" s="3" t="s">
        <v>38</v>
      </c>
      <c r="C7024" s="4" t="str">
        <f t="shared" si="574"/>
        <v>Phú Yên</v>
      </c>
      <c r="D7024" s="3" t="s">
        <v>469</v>
      </c>
      <c r="E7024" s="4" t="str">
        <f t="shared" si="575"/>
        <v>Huyện Tuy An</v>
      </c>
      <c r="F7024" s="3" t="s">
        <v>7784</v>
      </c>
      <c r="G7024" s="4" t="str">
        <f>HYPERLINK("https://diaocthongthai.com/xa-an-dan-tuy-an/","Xã An Dân")</f>
        <v>Xã An Dân</v>
      </c>
    </row>
    <row r="7025" spans="1:7" x14ac:dyDescent="0.25">
      <c r="A7025" s="2">
        <v>7024</v>
      </c>
      <c r="B7025" s="3" t="s">
        <v>38</v>
      </c>
      <c r="C7025" s="4" t="str">
        <f t="shared" si="574"/>
        <v>Phú Yên</v>
      </c>
      <c r="D7025" s="3" t="s">
        <v>469</v>
      </c>
      <c r="E7025" s="4" t="str">
        <f t="shared" si="575"/>
        <v>Huyện Tuy An</v>
      </c>
      <c r="F7025" s="3" t="s">
        <v>7785</v>
      </c>
      <c r="G7025" s="4" t="str">
        <f>HYPERLINK("https://diaocthongthai.com/xa-an-ninh-tay-tuy-an/","Xã An Ninh Tây")</f>
        <v>Xã An Ninh Tây</v>
      </c>
    </row>
    <row r="7026" spans="1:7" x14ac:dyDescent="0.25">
      <c r="A7026" s="2">
        <v>7025</v>
      </c>
      <c r="B7026" s="3" t="s">
        <v>38</v>
      </c>
      <c r="C7026" s="4" t="str">
        <f t="shared" si="574"/>
        <v>Phú Yên</v>
      </c>
      <c r="D7026" s="3" t="s">
        <v>469</v>
      </c>
      <c r="E7026" s="4" t="str">
        <f t="shared" si="575"/>
        <v>Huyện Tuy An</v>
      </c>
      <c r="F7026" s="3" t="s">
        <v>7786</v>
      </c>
      <c r="G7026" s="4" t="str">
        <f>HYPERLINK("https://diaocthongthai.com/xa-an-ninh-dong-tuy-an/","Xã An Ninh Đông")</f>
        <v>Xã An Ninh Đông</v>
      </c>
    </row>
    <row r="7027" spans="1:7" x14ac:dyDescent="0.25">
      <c r="A7027" s="2">
        <v>7026</v>
      </c>
      <c r="B7027" s="3" t="s">
        <v>38</v>
      </c>
      <c r="C7027" s="4" t="str">
        <f t="shared" si="574"/>
        <v>Phú Yên</v>
      </c>
      <c r="D7027" s="3" t="s">
        <v>469</v>
      </c>
      <c r="E7027" s="4" t="str">
        <f t="shared" si="575"/>
        <v>Huyện Tuy An</v>
      </c>
      <c r="F7027" s="3" t="s">
        <v>7787</v>
      </c>
      <c r="G7027" s="4" t="str">
        <f>HYPERLINK("https://diaocthongthai.com/xa-an-thach-tuy-an/","Xã An Thạch")</f>
        <v>Xã An Thạch</v>
      </c>
    </row>
    <row r="7028" spans="1:7" x14ac:dyDescent="0.25">
      <c r="A7028" s="2">
        <v>7027</v>
      </c>
      <c r="B7028" s="3" t="s">
        <v>38</v>
      </c>
      <c r="C7028" s="4" t="str">
        <f t="shared" si="574"/>
        <v>Phú Yên</v>
      </c>
      <c r="D7028" s="3" t="s">
        <v>469</v>
      </c>
      <c r="E7028" s="4" t="str">
        <f t="shared" si="575"/>
        <v>Huyện Tuy An</v>
      </c>
      <c r="F7028" s="3" t="s">
        <v>7788</v>
      </c>
      <c r="G7028" s="4" t="str">
        <f>HYPERLINK("https://diaocthongthai.com/xa-an-dinh-tuy-an/","Xã An Định")</f>
        <v>Xã An Định</v>
      </c>
    </row>
    <row r="7029" spans="1:7" x14ac:dyDescent="0.25">
      <c r="A7029" s="2">
        <v>7028</v>
      </c>
      <c r="B7029" s="3" t="s">
        <v>38</v>
      </c>
      <c r="C7029" s="4" t="str">
        <f t="shared" si="574"/>
        <v>Phú Yên</v>
      </c>
      <c r="D7029" s="3" t="s">
        <v>469</v>
      </c>
      <c r="E7029" s="4" t="str">
        <f t="shared" si="575"/>
        <v>Huyện Tuy An</v>
      </c>
      <c r="F7029" s="3" t="s">
        <v>7789</v>
      </c>
      <c r="G7029" s="4" t="str">
        <f>HYPERLINK("https://diaocthongthai.com/xa-an-nghiep-tuy-an/","Xã An Nghiệp")</f>
        <v>Xã An Nghiệp</v>
      </c>
    </row>
    <row r="7030" spans="1:7" x14ac:dyDescent="0.25">
      <c r="A7030" s="2">
        <v>7029</v>
      </c>
      <c r="B7030" s="3" t="s">
        <v>38</v>
      </c>
      <c r="C7030" s="4" t="str">
        <f t="shared" si="574"/>
        <v>Phú Yên</v>
      </c>
      <c r="D7030" s="3" t="s">
        <v>469</v>
      </c>
      <c r="E7030" s="4" t="str">
        <f t="shared" si="575"/>
        <v>Huyện Tuy An</v>
      </c>
      <c r="F7030" s="3" t="s">
        <v>7790</v>
      </c>
      <c r="G7030" s="4" t="str">
        <f>HYPERLINK("https://diaocthongthai.com/xa-an-cu-tuy-an/","Xã An Cư")</f>
        <v>Xã An Cư</v>
      </c>
    </row>
    <row r="7031" spans="1:7" x14ac:dyDescent="0.25">
      <c r="A7031" s="2">
        <v>7030</v>
      </c>
      <c r="B7031" s="3" t="s">
        <v>38</v>
      </c>
      <c r="C7031" s="4" t="str">
        <f t="shared" si="574"/>
        <v>Phú Yên</v>
      </c>
      <c r="D7031" s="3" t="s">
        <v>469</v>
      </c>
      <c r="E7031" s="4" t="str">
        <f t="shared" si="575"/>
        <v>Huyện Tuy An</v>
      </c>
      <c r="F7031" s="3" t="s">
        <v>7791</v>
      </c>
      <c r="G7031" s="4" t="str">
        <f>HYPERLINK("https://diaocthongthai.com/xa-an-xuan-tuy-an/","Xã An Xuân")</f>
        <v>Xã An Xuân</v>
      </c>
    </row>
    <row r="7032" spans="1:7" x14ac:dyDescent="0.25">
      <c r="A7032" s="2">
        <v>7031</v>
      </c>
      <c r="B7032" s="3" t="s">
        <v>38</v>
      </c>
      <c r="C7032" s="4" t="str">
        <f t="shared" si="574"/>
        <v>Phú Yên</v>
      </c>
      <c r="D7032" s="3" t="s">
        <v>469</v>
      </c>
      <c r="E7032" s="4" t="str">
        <f t="shared" si="575"/>
        <v>Huyện Tuy An</v>
      </c>
      <c r="F7032" s="3" t="s">
        <v>7792</v>
      </c>
      <c r="G7032" s="4" t="str">
        <f>HYPERLINK("https://diaocthongthai.com/xa-an-linh-tuy-an/","Xã An Lĩnh")</f>
        <v>Xã An Lĩnh</v>
      </c>
    </row>
    <row r="7033" spans="1:7" x14ac:dyDescent="0.25">
      <c r="A7033" s="2">
        <v>7032</v>
      </c>
      <c r="B7033" s="3" t="s">
        <v>38</v>
      </c>
      <c r="C7033" s="4" t="str">
        <f t="shared" si="574"/>
        <v>Phú Yên</v>
      </c>
      <c r="D7033" s="3" t="s">
        <v>469</v>
      </c>
      <c r="E7033" s="4" t="str">
        <f t="shared" si="575"/>
        <v>Huyện Tuy An</v>
      </c>
      <c r="F7033" s="3" t="s">
        <v>7793</v>
      </c>
      <c r="G7033" s="4" t="str">
        <f>HYPERLINK("https://diaocthongthai.com/xa-an-hoa-hai-tuy-an/","Xã An Hòa Hải")</f>
        <v>Xã An Hòa Hải</v>
      </c>
    </row>
    <row r="7034" spans="1:7" x14ac:dyDescent="0.25">
      <c r="A7034" s="2">
        <v>7033</v>
      </c>
      <c r="B7034" s="3" t="s">
        <v>38</v>
      </c>
      <c r="C7034" s="4" t="str">
        <f t="shared" si="574"/>
        <v>Phú Yên</v>
      </c>
      <c r="D7034" s="3" t="s">
        <v>469</v>
      </c>
      <c r="E7034" s="4" t="str">
        <f t="shared" si="575"/>
        <v>Huyện Tuy An</v>
      </c>
      <c r="F7034" s="3" t="s">
        <v>7794</v>
      </c>
      <c r="G7034" s="4" t="str">
        <f>HYPERLINK("https://diaocthongthai.com/xa-an-hiep-tuy-an/","Xã An Hiệp")</f>
        <v>Xã An Hiệp</v>
      </c>
    </row>
    <row r="7035" spans="1:7" x14ac:dyDescent="0.25">
      <c r="A7035" s="2">
        <v>7034</v>
      </c>
      <c r="B7035" s="3" t="s">
        <v>38</v>
      </c>
      <c r="C7035" s="4" t="str">
        <f t="shared" si="574"/>
        <v>Phú Yên</v>
      </c>
      <c r="D7035" s="3" t="s">
        <v>469</v>
      </c>
      <c r="E7035" s="4" t="str">
        <f t="shared" si="575"/>
        <v>Huyện Tuy An</v>
      </c>
      <c r="F7035" s="3" t="s">
        <v>7795</v>
      </c>
      <c r="G7035" s="4" t="str">
        <f>HYPERLINK("https://diaocthongthai.com/xa-an-my-tuy-an/","Xã An Mỹ")</f>
        <v>Xã An Mỹ</v>
      </c>
    </row>
    <row r="7036" spans="1:7" x14ac:dyDescent="0.25">
      <c r="A7036" s="2">
        <v>7035</v>
      </c>
      <c r="B7036" s="3" t="s">
        <v>38</v>
      </c>
      <c r="C7036" s="4" t="str">
        <f t="shared" si="574"/>
        <v>Phú Yên</v>
      </c>
      <c r="D7036" s="3" t="s">
        <v>469</v>
      </c>
      <c r="E7036" s="4" t="str">
        <f t="shared" si="575"/>
        <v>Huyện Tuy An</v>
      </c>
      <c r="F7036" s="3" t="s">
        <v>7796</v>
      </c>
      <c r="G7036" s="4" t="str">
        <f>HYPERLINK("https://diaocthongthai.com/xa-an-chan-tuy-an/","Xã An Chấn")</f>
        <v>Xã An Chấn</v>
      </c>
    </row>
    <row r="7037" spans="1:7" x14ac:dyDescent="0.25">
      <c r="A7037" s="2">
        <v>7036</v>
      </c>
      <c r="B7037" s="3" t="s">
        <v>38</v>
      </c>
      <c r="C7037" s="4" t="str">
        <f t="shared" si="574"/>
        <v>Phú Yên</v>
      </c>
      <c r="D7037" s="3" t="s">
        <v>469</v>
      </c>
      <c r="E7037" s="4" t="str">
        <f t="shared" si="575"/>
        <v>Huyện Tuy An</v>
      </c>
      <c r="F7037" s="3" t="s">
        <v>7797</v>
      </c>
      <c r="G7037" s="4" t="str">
        <f>HYPERLINK("https://diaocthongthai.com/xa-an-tho-tuy-an/","Xã An Thọ")</f>
        <v>Xã An Thọ</v>
      </c>
    </row>
    <row r="7038" spans="1:7" x14ac:dyDescent="0.25">
      <c r="A7038" s="2">
        <v>7037</v>
      </c>
      <c r="B7038" s="3" t="s">
        <v>38</v>
      </c>
      <c r="C7038" s="4" t="str">
        <f t="shared" si="574"/>
        <v>Phú Yên</v>
      </c>
      <c r="D7038" s="3" t="s">
        <v>470</v>
      </c>
      <c r="E7038" s="4" t="str">
        <f t="shared" ref="E7038:E7051" si="576">HYPERLINK("https://diaocthongthai.com/ban-do-huyen-son-hoa-phu-yen/","Huyện Sơn Hòa")</f>
        <v>Huyện Sơn Hòa</v>
      </c>
      <c r="F7038" s="3" t="s">
        <v>7798</v>
      </c>
      <c r="G7038" s="4" t="str">
        <f>HYPERLINK("https://diaocthongthai.com/thi-tran-cung-son-son-hoa/","Thị trấn Củng Sơn")</f>
        <v>Thị trấn Củng Sơn</v>
      </c>
    </row>
    <row r="7039" spans="1:7" x14ac:dyDescent="0.25">
      <c r="A7039" s="2">
        <v>7038</v>
      </c>
      <c r="B7039" s="3" t="s">
        <v>38</v>
      </c>
      <c r="C7039" s="4" t="str">
        <f t="shared" si="574"/>
        <v>Phú Yên</v>
      </c>
      <c r="D7039" s="3" t="s">
        <v>470</v>
      </c>
      <c r="E7039" s="4" t="str">
        <f t="shared" si="576"/>
        <v>Huyện Sơn Hòa</v>
      </c>
      <c r="F7039" s="3" t="s">
        <v>7799</v>
      </c>
      <c r="G7039" s="4" t="str">
        <f>HYPERLINK("https://diaocthongthai.com/xa-phuoc-tan-son-hoa/","Xã Phước Tân")</f>
        <v>Xã Phước Tân</v>
      </c>
    </row>
    <row r="7040" spans="1:7" x14ac:dyDescent="0.25">
      <c r="A7040" s="2">
        <v>7039</v>
      </c>
      <c r="B7040" s="3" t="s">
        <v>38</v>
      </c>
      <c r="C7040" s="4" t="str">
        <f t="shared" si="574"/>
        <v>Phú Yên</v>
      </c>
      <c r="D7040" s="3" t="s">
        <v>470</v>
      </c>
      <c r="E7040" s="4" t="str">
        <f t="shared" si="576"/>
        <v>Huyện Sơn Hòa</v>
      </c>
      <c r="F7040" s="3" t="s">
        <v>7800</v>
      </c>
      <c r="G7040" s="4" t="str">
        <f>HYPERLINK("https://diaocthongthai.com/xa-son-hoi-son-hoa/","Xã Sơn Hội")</f>
        <v>Xã Sơn Hội</v>
      </c>
    </row>
    <row r="7041" spans="1:7" x14ac:dyDescent="0.25">
      <c r="A7041" s="2">
        <v>7040</v>
      </c>
      <c r="B7041" s="3" t="s">
        <v>38</v>
      </c>
      <c r="C7041" s="4" t="str">
        <f t="shared" si="574"/>
        <v>Phú Yên</v>
      </c>
      <c r="D7041" s="3" t="s">
        <v>470</v>
      </c>
      <c r="E7041" s="4" t="str">
        <f t="shared" si="576"/>
        <v>Huyện Sơn Hòa</v>
      </c>
      <c r="F7041" s="3" t="s">
        <v>7801</v>
      </c>
      <c r="G7041" s="4" t="str">
        <f>HYPERLINK("https://diaocthongthai.com/xa-son-dinh-son-hoa/","Xã Sơn Định")</f>
        <v>Xã Sơn Định</v>
      </c>
    </row>
    <row r="7042" spans="1:7" x14ac:dyDescent="0.25">
      <c r="A7042" s="2">
        <v>7041</v>
      </c>
      <c r="B7042" s="3" t="s">
        <v>38</v>
      </c>
      <c r="C7042" s="4" t="str">
        <f t="shared" si="574"/>
        <v>Phú Yên</v>
      </c>
      <c r="D7042" s="3" t="s">
        <v>470</v>
      </c>
      <c r="E7042" s="4" t="str">
        <f t="shared" si="576"/>
        <v>Huyện Sơn Hòa</v>
      </c>
      <c r="F7042" s="3" t="s">
        <v>7802</v>
      </c>
      <c r="G7042" s="4" t="str">
        <f>HYPERLINK("https://diaocthongthai.com/xa-son-long-son-hoa/","Xã Sơn Long")</f>
        <v>Xã Sơn Long</v>
      </c>
    </row>
    <row r="7043" spans="1:7" x14ac:dyDescent="0.25">
      <c r="A7043" s="2">
        <v>7042</v>
      </c>
      <c r="B7043" s="3" t="s">
        <v>38</v>
      </c>
      <c r="C7043" s="4" t="str">
        <f t="shared" si="574"/>
        <v>Phú Yên</v>
      </c>
      <c r="D7043" s="3" t="s">
        <v>470</v>
      </c>
      <c r="E7043" s="4" t="str">
        <f t="shared" si="576"/>
        <v>Huyện Sơn Hòa</v>
      </c>
      <c r="F7043" s="3" t="s">
        <v>7803</v>
      </c>
      <c r="G7043" s="4" t="str">
        <f>HYPERLINK("https://diaocthongthai.com/xa-ca-lui-son-hoa/","Xã Cà Lúi")</f>
        <v>Xã Cà Lúi</v>
      </c>
    </row>
    <row r="7044" spans="1:7" x14ac:dyDescent="0.25">
      <c r="A7044" s="2">
        <v>7043</v>
      </c>
      <c r="B7044" s="3" t="s">
        <v>38</v>
      </c>
      <c r="C7044" s="4" t="str">
        <f t="shared" si="574"/>
        <v>Phú Yên</v>
      </c>
      <c r="D7044" s="3" t="s">
        <v>470</v>
      </c>
      <c r="E7044" s="4" t="str">
        <f t="shared" si="576"/>
        <v>Huyện Sơn Hòa</v>
      </c>
      <c r="F7044" s="3" t="s">
        <v>7804</v>
      </c>
      <c r="G7044" s="4" t="str">
        <f>HYPERLINK("https://diaocthongthai.com/xa-son-phuoc-son-hoa/","Xã Sơn Phước")</f>
        <v>Xã Sơn Phước</v>
      </c>
    </row>
    <row r="7045" spans="1:7" x14ac:dyDescent="0.25">
      <c r="A7045" s="2">
        <v>7044</v>
      </c>
      <c r="B7045" s="3" t="s">
        <v>38</v>
      </c>
      <c r="C7045" s="4" t="str">
        <f t="shared" si="574"/>
        <v>Phú Yên</v>
      </c>
      <c r="D7045" s="3" t="s">
        <v>470</v>
      </c>
      <c r="E7045" s="4" t="str">
        <f t="shared" si="576"/>
        <v>Huyện Sơn Hòa</v>
      </c>
      <c r="F7045" s="3" t="s">
        <v>7805</v>
      </c>
      <c r="G7045" s="4" t="str">
        <f>HYPERLINK("https://diaocthongthai.com/xa-son-xuan-son-hoa/","Xã Sơn Xuân")</f>
        <v>Xã Sơn Xuân</v>
      </c>
    </row>
    <row r="7046" spans="1:7" x14ac:dyDescent="0.25">
      <c r="A7046" s="2">
        <v>7045</v>
      </c>
      <c r="B7046" s="3" t="s">
        <v>38</v>
      </c>
      <c r="C7046" s="4" t="str">
        <f t="shared" si="574"/>
        <v>Phú Yên</v>
      </c>
      <c r="D7046" s="3" t="s">
        <v>470</v>
      </c>
      <c r="E7046" s="4" t="str">
        <f t="shared" si="576"/>
        <v>Huyện Sơn Hòa</v>
      </c>
      <c r="F7046" s="3" t="s">
        <v>7806</v>
      </c>
      <c r="G7046" s="4" t="str">
        <f>HYPERLINK("https://diaocthongthai.com/xa-son-nguyen-son-hoa/","Xã Sơn Nguyên")</f>
        <v>Xã Sơn Nguyên</v>
      </c>
    </row>
    <row r="7047" spans="1:7" x14ac:dyDescent="0.25">
      <c r="A7047" s="2">
        <v>7046</v>
      </c>
      <c r="B7047" s="3" t="s">
        <v>38</v>
      </c>
      <c r="C7047" s="4" t="str">
        <f t="shared" ref="C7047:C7078" si="577">HYPERLINK("https://diaocthongthai.com/ban-do-phu-yen/","Phú Yên")</f>
        <v>Phú Yên</v>
      </c>
      <c r="D7047" s="3" t="s">
        <v>470</v>
      </c>
      <c r="E7047" s="4" t="str">
        <f t="shared" si="576"/>
        <v>Huyện Sơn Hòa</v>
      </c>
      <c r="F7047" s="3" t="s">
        <v>7807</v>
      </c>
      <c r="G7047" s="4" t="str">
        <f>HYPERLINK("https://diaocthongthai.com/xa-ea-cha-rang-son-hoa/","Xã Eachà Rang")</f>
        <v>Xã Eachà Rang</v>
      </c>
    </row>
    <row r="7048" spans="1:7" x14ac:dyDescent="0.25">
      <c r="A7048" s="2">
        <v>7047</v>
      </c>
      <c r="B7048" s="3" t="s">
        <v>38</v>
      </c>
      <c r="C7048" s="4" t="str">
        <f t="shared" si="577"/>
        <v>Phú Yên</v>
      </c>
      <c r="D7048" s="3" t="s">
        <v>470</v>
      </c>
      <c r="E7048" s="4" t="str">
        <f t="shared" si="576"/>
        <v>Huyện Sơn Hòa</v>
      </c>
      <c r="F7048" s="3" t="s">
        <v>7808</v>
      </c>
      <c r="G7048" s="4" t="str">
        <f>HYPERLINK("https://diaocthongthai.com/xa-krong-pa-son-hoa/","Xã Krông Pa")</f>
        <v>Xã Krông Pa</v>
      </c>
    </row>
    <row r="7049" spans="1:7" x14ac:dyDescent="0.25">
      <c r="A7049" s="2">
        <v>7048</v>
      </c>
      <c r="B7049" s="3" t="s">
        <v>38</v>
      </c>
      <c r="C7049" s="4" t="str">
        <f t="shared" si="577"/>
        <v>Phú Yên</v>
      </c>
      <c r="D7049" s="3" t="s">
        <v>470</v>
      </c>
      <c r="E7049" s="4" t="str">
        <f t="shared" si="576"/>
        <v>Huyện Sơn Hòa</v>
      </c>
      <c r="F7049" s="3" t="s">
        <v>7809</v>
      </c>
      <c r="G7049" s="4" t="str">
        <f>HYPERLINK("https://diaocthongthai.com/xa-suoi-bac-son-hoa/","Xã Suối Bạc")</f>
        <v>Xã Suối Bạc</v>
      </c>
    </row>
    <row r="7050" spans="1:7" x14ac:dyDescent="0.25">
      <c r="A7050" s="2">
        <v>7049</v>
      </c>
      <c r="B7050" s="3" t="s">
        <v>38</v>
      </c>
      <c r="C7050" s="4" t="str">
        <f t="shared" si="577"/>
        <v>Phú Yên</v>
      </c>
      <c r="D7050" s="3" t="s">
        <v>470</v>
      </c>
      <c r="E7050" s="4" t="str">
        <f t="shared" si="576"/>
        <v>Huyện Sơn Hòa</v>
      </c>
      <c r="F7050" s="3" t="s">
        <v>7810</v>
      </c>
      <c r="G7050" s="4" t="str">
        <f>HYPERLINK("https://diaocthongthai.com/xa-son-ha-son-hoa/","Xã Sơn Hà")</f>
        <v>Xã Sơn Hà</v>
      </c>
    </row>
    <row r="7051" spans="1:7" x14ac:dyDescent="0.25">
      <c r="A7051" s="2">
        <v>7050</v>
      </c>
      <c r="B7051" s="3" t="s">
        <v>38</v>
      </c>
      <c r="C7051" s="4" t="str">
        <f t="shared" si="577"/>
        <v>Phú Yên</v>
      </c>
      <c r="D7051" s="3" t="s">
        <v>470</v>
      </c>
      <c r="E7051" s="4" t="str">
        <f t="shared" si="576"/>
        <v>Huyện Sơn Hòa</v>
      </c>
      <c r="F7051" s="3" t="s">
        <v>7811</v>
      </c>
      <c r="G7051" s="4" t="str">
        <f>HYPERLINK("https://diaocthongthai.com/xa-suoi-trai-son-hoa/","Xã Suối Trai")</f>
        <v>Xã Suối Trai</v>
      </c>
    </row>
    <row r="7052" spans="1:7" x14ac:dyDescent="0.25">
      <c r="A7052" s="2">
        <v>7051</v>
      </c>
      <c r="B7052" s="3" t="s">
        <v>38</v>
      </c>
      <c r="C7052" s="4" t="str">
        <f t="shared" si="577"/>
        <v>Phú Yên</v>
      </c>
      <c r="D7052" s="3" t="s">
        <v>471</v>
      </c>
      <c r="E7052" s="4" t="str">
        <f t="shared" ref="E7052:E7062" si="578">HYPERLINK("https://diaocthongthai.com/ban-do-huyen-song-hinh-phu-yen/","Huyện Sông Hinh")</f>
        <v>Huyện Sông Hinh</v>
      </c>
      <c r="F7052" s="3" t="s">
        <v>7812</v>
      </c>
      <c r="G7052" s="4" t="str">
        <f>HYPERLINK("https://diaocthongthai.com/thi-tran-hai-rieng-song-hinh/","Thị trấn Hai Riêng")</f>
        <v>Thị trấn Hai Riêng</v>
      </c>
    </row>
    <row r="7053" spans="1:7" x14ac:dyDescent="0.25">
      <c r="A7053" s="2">
        <v>7052</v>
      </c>
      <c r="B7053" s="3" t="s">
        <v>38</v>
      </c>
      <c r="C7053" s="4" t="str">
        <f t="shared" si="577"/>
        <v>Phú Yên</v>
      </c>
      <c r="D7053" s="3" t="s">
        <v>471</v>
      </c>
      <c r="E7053" s="4" t="str">
        <f t="shared" si="578"/>
        <v>Huyện Sông Hinh</v>
      </c>
      <c r="F7053" s="3" t="s">
        <v>7813</v>
      </c>
      <c r="G7053" s="4" t="str">
        <f>HYPERLINK("https://diaocthongthai.com/xa-ea-lam-song-hinh/","Xã Ea Lâm")</f>
        <v>Xã Ea Lâm</v>
      </c>
    </row>
    <row r="7054" spans="1:7" x14ac:dyDescent="0.25">
      <c r="A7054" s="2">
        <v>7053</v>
      </c>
      <c r="B7054" s="3" t="s">
        <v>38</v>
      </c>
      <c r="C7054" s="4" t="str">
        <f t="shared" si="577"/>
        <v>Phú Yên</v>
      </c>
      <c r="D7054" s="3" t="s">
        <v>471</v>
      </c>
      <c r="E7054" s="4" t="str">
        <f t="shared" si="578"/>
        <v>Huyện Sông Hinh</v>
      </c>
      <c r="F7054" s="3" t="s">
        <v>7814</v>
      </c>
      <c r="G7054" s="4" t="str">
        <f>HYPERLINK("https://diaocthongthai.com/xa-duc-binh-tay-song-hinh/","Xã Đức Bình Tây")</f>
        <v>Xã Đức Bình Tây</v>
      </c>
    </row>
    <row r="7055" spans="1:7" x14ac:dyDescent="0.25">
      <c r="A7055" s="2">
        <v>7054</v>
      </c>
      <c r="B7055" s="3" t="s">
        <v>38</v>
      </c>
      <c r="C7055" s="4" t="str">
        <f t="shared" si="577"/>
        <v>Phú Yên</v>
      </c>
      <c r="D7055" s="3" t="s">
        <v>471</v>
      </c>
      <c r="E7055" s="4" t="str">
        <f t="shared" si="578"/>
        <v>Huyện Sông Hinh</v>
      </c>
      <c r="F7055" s="3" t="s">
        <v>7815</v>
      </c>
      <c r="G7055" s="4" t="str">
        <f>HYPERLINK("https://diaocthongthai.com/xa-ea-ba-song-hinh/","Xã Ea Bá")</f>
        <v>Xã Ea Bá</v>
      </c>
    </row>
    <row r="7056" spans="1:7" x14ac:dyDescent="0.25">
      <c r="A7056" s="2">
        <v>7055</v>
      </c>
      <c r="B7056" s="3" t="s">
        <v>38</v>
      </c>
      <c r="C7056" s="4" t="str">
        <f t="shared" si="577"/>
        <v>Phú Yên</v>
      </c>
      <c r="D7056" s="3" t="s">
        <v>471</v>
      </c>
      <c r="E7056" s="4" t="str">
        <f t="shared" si="578"/>
        <v>Huyện Sông Hinh</v>
      </c>
      <c r="F7056" s="3" t="s">
        <v>7816</v>
      </c>
      <c r="G7056" s="4" t="str">
        <f>HYPERLINK("https://diaocthongthai.com/xa-son-giang-song-hinh/","Xã Sơn Giang")</f>
        <v>Xã Sơn Giang</v>
      </c>
    </row>
    <row r="7057" spans="1:7" x14ac:dyDescent="0.25">
      <c r="A7057" s="2">
        <v>7056</v>
      </c>
      <c r="B7057" s="3" t="s">
        <v>38</v>
      </c>
      <c r="C7057" s="4" t="str">
        <f t="shared" si="577"/>
        <v>Phú Yên</v>
      </c>
      <c r="D7057" s="3" t="s">
        <v>471</v>
      </c>
      <c r="E7057" s="4" t="str">
        <f t="shared" si="578"/>
        <v>Huyện Sông Hinh</v>
      </c>
      <c r="F7057" s="3" t="s">
        <v>7817</v>
      </c>
      <c r="G7057" s="4" t="str">
        <f>HYPERLINK("https://diaocthongthai.com/xa-duc-binh-dong-song-hinh/","Xã Đức Bình Đông")</f>
        <v>Xã Đức Bình Đông</v>
      </c>
    </row>
    <row r="7058" spans="1:7" x14ac:dyDescent="0.25">
      <c r="A7058" s="2">
        <v>7057</v>
      </c>
      <c r="B7058" s="3" t="s">
        <v>38</v>
      </c>
      <c r="C7058" s="4" t="str">
        <f t="shared" si="577"/>
        <v>Phú Yên</v>
      </c>
      <c r="D7058" s="3" t="s">
        <v>471</v>
      </c>
      <c r="E7058" s="4" t="str">
        <f t="shared" si="578"/>
        <v>Huyện Sông Hinh</v>
      </c>
      <c r="F7058" s="3" t="s">
        <v>7818</v>
      </c>
      <c r="G7058" s="4" t="str">
        <f>HYPERLINK("https://diaocthongthai.com/xa-ea-bar-song-hinh/","Xã EaBar")</f>
        <v>Xã EaBar</v>
      </c>
    </row>
    <row r="7059" spans="1:7" x14ac:dyDescent="0.25">
      <c r="A7059" s="2">
        <v>7058</v>
      </c>
      <c r="B7059" s="3" t="s">
        <v>38</v>
      </c>
      <c r="C7059" s="4" t="str">
        <f t="shared" si="577"/>
        <v>Phú Yên</v>
      </c>
      <c r="D7059" s="3" t="s">
        <v>471</v>
      </c>
      <c r="E7059" s="4" t="str">
        <f t="shared" si="578"/>
        <v>Huyện Sông Hinh</v>
      </c>
      <c r="F7059" s="3" t="s">
        <v>7819</v>
      </c>
      <c r="G7059" s="4" t="str">
        <f>HYPERLINK("https://diaocthongthai.com/xa-ea-bia-song-hinh/","Xã EaBia")</f>
        <v>Xã EaBia</v>
      </c>
    </row>
    <row r="7060" spans="1:7" x14ac:dyDescent="0.25">
      <c r="A7060" s="2">
        <v>7059</v>
      </c>
      <c r="B7060" s="3" t="s">
        <v>38</v>
      </c>
      <c r="C7060" s="4" t="str">
        <f t="shared" si="577"/>
        <v>Phú Yên</v>
      </c>
      <c r="D7060" s="3" t="s">
        <v>471</v>
      </c>
      <c r="E7060" s="4" t="str">
        <f t="shared" si="578"/>
        <v>Huyện Sông Hinh</v>
      </c>
      <c r="F7060" s="3" t="s">
        <v>7820</v>
      </c>
      <c r="G7060" s="4" t="str">
        <f>HYPERLINK("https://diaocthongthai.com/xa-ea-trol-song-hinh/","Xã EaTrol")</f>
        <v>Xã EaTrol</v>
      </c>
    </row>
    <row r="7061" spans="1:7" x14ac:dyDescent="0.25">
      <c r="A7061" s="2">
        <v>7060</v>
      </c>
      <c r="B7061" s="3" t="s">
        <v>38</v>
      </c>
      <c r="C7061" s="4" t="str">
        <f t="shared" si="577"/>
        <v>Phú Yên</v>
      </c>
      <c r="D7061" s="3" t="s">
        <v>471</v>
      </c>
      <c r="E7061" s="4" t="str">
        <f t="shared" si="578"/>
        <v>Huyện Sông Hinh</v>
      </c>
      <c r="F7061" s="3" t="s">
        <v>7821</v>
      </c>
      <c r="G7061" s="4" t="str">
        <f>HYPERLINK("https://diaocthongthai.com/xa-song-hinh-song-hinh/","Xã Sông Hinh")</f>
        <v>Xã Sông Hinh</v>
      </c>
    </row>
    <row r="7062" spans="1:7" x14ac:dyDescent="0.25">
      <c r="A7062" s="2">
        <v>7061</v>
      </c>
      <c r="B7062" s="3" t="s">
        <v>38</v>
      </c>
      <c r="C7062" s="4" t="str">
        <f t="shared" si="577"/>
        <v>Phú Yên</v>
      </c>
      <c r="D7062" s="3" t="s">
        <v>471</v>
      </c>
      <c r="E7062" s="4" t="str">
        <f t="shared" si="578"/>
        <v>Huyện Sông Hinh</v>
      </c>
      <c r="F7062" s="3" t="s">
        <v>7822</v>
      </c>
      <c r="G7062" s="4" t="str">
        <f>HYPERLINK("https://diaocthongthai.com/xa-ea-ly-song-hinh/","Xã Ealy")</f>
        <v>Xã Ealy</v>
      </c>
    </row>
    <row r="7063" spans="1:7" x14ac:dyDescent="0.25">
      <c r="A7063" s="2">
        <v>7062</v>
      </c>
      <c r="B7063" s="3" t="s">
        <v>38</v>
      </c>
      <c r="C7063" s="4" t="str">
        <f t="shared" si="577"/>
        <v>Phú Yên</v>
      </c>
      <c r="D7063" s="3" t="s">
        <v>472</v>
      </c>
      <c r="E7063" s="4" t="str">
        <f t="shared" ref="E7063:E7073" si="579">HYPERLINK("https://diaocthongthai.com/ban-do-huyen-tay-hoa-phu-yen/","Huyện Tây Hoà")</f>
        <v>Huyện Tây Hoà</v>
      </c>
      <c r="F7063" s="3" t="s">
        <v>7823</v>
      </c>
      <c r="G7063" s="4" t="str">
        <f>HYPERLINK("https://diaocthongthai.com/xa-son-thanh-tay-tay-hoa/","Xã Sơn Thành Tây")</f>
        <v>Xã Sơn Thành Tây</v>
      </c>
    </row>
    <row r="7064" spans="1:7" x14ac:dyDescent="0.25">
      <c r="A7064" s="2">
        <v>7063</v>
      </c>
      <c r="B7064" s="3" t="s">
        <v>38</v>
      </c>
      <c r="C7064" s="4" t="str">
        <f t="shared" si="577"/>
        <v>Phú Yên</v>
      </c>
      <c r="D7064" s="3" t="s">
        <v>472</v>
      </c>
      <c r="E7064" s="4" t="str">
        <f t="shared" si="579"/>
        <v>Huyện Tây Hoà</v>
      </c>
      <c r="F7064" s="3" t="s">
        <v>7824</v>
      </c>
      <c r="G7064" s="4" t="str">
        <f>HYPERLINK("https://diaocthongthai.com/xa-son-thanh-dong-tay-hoa/","Xã Sơn Thành Đông")</f>
        <v>Xã Sơn Thành Đông</v>
      </c>
    </row>
    <row r="7065" spans="1:7" x14ac:dyDescent="0.25">
      <c r="A7065" s="2">
        <v>7064</v>
      </c>
      <c r="B7065" s="3" t="s">
        <v>38</v>
      </c>
      <c r="C7065" s="4" t="str">
        <f t="shared" si="577"/>
        <v>Phú Yên</v>
      </c>
      <c r="D7065" s="3" t="s">
        <v>472</v>
      </c>
      <c r="E7065" s="4" t="str">
        <f t="shared" si="579"/>
        <v>Huyện Tây Hoà</v>
      </c>
      <c r="F7065" s="3" t="s">
        <v>7825</v>
      </c>
      <c r="G7065" s="4" t="str">
        <f>HYPERLINK("https://diaocthongthai.com/xa-hoa-binh-1-tay-hoa/","Xã Hòa Bình 1")</f>
        <v>Xã Hòa Bình 1</v>
      </c>
    </row>
    <row r="7066" spans="1:7" x14ac:dyDescent="0.25">
      <c r="A7066" s="2">
        <v>7065</v>
      </c>
      <c r="B7066" s="3" t="s">
        <v>38</v>
      </c>
      <c r="C7066" s="4" t="str">
        <f t="shared" si="577"/>
        <v>Phú Yên</v>
      </c>
      <c r="D7066" s="3" t="s">
        <v>472</v>
      </c>
      <c r="E7066" s="4" t="str">
        <f t="shared" si="579"/>
        <v>Huyện Tây Hoà</v>
      </c>
      <c r="F7066" s="3" t="s">
        <v>7826</v>
      </c>
      <c r="G7066" s="4" t="str">
        <f>HYPERLINK("https://diaocthongthai.com/thi-tran-phu-thu-tay-hoa/","Thị trấn Phú Thứ")</f>
        <v>Thị trấn Phú Thứ</v>
      </c>
    </row>
    <row r="7067" spans="1:7" x14ac:dyDescent="0.25">
      <c r="A7067" s="2">
        <v>7066</v>
      </c>
      <c r="B7067" s="3" t="s">
        <v>38</v>
      </c>
      <c r="C7067" s="4" t="str">
        <f t="shared" si="577"/>
        <v>Phú Yên</v>
      </c>
      <c r="D7067" s="3" t="s">
        <v>472</v>
      </c>
      <c r="E7067" s="4" t="str">
        <f t="shared" si="579"/>
        <v>Huyện Tây Hoà</v>
      </c>
      <c r="F7067" s="3" t="s">
        <v>7827</v>
      </c>
      <c r="G7067" s="4" t="str">
        <f>HYPERLINK("https://diaocthongthai.com/xa-hoa-phong-tay-hoa/","Xã Hòa Phong")</f>
        <v>Xã Hòa Phong</v>
      </c>
    </row>
    <row r="7068" spans="1:7" x14ac:dyDescent="0.25">
      <c r="A7068" s="2">
        <v>7067</v>
      </c>
      <c r="B7068" s="3" t="s">
        <v>38</v>
      </c>
      <c r="C7068" s="4" t="str">
        <f t="shared" si="577"/>
        <v>Phú Yên</v>
      </c>
      <c r="D7068" s="3" t="s">
        <v>472</v>
      </c>
      <c r="E7068" s="4" t="str">
        <f t="shared" si="579"/>
        <v>Huyện Tây Hoà</v>
      </c>
      <c r="F7068" s="3" t="s">
        <v>7828</v>
      </c>
      <c r="G7068" s="4" t="str">
        <f>HYPERLINK("https://diaocthongthai.com/xa-hoa-phu-tay-hoa/","Xã Hòa Phú")</f>
        <v>Xã Hòa Phú</v>
      </c>
    </row>
    <row r="7069" spans="1:7" x14ac:dyDescent="0.25">
      <c r="A7069" s="2">
        <v>7068</v>
      </c>
      <c r="B7069" s="3" t="s">
        <v>38</v>
      </c>
      <c r="C7069" s="4" t="str">
        <f t="shared" si="577"/>
        <v>Phú Yên</v>
      </c>
      <c r="D7069" s="3" t="s">
        <v>472</v>
      </c>
      <c r="E7069" s="4" t="str">
        <f t="shared" si="579"/>
        <v>Huyện Tây Hoà</v>
      </c>
      <c r="F7069" s="3" t="s">
        <v>7829</v>
      </c>
      <c r="G7069" s="4" t="str">
        <f>HYPERLINK("https://diaocthongthai.com/xa-hoa-tan-tay-tay-hoa/","Xã Hòa Tân Tây")</f>
        <v>Xã Hòa Tân Tây</v>
      </c>
    </row>
    <row r="7070" spans="1:7" x14ac:dyDescent="0.25">
      <c r="A7070" s="2">
        <v>7069</v>
      </c>
      <c r="B7070" s="3" t="s">
        <v>38</v>
      </c>
      <c r="C7070" s="4" t="str">
        <f t="shared" si="577"/>
        <v>Phú Yên</v>
      </c>
      <c r="D7070" s="3" t="s">
        <v>472</v>
      </c>
      <c r="E7070" s="4" t="str">
        <f t="shared" si="579"/>
        <v>Huyện Tây Hoà</v>
      </c>
      <c r="F7070" s="3" t="s">
        <v>7830</v>
      </c>
      <c r="G7070" s="4" t="str">
        <f>HYPERLINK("https://diaocthongthai.com/xa-hoa-dong-tay-hoa/","Xã Hòa Đồng")</f>
        <v>Xã Hòa Đồng</v>
      </c>
    </row>
    <row r="7071" spans="1:7" x14ac:dyDescent="0.25">
      <c r="A7071" s="2">
        <v>7070</v>
      </c>
      <c r="B7071" s="3" t="s">
        <v>38</v>
      </c>
      <c r="C7071" s="4" t="str">
        <f t="shared" si="577"/>
        <v>Phú Yên</v>
      </c>
      <c r="D7071" s="3" t="s">
        <v>472</v>
      </c>
      <c r="E7071" s="4" t="str">
        <f t="shared" si="579"/>
        <v>Huyện Tây Hoà</v>
      </c>
      <c r="F7071" s="3" t="s">
        <v>7831</v>
      </c>
      <c r="G7071" s="4" t="str">
        <f>HYPERLINK("https://diaocthongthai.com/xa-hoa-my-dong-tay-hoa/","Xã Hòa Mỹ Đông")</f>
        <v>Xã Hòa Mỹ Đông</v>
      </c>
    </row>
    <row r="7072" spans="1:7" x14ac:dyDescent="0.25">
      <c r="A7072" s="2">
        <v>7071</v>
      </c>
      <c r="B7072" s="3" t="s">
        <v>38</v>
      </c>
      <c r="C7072" s="4" t="str">
        <f t="shared" si="577"/>
        <v>Phú Yên</v>
      </c>
      <c r="D7072" s="3" t="s">
        <v>472</v>
      </c>
      <c r="E7072" s="4" t="str">
        <f t="shared" si="579"/>
        <v>Huyện Tây Hoà</v>
      </c>
      <c r="F7072" s="3" t="s">
        <v>7832</v>
      </c>
      <c r="G7072" s="4" t="str">
        <f>HYPERLINK("https://diaocthongthai.com/xa-hoa-my-tay-tay-hoa/","Xã Hòa Mỹ Tây")</f>
        <v>Xã Hòa Mỹ Tây</v>
      </c>
    </row>
    <row r="7073" spans="1:7" x14ac:dyDescent="0.25">
      <c r="A7073" s="2">
        <v>7072</v>
      </c>
      <c r="B7073" s="3" t="s">
        <v>38</v>
      </c>
      <c r="C7073" s="4" t="str">
        <f t="shared" si="577"/>
        <v>Phú Yên</v>
      </c>
      <c r="D7073" s="3" t="s">
        <v>472</v>
      </c>
      <c r="E7073" s="4" t="str">
        <f t="shared" si="579"/>
        <v>Huyện Tây Hoà</v>
      </c>
      <c r="F7073" s="3" t="s">
        <v>7833</v>
      </c>
      <c r="G7073" s="4" t="str">
        <f>HYPERLINK("https://diaocthongthai.com/xa-hoa-thinh-tay-hoa/","Xã Hòa Thịnh")</f>
        <v>Xã Hòa Thịnh</v>
      </c>
    </row>
    <row r="7074" spans="1:7" x14ac:dyDescent="0.25">
      <c r="A7074" s="2">
        <v>7073</v>
      </c>
      <c r="B7074" s="3" t="s">
        <v>38</v>
      </c>
      <c r="C7074" s="4" t="str">
        <f t="shared" si="577"/>
        <v>Phú Yên</v>
      </c>
      <c r="D7074" s="3" t="s">
        <v>473</v>
      </c>
      <c r="E7074" s="4" t="str">
        <f t="shared" ref="E7074:E7082" si="580">HYPERLINK("https://diaocthongthai.com/ban-do-huyen-phu-hoa-phu-yen/","Huyện Phú Hoà")</f>
        <v>Huyện Phú Hoà</v>
      </c>
      <c r="F7074" s="3" t="s">
        <v>7834</v>
      </c>
      <c r="G7074" s="4" t="str">
        <f>HYPERLINK("https://diaocthongthai.com/xa-hoa-quang-bac-phu-hoa/","Xã Hòa Quang Bắc")</f>
        <v>Xã Hòa Quang Bắc</v>
      </c>
    </row>
    <row r="7075" spans="1:7" x14ac:dyDescent="0.25">
      <c r="A7075" s="2">
        <v>7074</v>
      </c>
      <c r="B7075" s="3" t="s">
        <v>38</v>
      </c>
      <c r="C7075" s="4" t="str">
        <f t="shared" si="577"/>
        <v>Phú Yên</v>
      </c>
      <c r="D7075" s="3" t="s">
        <v>473</v>
      </c>
      <c r="E7075" s="4" t="str">
        <f t="shared" si="580"/>
        <v>Huyện Phú Hoà</v>
      </c>
      <c r="F7075" s="3" t="s">
        <v>7835</v>
      </c>
      <c r="G7075" s="4" t="str">
        <f>HYPERLINK("https://diaocthongthai.com/xa-hoa-quang-nam-phu-hoa/","Xã Hòa Quang Nam")</f>
        <v>Xã Hòa Quang Nam</v>
      </c>
    </row>
    <row r="7076" spans="1:7" x14ac:dyDescent="0.25">
      <c r="A7076" s="2">
        <v>7075</v>
      </c>
      <c r="B7076" s="3" t="s">
        <v>38</v>
      </c>
      <c r="C7076" s="4" t="str">
        <f t="shared" si="577"/>
        <v>Phú Yên</v>
      </c>
      <c r="D7076" s="3" t="s">
        <v>473</v>
      </c>
      <c r="E7076" s="4" t="str">
        <f t="shared" si="580"/>
        <v>Huyện Phú Hoà</v>
      </c>
      <c r="F7076" s="3" t="s">
        <v>7836</v>
      </c>
      <c r="G7076" s="4" t="str">
        <f>HYPERLINK("https://diaocthongthai.com/xa-hoa-hoi-phu-hoa/","Xã Hòa Hội")</f>
        <v>Xã Hòa Hội</v>
      </c>
    </row>
    <row r="7077" spans="1:7" x14ac:dyDescent="0.25">
      <c r="A7077" s="2">
        <v>7076</v>
      </c>
      <c r="B7077" s="3" t="s">
        <v>38</v>
      </c>
      <c r="C7077" s="4" t="str">
        <f t="shared" si="577"/>
        <v>Phú Yên</v>
      </c>
      <c r="D7077" s="3" t="s">
        <v>473</v>
      </c>
      <c r="E7077" s="4" t="str">
        <f t="shared" si="580"/>
        <v>Huyện Phú Hoà</v>
      </c>
      <c r="F7077" s="3" t="s">
        <v>7837</v>
      </c>
      <c r="G7077" s="4" t="str">
        <f>HYPERLINK("https://diaocthongthai.com/xa-hoa-tri-phu-hoa/","Xã Hòa Trị")</f>
        <v>Xã Hòa Trị</v>
      </c>
    </row>
    <row r="7078" spans="1:7" x14ac:dyDescent="0.25">
      <c r="A7078" s="2">
        <v>7077</v>
      </c>
      <c r="B7078" s="3" t="s">
        <v>38</v>
      </c>
      <c r="C7078" s="4" t="str">
        <f t="shared" si="577"/>
        <v>Phú Yên</v>
      </c>
      <c r="D7078" s="3" t="s">
        <v>473</v>
      </c>
      <c r="E7078" s="4" t="str">
        <f t="shared" si="580"/>
        <v>Huyện Phú Hoà</v>
      </c>
      <c r="F7078" s="3" t="s">
        <v>7838</v>
      </c>
      <c r="G7078" s="4" t="str">
        <f>HYPERLINK("https://diaocthongthai.com/xa-hoa-an-phu-hoa/","Xã Hòa An")</f>
        <v>Xã Hòa An</v>
      </c>
    </row>
    <row r="7079" spans="1:7" x14ac:dyDescent="0.25">
      <c r="A7079" s="2">
        <v>7078</v>
      </c>
      <c r="B7079" s="3" t="s">
        <v>38</v>
      </c>
      <c r="C7079" s="4" t="str">
        <f t="shared" ref="C7079:C7092" si="581">HYPERLINK("https://diaocthongthai.com/ban-do-phu-yen/","Phú Yên")</f>
        <v>Phú Yên</v>
      </c>
      <c r="D7079" s="3" t="s">
        <v>473</v>
      </c>
      <c r="E7079" s="4" t="str">
        <f t="shared" si="580"/>
        <v>Huyện Phú Hoà</v>
      </c>
      <c r="F7079" s="3" t="s">
        <v>7839</v>
      </c>
      <c r="G7079" s="4" t="str">
        <f>HYPERLINK("https://diaocthongthai.com/xa-hoa-dinh-dong-phu-hoa/","Xã Hòa Định Đông")</f>
        <v>Xã Hòa Định Đông</v>
      </c>
    </row>
    <row r="7080" spans="1:7" x14ac:dyDescent="0.25">
      <c r="A7080" s="2">
        <v>7079</v>
      </c>
      <c r="B7080" s="3" t="s">
        <v>38</v>
      </c>
      <c r="C7080" s="4" t="str">
        <f t="shared" si="581"/>
        <v>Phú Yên</v>
      </c>
      <c r="D7080" s="3" t="s">
        <v>473</v>
      </c>
      <c r="E7080" s="4" t="str">
        <f t="shared" si="580"/>
        <v>Huyện Phú Hoà</v>
      </c>
      <c r="F7080" s="3" t="s">
        <v>7840</v>
      </c>
      <c r="G7080" s="4" t="str">
        <f>HYPERLINK("https://diaocthongthai.com/thi-tran-phu-hoa-phu-hoa/","Thị Trấn Phú Hoà")</f>
        <v>Thị Trấn Phú Hoà</v>
      </c>
    </row>
    <row r="7081" spans="1:7" x14ac:dyDescent="0.25">
      <c r="A7081" s="2">
        <v>7080</v>
      </c>
      <c r="B7081" s="3" t="s">
        <v>38</v>
      </c>
      <c r="C7081" s="4" t="str">
        <f t="shared" si="581"/>
        <v>Phú Yên</v>
      </c>
      <c r="D7081" s="3" t="s">
        <v>473</v>
      </c>
      <c r="E7081" s="4" t="str">
        <f t="shared" si="580"/>
        <v>Huyện Phú Hoà</v>
      </c>
      <c r="F7081" s="3" t="s">
        <v>7841</v>
      </c>
      <c r="G7081" s="4" t="str">
        <f>HYPERLINK("https://diaocthongthai.com/xa-hoa-dinh-tay-phu-hoa/","Xã Hòa Định Tây")</f>
        <v>Xã Hòa Định Tây</v>
      </c>
    </row>
    <row r="7082" spans="1:7" x14ac:dyDescent="0.25">
      <c r="A7082" s="2">
        <v>7081</v>
      </c>
      <c r="B7082" s="3" t="s">
        <v>38</v>
      </c>
      <c r="C7082" s="4" t="str">
        <f t="shared" si="581"/>
        <v>Phú Yên</v>
      </c>
      <c r="D7082" s="3" t="s">
        <v>473</v>
      </c>
      <c r="E7082" s="4" t="str">
        <f t="shared" si="580"/>
        <v>Huyện Phú Hoà</v>
      </c>
      <c r="F7082" s="3" t="s">
        <v>7842</v>
      </c>
      <c r="G7082" s="4" t="str">
        <f>HYPERLINK("https://diaocthongthai.com/xa-hoa-thang-phu-hoa/","Xã Hòa Thắng")</f>
        <v>Xã Hòa Thắng</v>
      </c>
    </row>
    <row r="7083" spans="1:7" x14ac:dyDescent="0.25">
      <c r="A7083" s="2">
        <v>7082</v>
      </c>
      <c r="B7083" s="3" t="s">
        <v>38</v>
      </c>
      <c r="C7083" s="4" t="str">
        <f t="shared" si="581"/>
        <v>Phú Yên</v>
      </c>
      <c r="D7083" s="3" t="s">
        <v>474</v>
      </c>
      <c r="E7083" s="4" t="str">
        <f t="shared" ref="E7083:E7092" si="582">HYPERLINK("https://diaocthongthai.com/ban-do-huyen-dong-hoa-phu-yen/","Thị xã Đông Hòa")</f>
        <v>Thị xã Đông Hòa</v>
      </c>
      <c r="F7083" s="3" t="s">
        <v>7843</v>
      </c>
      <c r="G7083" s="4" t="str">
        <f>HYPERLINK("https://diaocthongthai.com/xa-hoa-thanh-1-dong-hoa/","Xã Hòa Thành")</f>
        <v>Xã Hòa Thành</v>
      </c>
    </row>
    <row r="7084" spans="1:7" x14ac:dyDescent="0.25">
      <c r="A7084" s="2">
        <v>7083</v>
      </c>
      <c r="B7084" s="3" t="s">
        <v>38</v>
      </c>
      <c r="C7084" s="4" t="str">
        <f t="shared" si="581"/>
        <v>Phú Yên</v>
      </c>
      <c r="D7084" s="3" t="s">
        <v>474</v>
      </c>
      <c r="E7084" s="4" t="str">
        <f t="shared" si="582"/>
        <v>Thị xã Đông Hòa</v>
      </c>
      <c r="F7084" s="3" t="s">
        <v>7844</v>
      </c>
      <c r="G7084" s="4" t="str">
        <f>HYPERLINK("https://diaocthongthai.com/phuong-hoa-hiep-bac-dong-hoa/","Phường Hòa Hiệp Bắc")</f>
        <v>Phường Hòa Hiệp Bắc</v>
      </c>
    </row>
    <row r="7085" spans="1:7" x14ac:dyDescent="0.25">
      <c r="A7085" s="2">
        <v>7084</v>
      </c>
      <c r="B7085" s="3" t="s">
        <v>38</v>
      </c>
      <c r="C7085" s="4" t="str">
        <f t="shared" si="581"/>
        <v>Phú Yên</v>
      </c>
      <c r="D7085" s="3" t="s">
        <v>474</v>
      </c>
      <c r="E7085" s="4" t="str">
        <f t="shared" si="582"/>
        <v>Thị xã Đông Hòa</v>
      </c>
      <c r="F7085" s="3" t="s">
        <v>7845</v>
      </c>
      <c r="G7085" s="4" t="str">
        <f>HYPERLINK("https://diaocthongthai.com/phuong-hoa-vinh-dong-hoa/","Phường Hoà Vinh")</f>
        <v>Phường Hoà Vinh</v>
      </c>
    </row>
    <row r="7086" spans="1:7" x14ac:dyDescent="0.25">
      <c r="A7086" s="2">
        <v>7085</v>
      </c>
      <c r="B7086" s="3" t="s">
        <v>38</v>
      </c>
      <c r="C7086" s="4" t="str">
        <f t="shared" si="581"/>
        <v>Phú Yên</v>
      </c>
      <c r="D7086" s="3" t="s">
        <v>474</v>
      </c>
      <c r="E7086" s="4" t="str">
        <f t="shared" si="582"/>
        <v>Thị xã Đông Hòa</v>
      </c>
      <c r="F7086" s="3" t="s">
        <v>7846</v>
      </c>
      <c r="G7086" s="4" t="str">
        <f>HYPERLINK("https://diaocthongthai.com/phuong-hoa-hiep-trung-dong-hoa/","Phường Hoà Hiệp Trung")</f>
        <v>Phường Hoà Hiệp Trung</v>
      </c>
    </row>
    <row r="7087" spans="1:7" x14ac:dyDescent="0.25">
      <c r="A7087" s="2">
        <v>7086</v>
      </c>
      <c r="B7087" s="3" t="s">
        <v>38</v>
      </c>
      <c r="C7087" s="4" t="str">
        <f t="shared" si="581"/>
        <v>Phú Yên</v>
      </c>
      <c r="D7087" s="3" t="s">
        <v>474</v>
      </c>
      <c r="E7087" s="4" t="str">
        <f t="shared" si="582"/>
        <v>Thị xã Đông Hòa</v>
      </c>
      <c r="F7087" s="3" t="s">
        <v>7847</v>
      </c>
      <c r="G7087" s="4" t="str">
        <f>HYPERLINK("https://diaocthongthai.com/xa-hoa-tan-dong-1-dong-hoa/","Xã Hòa Tân Đông")</f>
        <v>Xã Hòa Tân Đông</v>
      </c>
    </row>
    <row r="7088" spans="1:7" x14ac:dyDescent="0.25">
      <c r="A7088" s="2">
        <v>7087</v>
      </c>
      <c r="B7088" s="3" t="s">
        <v>38</v>
      </c>
      <c r="C7088" s="4" t="str">
        <f t="shared" si="581"/>
        <v>Phú Yên</v>
      </c>
      <c r="D7088" s="3" t="s">
        <v>474</v>
      </c>
      <c r="E7088" s="4" t="str">
        <f t="shared" si="582"/>
        <v>Thị xã Đông Hòa</v>
      </c>
      <c r="F7088" s="3" t="s">
        <v>7848</v>
      </c>
      <c r="G7088" s="4" t="str">
        <f>HYPERLINK("https://diaocthongthai.com/phuong-hoa-xuan-tay-dong-hoa/","Phường Hòa Xuân Tây")</f>
        <v>Phường Hòa Xuân Tây</v>
      </c>
    </row>
    <row r="7089" spans="1:7" x14ac:dyDescent="0.25">
      <c r="A7089" s="2">
        <v>7088</v>
      </c>
      <c r="B7089" s="3" t="s">
        <v>38</v>
      </c>
      <c r="C7089" s="4" t="str">
        <f t="shared" si="581"/>
        <v>Phú Yên</v>
      </c>
      <c r="D7089" s="3" t="s">
        <v>474</v>
      </c>
      <c r="E7089" s="4" t="str">
        <f t="shared" si="582"/>
        <v>Thị xã Đông Hòa</v>
      </c>
      <c r="F7089" s="3" t="s">
        <v>7849</v>
      </c>
      <c r="G7089" s="4" t="str">
        <f>HYPERLINK("https://diaocthongthai.com/phuong-hoa-hiep-nam-dong-hoa/","Phường Hòa Hiệp Nam")</f>
        <v>Phường Hòa Hiệp Nam</v>
      </c>
    </row>
    <row r="7090" spans="1:7" x14ac:dyDescent="0.25">
      <c r="A7090" s="2">
        <v>7089</v>
      </c>
      <c r="B7090" s="3" t="s">
        <v>38</v>
      </c>
      <c r="C7090" s="4" t="str">
        <f t="shared" si="581"/>
        <v>Phú Yên</v>
      </c>
      <c r="D7090" s="3" t="s">
        <v>474</v>
      </c>
      <c r="E7090" s="4" t="str">
        <f t="shared" si="582"/>
        <v>Thị xã Đông Hòa</v>
      </c>
      <c r="F7090" s="3" t="s">
        <v>7850</v>
      </c>
      <c r="G7090" s="4" t="str">
        <f>HYPERLINK("https://diaocthongthai.com/xa-hoa-xuan-dong-1-dong-hoa/","Xã Hòa Xuân Đông")</f>
        <v>Xã Hòa Xuân Đông</v>
      </c>
    </row>
    <row r="7091" spans="1:7" x14ac:dyDescent="0.25">
      <c r="A7091" s="2">
        <v>7090</v>
      </c>
      <c r="B7091" s="3" t="s">
        <v>38</v>
      </c>
      <c r="C7091" s="4" t="str">
        <f t="shared" si="581"/>
        <v>Phú Yên</v>
      </c>
      <c r="D7091" s="3" t="s">
        <v>474</v>
      </c>
      <c r="E7091" s="4" t="str">
        <f t="shared" si="582"/>
        <v>Thị xã Đông Hòa</v>
      </c>
      <c r="F7091" s="3" t="s">
        <v>7851</v>
      </c>
      <c r="G7091" s="4" t="str">
        <f>HYPERLINK("https://diaocthongthai.com/xa-hoa-tam-1-dong-hoa/","Xã Hòa Tâm")</f>
        <v>Xã Hòa Tâm</v>
      </c>
    </row>
    <row r="7092" spans="1:7" x14ac:dyDescent="0.25">
      <c r="A7092" s="2">
        <v>7091</v>
      </c>
      <c r="B7092" s="3" t="s">
        <v>38</v>
      </c>
      <c r="C7092" s="4" t="str">
        <f t="shared" si="581"/>
        <v>Phú Yên</v>
      </c>
      <c r="D7092" s="3" t="s">
        <v>474</v>
      </c>
      <c r="E7092" s="4" t="str">
        <f t="shared" si="582"/>
        <v>Thị xã Đông Hòa</v>
      </c>
      <c r="F7092" s="3" t="s">
        <v>7852</v>
      </c>
      <c r="G7092" s="4" t="str">
        <f>HYPERLINK("https://diaocthongthai.com/xa-hoa-xuan-nam-1-dong-hoa/","Xã Hòa Xuân Nam")</f>
        <v>Xã Hòa Xuân Nam</v>
      </c>
    </row>
    <row r="7093" spans="1:7" x14ac:dyDescent="0.25">
      <c r="A7093" s="2">
        <v>7092</v>
      </c>
      <c r="B7093" s="3" t="s">
        <v>39</v>
      </c>
      <c r="C7093" s="4" t="str">
        <f t="shared" ref="C7093:C7124" si="583">HYPERLINK("https://diaocthongthai.com/ban-do-khanh-hoa/","Khánh Hòa")</f>
        <v>Khánh Hòa</v>
      </c>
      <c r="D7093" s="3" t="s">
        <v>475</v>
      </c>
      <c r="E7093" s="4" t="str">
        <f t="shared" ref="E7093:E7119" si="584">HYPERLINK("https://diaocthongthai.com/ban-do-tp-nha-trang-khanh-hoa/","Thành phố Nha Trang")</f>
        <v>Thành phố Nha Trang</v>
      </c>
      <c r="F7093" s="3" t="s">
        <v>7853</v>
      </c>
      <c r="G7093" s="4" t="str">
        <f>HYPERLINK("https://diaocthongthai.com/phuong-vinh-hoa-tp-nha-trang/","Phường Vĩnh Hòa")</f>
        <v>Phường Vĩnh Hòa</v>
      </c>
    </row>
    <row r="7094" spans="1:7" x14ac:dyDescent="0.25">
      <c r="A7094" s="2">
        <v>7093</v>
      </c>
      <c r="B7094" s="3" t="s">
        <v>39</v>
      </c>
      <c r="C7094" s="4" t="str">
        <f t="shared" si="583"/>
        <v>Khánh Hòa</v>
      </c>
      <c r="D7094" s="3" t="s">
        <v>475</v>
      </c>
      <c r="E7094" s="4" t="str">
        <f t="shared" si="584"/>
        <v>Thành phố Nha Trang</v>
      </c>
      <c r="F7094" s="3" t="s">
        <v>7854</v>
      </c>
      <c r="G7094" s="4" t="str">
        <f>HYPERLINK("https://diaocthongthai.com/phuong-vinh-hai-tp-nha-trang/","Phường Vĩnh Hải")</f>
        <v>Phường Vĩnh Hải</v>
      </c>
    </row>
    <row r="7095" spans="1:7" x14ac:dyDescent="0.25">
      <c r="A7095" s="2">
        <v>7094</v>
      </c>
      <c r="B7095" s="3" t="s">
        <v>39</v>
      </c>
      <c r="C7095" s="4" t="str">
        <f t="shared" si="583"/>
        <v>Khánh Hòa</v>
      </c>
      <c r="D7095" s="3" t="s">
        <v>475</v>
      </c>
      <c r="E7095" s="4" t="str">
        <f t="shared" si="584"/>
        <v>Thành phố Nha Trang</v>
      </c>
      <c r="F7095" s="3" t="s">
        <v>7855</v>
      </c>
      <c r="G7095" s="4" t="str">
        <f>HYPERLINK("https://diaocthongthai.com/phuong-vinh-phuoc-tp-nha-trang/","Phường Vĩnh Phước")</f>
        <v>Phường Vĩnh Phước</v>
      </c>
    </row>
    <row r="7096" spans="1:7" x14ac:dyDescent="0.25">
      <c r="A7096" s="2">
        <v>7095</v>
      </c>
      <c r="B7096" s="3" t="s">
        <v>39</v>
      </c>
      <c r="C7096" s="4" t="str">
        <f t="shared" si="583"/>
        <v>Khánh Hòa</v>
      </c>
      <c r="D7096" s="3" t="s">
        <v>475</v>
      </c>
      <c r="E7096" s="4" t="str">
        <f t="shared" si="584"/>
        <v>Thành phố Nha Trang</v>
      </c>
      <c r="F7096" s="3" t="s">
        <v>7856</v>
      </c>
      <c r="G7096" s="4" t="str">
        <f>HYPERLINK("https://diaocthongthai.com/phuong-ngoc-hiep-tp-nha-trang/","Phường Ngọc Hiệp")</f>
        <v>Phường Ngọc Hiệp</v>
      </c>
    </row>
    <row r="7097" spans="1:7" x14ac:dyDescent="0.25">
      <c r="A7097" s="2">
        <v>7096</v>
      </c>
      <c r="B7097" s="3" t="s">
        <v>39</v>
      </c>
      <c r="C7097" s="4" t="str">
        <f t="shared" si="583"/>
        <v>Khánh Hòa</v>
      </c>
      <c r="D7097" s="3" t="s">
        <v>475</v>
      </c>
      <c r="E7097" s="4" t="str">
        <f t="shared" si="584"/>
        <v>Thành phố Nha Trang</v>
      </c>
      <c r="F7097" s="3" t="s">
        <v>7857</v>
      </c>
      <c r="G7097" s="4" t="str">
        <f>HYPERLINK("https://diaocthongthai.com/phuong-vinh-tho-tp-nha-trang/","Phường Vĩnh Thọ")</f>
        <v>Phường Vĩnh Thọ</v>
      </c>
    </row>
    <row r="7098" spans="1:7" x14ac:dyDescent="0.25">
      <c r="A7098" s="2">
        <v>7097</v>
      </c>
      <c r="B7098" s="3" t="s">
        <v>39</v>
      </c>
      <c r="C7098" s="4" t="str">
        <f t="shared" si="583"/>
        <v>Khánh Hòa</v>
      </c>
      <c r="D7098" s="3" t="s">
        <v>475</v>
      </c>
      <c r="E7098" s="4" t="str">
        <f t="shared" si="584"/>
        <v>Thành phố Nha Trang</v>
      </c>
      <c r="F7098" s="3" t="s">
        <v>7858</v>
      </c>
      <c r="G7098" s="4" t="str">
        <f>HYPERLINK("https://diaocthongthai.com/phuong-xuong-huan-tp-nha-trang/","Phường Xương Huân")</f>
        <v>Phường Xương Huân</v>
      </c>
    </row>
    <row r="7099" spans="1:7" x14ac:dyDescent="0.25">
      <c r="A7099" s="2">
        <v>7098</v>
      </c>
      <c r="B7099" s="3" t="s">
        <v>39</v>
      </c>
      <c r="C7099" s="4" t="str">
        <f t="shared" si="583"/>
        <v>Khánh Hòa</v>
      </c>
      <c r="D7099" s="3" t="s">
        <v>475</v>
      </c>
      <c r="E7099" s="4" t="str">
        <f t="shared" si="584"/>
        <v>Thành phố Nha Trang</v>
      </c>
      <c r="F7099" s="3" t="s">
        <v>7859</v>
      </c>
      <c r="G7099" s="4" t="str">
        <f>HYPERLINK("https://diaocthongthai.com/phuong-van-thang-tp-nha-trang/","Phường Vạn Thắng")</f>
        <v>Phường Vạn Thắng</v>
      </c>
    </row>
    <row r="7100" spans="1:7" x14ac:dyDescent="0.25">
      <c r="A7100" s="2">
        <v>7099</v>
      </c>
      <c r="B7100" s="3" t="s">
        <v>39</v>
      </c>
      <c r="C7100" s="4" t="str">
        <f t="shared" si="583"/>
        <v>Khánh Hòa</v>
      </c>
      <c r="D7100" s="3" t="s">
        <v>475</v>
      </c>
      <c r="E7100" s="4" t="str">
        <f t="shared" si="584"/>
        <v>Thành phố Nha Trang</v>
      </c>
      <c r="F7100" s="3" t="s">
        <v>7860</v>
      </c>
      <c r="G7100" s="4" t="str">
        <f>HYPERLINK("https://diaocthongthai.com/phuong-van-thanh-tp-nha-trang/","Phường Vạn Thạnh")</f>
        <v>Phường Vạn Thạnh</v>
      </c>
    </row>
    <row r="7101" spans="1:7" x14ac:dyDescent="0.25">
      <c r="A7101" s="2">
        <v>7100</v>
      </c>
      <c r="B7101" s="3" t="s">
        <v>39</v>
      </c>
      <c r="C7101" s="4" t="str">
        <f t="shared" si="583"/>
        <v>Khánh Hòa</v>
      </c>
      <c r="D7101" s="3" t="s">
        <v>475</v>
      </c>
      <c r="E7101" s="4" t="str">
        <f t="shared" si="584"/>
        <v>Thành phố Nha Trang</v>
      </c>
      <c r="F7101" s="3" t="s">
        <v>7861</v>
      </c>
      <c r="G7101" s="4" t="str">
        <f>HYPERLINK("https://diaocthongthai.com/phuong-phuong-sai-tp-nha-trang/","Phường Phương Sài")</f>
        <v>Phường Phương Sài</v>
      </c>
    </row>
    <row r="7102" spans="1:7" x14ac:dyDescent="0.25">
      <c r="A7102" s="2">
        <v>7101</v>
      </c>
      <c r="B7102" s="3" t="s">
        <v>39</v>
      </c>
      <c r="C7102" s="4" t="str">
        <f t="shared" si="583"/>
        <v>Khánh Hòa</v>
      </c>
      <c r="D7102" s="3" t="s">
        <v>475</v>
      </c>
      <c r="E7102" s="4" t="str">
        <f t="shared" si="584"/>
        <v>Thành phố Nha Trang</v>
      </c>
      <c r="F7102" s="3" t="s">
        <v>7862</v>
      </c>
      <c r="G7102" s="4" t="str">
        <f>HYPERLINK("https://diaocthongthai.com/phuong-phuong-son-tp-nha-trang/","Phường Phương Sơn")</f>
        <v>Phường Phương Sơn</v>
      </c>
    </row>
    <row r="7103" spans="1:7" x14ac:dyDescent="0.25">
      <c r="A7103" s="2">
        <v>7102</v>
      </c>
      <c r="B7103" s="3" t="s">
        <v>39</v>
      </c>
      <c r="C7103" s="4" t="str">
        <f t="shared" si="583"/>
        <v>Khánh Hòa</v>
      </c>
      <c r="D7103" s="3" t="s">
        <v>475</v>
      </c>
      <c r="E7103" s="4" t="str">
        <f t="shared" si="584"/>
        <v>Thành phố Nha Trang</v>
      </c>
      <c r="F7103" s="3" t="s">
        <v>7863</v>
      </c>
      <c r="G7103" s="4" t="str">
        <f>HYPERLINK("https://diaocthongthai.com/phuong-phuoc-hai-tp-nha-trang/","Phường Phước Hải")</f>
        <v>Phường Phước Hải</v>
      </c>
    </row>
    <row r="7104" spans="1:7" x14ac:dyDescent="0.25">
      <c r="A7104" s="2">
        <v>7103</v>
      </c>
      <c r="B7104" s="3" t="s">
        <v>39</v>
      </c>
      <c r="C7104" s="4" t="str">
        <f t="shared" si="583"/>
        <v>Khánh Hòa</v>
      </c>
      <c r="D7104" s="3" t="s">
        <v>475</v>
      </c>
      <c r="E7104" s="4" t="str">
        <f t="shared" si="584"/>
        <v>Thành phố Nha Trang</v>
      </c>
      <c r="F7104" s="3" t="s">
        <v>7864</v>
      </c>
      <c r="G7104" s="4" t="str">
        <f>HYPERLINK("https://diaocthongthai.com/phuong-phuoc-tan-tp-nha-trang/","Phường Phước Tân")</f>
        <v>Phường Phước Tân</v>
      </c>
    </row>
    <row r="7105" spans="1:7" x14ac:dyDescent="0.25">
      <c r="A7105" s="2">
        <v>7104</v>
      </c>
      <c r="B7105" s="3" t="s">
        <v>39</v>
      </c>
      <c r="C7105" s="4" t="str">
        <f t="shared" si="583"/>
        <v>Khánh Hòa</v>
      </c>
      <c r="D7105" s="3" t="s">
        <v>475</v>
      </c>
      <c r="E7105" s="4" t="str">
        <f t="shared" si="584"/>
        <v>Thành phố Nha Trang</v>
      </c>
      <c r="F7105" s="3" t="s">
        <v>7865</v>
      </c>
      <c r="G7105" s="4" t="str">
        <f>HYPERLINK("https://diaocthongthai.com/phuong-loc-tho-tp-nha-trang/","Phường Lộc Thọ")</f>
        <v>Phường Lộc Thọ</v>
      </c>
    </row>
    <row r="7106" spans="1:7" x14ac:dyDescent="0.25">
      <c r="A7106" s="2">
        <v>7105</v>
      </c>
      <c r="B7106" s="3" t="s">
        <v>39</v>
      </c>
      <c r="C7106" s="4" t="str">
        <f t="shared" si="583"/>
        <v>Khánh Hòa</v>
      </c>
      <c r="D7106" s="3" t="s">
        <v>475</v>
      </c>
      <c r="E7106" s="4" t="str">
        <f t="shared" si="584"/>
        <v>Thành phố Nha Trang</v>
      </c>
      <c r="F7106" s="3" t="s">
        <v>7866</v>
      </c>
      <c r="G7106" s="4" t="str">
        <f>HYPERLINK("https://diaocthongthai.com/phuong-phuoc-tien-tp-nha-trang/","Phường Phước Tiến")</f>
        <v>Phường Phước Tiến</v>
      </c>
    </row>
    <row r="7107" spans="1:7" x14ac:dyDescent="0.25">
      <c r="A7107" s="2">
        <v>7106</v>
      </c>
      <c r="B7107" s="3" t="s">
        <v>39</v>
      </c>
      <c r="C7107" s="4" t="str">
        <f t="shared" si="583"/>
        <v>Khánh Hòa</v>
      </c>
      <c r="D7107" s="3" t="s">
        <v>475</v>
      </c>
      <c r="E7107" s="4" t="str">
        <f t="shared" si="584"/>
        <v>Thành phố Nha Trang</v>
      </c>
      <c r="F7107" s="3" t="s">
        <v>7867</v>
      </c>
      <c r="G7107" s="4" t="str">
        <f>HYPERLINK("https://diaocthongthai.com/phuong-tan-lap-tp-nha-trang/","Phường Tân Lập")</f>
        <v>Phường Tân Lập</v>
      </c>
    </row>
    <row r="7108" spans="1:7" x14ac:dyDescent="0.25">
      <c r="A7108" s="2">
        <v>7107</v>
      </c>
      <c r="B7108" s="3" t="s">
        <v>39</v>
      </c>
      <c r="C7108" s="4" t="str">
        <f t="shared" si="583"/>
        <v>Khánh Hòa</v>
      </c>
      <c r="D7108" s="3" t="s">
        <v>475</v>
      </c>
      <c r="E7108" s="4" t="str">
        <f t="shared" si="584"/>
        <v>Thành phố Nha Trang</v>
      </c>
      <c r="F7108" s="3" t="s">
        <v>7868</v>
      </c>
      <c r="G7108" s="4" t="str">
        <f>HYPERLINK("https://diaocthongthai.com/phuong-phuoc-hoa-tp-nha-trang/","Phường Phước Hòa")</f>
        <v>Phường Phước Hòa</v>
      </c>
    </row>
    <row r="7109" spans="1:7" x14ac:dyDescent="0.25">
      <c r="A7109" s="2">
        <v>7108</v>
      </c>
      <c r="B7109" s="3" t="s">
        <v>39</v>
      </c>
      <c r="C7109" s="4" t="str">
        <f t="shared" si="583"/>
        <v>Khánh Hòa</v>
      </c>
      <c r="D7109" s="3" t="s">
        <v>475</v>
      </c>
      <c r="E7109" s="4" t="str">
        <f t="shared" si="584"/>
        <v>Thành phố Nha Trang</v>
      </c>
      <c r="F7109" s="3" t="s">
        <v>7869</v>
      </c>
      <c r="G7109" s="4" t="str">
        <f>HYPERLINK("https://diaocthongthai.com/phuong-vinh-nguyen-tp-nha-trang/","Phường Vĩnh Nguyên")</f>
        <v>Phường Vĩnh Nguyên</v>
      </c>
    </row>
    <row r="7110" spans="1:7" x14ac:dyDescent="0.25">
      <c r="A7110" s="2">
        <v>7109</v>
      </c>
      <c r="B7110" s="3" t="s">
        <v>39</v>
      </c>
      <c r="C7110" s="4" t="str">
        <f t="shared" si="583"/>
        <v>Khánh Hòa</v>
      </c>
      <c r="D7110" s="3" t="s">
        <v>475</v>
      </c>
      <c r="E7110" s="4" t="str">
        <f t="shared" si="584"/>
        <v>Thành phố Nha Trang</v>
      </c>
      <c r="F7110" s="3" t="s">
        <v>7870</v>
      </c>
      <c r="G7110" s="4" t="str">
        <f>HYPERLINK("https://diaocthongthai.com/phuong-phuoc-long-tp-nha-trang/","Phường Phước Long")</f>
        <v>Phường Phước Long</v>
      </c>
    </row>
    <row r="7111" spans="1:7" x14ac:dyDescent="0.25">
      <c r="A7111" s="2">
        <v>7110</v>
      </c>
      <c r="B7111" s="3" t="s">
        <v>39</v>
      </c>
      <c r="C7111" s="4" t="str">
        <f t="shared" si="583"/>
        <v>Khánh Hòa</v>
      </c>
      <c r="D7111" s="3" t="s">
        <v>475</v>
      </c>
      <c r="E7111" s="4" t="str">
        <f t="shared" si="584"/>
        <v>Thành phố Nha Trang</v>
      </c>
      <c r="F7111" s="3" t="s">
        <v>7871</v>
      </c>
      <c r="G7111" s="4" t="str">
        <f>HYPERLINK("https://diaocthongthai.com/phuong-vinh-truong-tp-nha-trang/","Phường Vĩnh Trường")</f>
        <v>Phường Vĩnh Trường</v>
      </c>
    </row>
    <row r="7112" spans="1:7" x14ac:dyDescent="0.25">
      <c r="A7112" s="2">
        <v>7111</v>
      </c>
      <c r="B7112" s="3" t="s">
        <v>39</v>
      </c>
      <c r="C7112" s="4" t="str">
        <f t="shared" si="583"/>
        <v>Khánh Hòa</v>
      </c>
      <c r="D7112" s="3" t="s">
        <v>475</v>
      </c>
      <c r="E7112" s="4" t="str">
        <f t="shared" si="584"/>
        <v>Thành phố Nha Trang</v>
      </c>
      <c r="F7112" s="3" t="s">
        <v>7872</v>
      </c>
      <c r="G7112" s="4" t="str">
        <f>HYPERLINK("https://diaocthongthai.com/xa-vinh-luong-tp-nha-trang/","Xã Vĩnh Lương")</f>
        <v>Xã Vĩnh Lương</v>
      </c>
    </row>
    <row r="7113" spans="1:7" x14ac:dyDescent="0.25">
      <c r="A7113" s="2">
        <v>7112</v>
      </c>
      <c r="B7113" s="3" t="s">
        <v>39</v>
      </c>
      <c r="C7113" s="4" t="str">
        <f t="shared" si="583"/>
        <v>Khánh Hòa</v>
      </c>
      <c r="D7113" s="3" t="s">
        <v>475</v>
      </c>
      <c r="E7113" s="4" t="str">
        <f t="shared" si="584"/>
        <v>Thành phố Nha Trang</v>
      </c>
      <c r="F7113" s="3" t="s">
        <v>7873</v>
      </c>
      <c r="G7113" s="4" t="str">
        <f>HYPERLINK("https://diaocthongthai.com/xa-vinh-phuong-tp-nha-trang/","Xã Vĩnh Phương")</f>
        <v>Xã Vĩnh Phương</v>
      </c>
    </row>
    <row r="7114" spans="1:7" x14ac:dyDescent="0.25">
      <c r="A7114" s="2">
        <v>7113</v>
      </c>
      <c r="B7114" s="3" t="s">
        <v>39</v>
      </c>
      <c r="C7114" s="4" t="str">
        <f t="shared" si="583"/>
        <v>Khánh Hòa</v>
      </c>
      <c r="D7114" s="3" t="s">
        <v>475</v>
      </c>
      <c r="E7114" s="4" t="str">
        <f t="shared" si="584"/>
        <v>Thành phố Nha Trang</v>
      </c>
      <c r="F7114" s="3" t="s">
        <v>7874</v>
      </c>
      <c r="G7114" s="4" t="str">
        <f>HYPERLINK("https://diaocthongthai.com/xa-vinh-ngoc-tp-nha-trang/","Xã Vĩnh Ngọc")</f>
        <v>Xã Vĩnh Ngọc</v>
      </c>
    </row>
    <row r="7115" spans="1:7" x14ac:dyDescent="0.25">
      <c r="A7115" s="2">
        <v>7114</v>
      </c>
      <c r="B7115" s="3" t="s">
        <v>39</v>
      </c>
      <c r="C7115" s="4" t="str">
        <f t="shared" si="583"/>
        <v>Khánh Hòa</v>
      </c>
      <c r="D7115" s="3" t="s">
        <v>475</v>
      </c>
      <c r="E7115" s="4" t="str">
        <f t="shared" si="584"/>
        <v>Thành phố Nha Trang</v>
      </c>
      <c r="F7115" s="3" t="s">
        <v>7875</v>
      </c>
      <c r="G7115" s="4" t="str">
        <f>HYPERLINK("https://diaocthongthai.com/xa-vinh-thanh-tp-nha-trang/","Xã Vĩnh Thạnh")</f>
        <v>Xã Vĩnh Thạnh</v>
      </c>
    </row>
    <row r="7116" spans="1:7" x14ac:dyDescent="0.25">
      <c r="A7116" s="2">
        <v>7115</v>
      </c>
      <c r="B7116" s="3" t="s">
        <v>39</v>
      </c>
      <c r="C7116" s="4" t="str">
        <f t="shared" si="583"/>
        <v>Khánh Hòa</v>
      </c>
      <c r="D7116" s="3" t="s">
        <v>475</v>
      </c>
      <c r="E7116" s="4" t="str">
        <f t="shared" si="584"/>
        <v>Thành phố Nha Trang</v>
      </c>
      <c r="F7116" s="3" t="s">
        <v>7876</v>
      </c>
      <c r="G7116" s="4" t="str">
        <f>HYPERLINK("https://diaocthongthai.com/xa-vinh-trung-tp-nha-trang/","Xã Vĩnh Trung")</f>
        <v>Xã Vĩnh Trung</v>
      </c>
    </row>
    <row r="7117" spans="1:7" x14ac:dyDescent="0.25">
      <c r="A7117" s="2">
        <v>7116</v>
      </c>
      <c r="B7117" s="3" t="s">
        <v>39</v>
      </c>
      <c r="C7117" s="4" t="str">
        <f t="shared" si="583"/>
        <v>Khánh Hòa</v>
      </c>
      <c r="D7117" s="3" t="s">
        <v>475</v>
      </c>
      <c r="E7117" s="4" t="str">
        <f t="shared" si="584"/>
        <v>Thành phố Nha Trang</v>
      </c>
      <c r="F7117" s="3" t="s">
        <v>7877</v>
      </c>
      <c r="G7117" s="4" t="str">
        <f>HYPERLINK("https://diaocthongthai.com/xa-vinh-hiep-tp-nha-trang/","Xã Vĩnh Hiệp")</f>
        <v>Xã Vĩnh Hiệp</v>
      </c>
    </row>
    <row r="7118" spans="1:7" x14ac:dyDescent="0.25">
      <c r="A7118" s="2">
        <v>7117</v>
      </c>
      <c r="B7118" s="3" t="s">
        <v>39</v>
      </c>
      <c r="C7118" s="4" t="str">
        <f t="shared" si="583"/>
        <v>Khánh Hòa</v>
      </c>
      <c r="D7118" s="3" t="s">
        <v>475</v>
      </c>
      <c r="E7118" s="4" t="str">
        <f t="shared" si="584"/>
        <v>Thành phố Nha Trang</v>
      </c>
      <c r="F7118" s="3" t="s">
        <v>7878</v>
      </c>
      <c r="G7118" s="4" t="str">
        <f>HYPERLINK("https://diaocthongthai.com/xa-vinh-thai-tp-nha-trang/","Xã Vĩnh Thái")</f>
        <v>Xã Vĩnh Thái</v>
      </c>
    </row>
    <row r="7119" spans="1:7" x14ac:dyDescent="0.25">
      <c r="A7119" s="2">
        <v>7118</v>
      </c>
      <c r="B7119" s="3" t="s">
        <v>39</v>
      </c>
      <c r="C7119" s="4" t="str">
        <f t="shared" si="583"/>
        <v>Khánh Hòa</v>
      </c>
      <c r="D7119" s="3" t="s">
        <v>475</v>
      </c>
      <c r="E7119" s="4" t="str">
        <f t="shared" si="584"/>
        <v>Thành phố Nha Trang</v>
      </c>
      <c r="F7119" s="3" t="s">
        <v>7879</v>
      </c>
      <c r="G7119" s="4" t="str">
        <f>HYPERLINK("https://diaocthongthai.com/xa-phuoc-dong-tp-nha-trang/","Xã Phước Đồng")</f>
        <v>Xã Phước Đồng</v>
      </c>
    </row>
    <row r="7120" spans="1:7" x14ac:dyDescent="0.25">
      <c r="A7120" s="2">
        <v>7119</v>
      </c>
      <c r="B7120" s="3" t="s">
        <v>39</v>
      </c>
      <c r="C7120" s="4" t="str">
        <f t="shared" si="583"/>
        <v>Khánh Hòa</v>
      </c>
      <c r="D7120" s="3" t="s">
        <v>476</v>
      </c>
      <c r="E7120" s="4" t="str">
        <f t="shared" ref="E7120:E7134" si="585">HYPERLINK("https://diaocthongthai.com/ban-do-tp-cam-ranh-khanh-hoa/","Thành phố Cam Ranh")</f>
        <v>Thành phố Cam Ranh</v>
      </c>
      <c r="F7120" s="3" t="s">
        <v>7880</v>
      </c>
      <c r="G7120" s="4" t="str">
        <f>HYPERLINK("https://diaocthongthai.com/phuong-cam-nghia-tp-cam-ranh/","Phường Cam Nghĩa")</f>
        <v>Phường Cam Nghĩa</v>
      </c>
    </row>
    <row r="7121" spans="1:7" x14ac:dyDescent="0.25">
      <c r="A7121" s="2">
        <v>7120</v>
      </c>
      <c r="B7121" s="3" t="s">
        <v>39</v>
      </c>
      <c r="C7121" s="4" t="str">
        <f t="shared" si="583"/>
        <v>Khánh Hòa</v>
      </c>
      <c r="D7121" s="3" t="s">
        <v>476</v>
      </c>
      <c r="E7121" s="4" t="str">
        <f t="shared" si="585"/>
        <v>Thành phố Cam Ranh</v>
      </c>
      <c r="F7121" s="3" t="s">
        <v>7881</v>
      </c>
      <c r="G7121" s="4" t="str">
        <f>HYPERLINK("https://diaocthongthai.com/phuong-cam-phuc-bac-tp-cam-ranh/","Phường Cam Phúc Bắc")</f>
        <v>Phường Cam Phúc Bắc</v>
      </c>
    </row>
    <row r="7122" spans="1:7" x14ac:dyDescent="0.25">
      <c r="A7122" s="2">
        <v>7121</v>
      </c>
      <c r="B7122" s="3" t="s">
        <v>39</v>
      </c>
      <c r="C7122" s="4" t="str">
        <f t="shared" si="583"/>
        <v>Khánh Hòa</v>
      </c>
      <c r="D7122" s="3" t="s">
        <v>476</v>
      </c>
      <c r="E7122" s="4" t="str">
        <f t="shared" si="585"/>
        <v>Thành phố Cam Ranh</v>
      </c>
      <c r="F7122" s="3" t="s">
        <v>7882</v>
      </c>
      <c r="G7122" s="4" t="str">
        <f>HYPERLINK("https://diaocthongthai.com/phuong-cam-phuc-nam-tp-cam-ranh/","Phường Cam Phúc Nam")</f>
        <v>Phường Cam Phúc Nam</v>
      </c>
    </row>
    <row r="7123" spans="1:7" x14ac:dyDescent="0.25">
      <c r="A7123" s="2">
        <v>7122</v>
      </c>
      <c r="B7123" s="3" t="s">
        <v>39</v>
      </c>
      <c r="C7123" s="4" t="str">
        <f t="shared" si="583"/>
        <v>Khánh Hòa</v>
      </c>
      <c r="D7123" s="3" t="s">
        <v>476</v>
      </c>
      <c r="E7123" s="4" t="str">
        <f t="shared" si="585"/>
        <v>Thành phố Cam Ranh</v>
      </c>
      <c r="F7123" s="3" t="s">
        <v>7883</v>
      </c>
      <c r="G7123" s="4" t="str">
        <f>HYPERLINK("https://diaocthongthai.com/phuong-cam-loc-tp-cam-ranh/","Phường Cam Lộc")</f>
        <v>Phường Cam Lộc</v>
      </c>
    </row>
    <row r="7124" spans="1:7" x14ac:dyDescent="0.25">
      <c r="A7124" s="2">
        <v>7123</v>
      </c>
      <c r="B7124" s="3" t="s">
        <v>39</v>
      </c>
      <c r="C7124" s="4" t="str">
        <f t="shared" si="583"/>
        <v>Khánh Hòa</v>
      </c>
      <c r="D7124" s="3" t="s">
        <v>476</v>
      </c>
      <c r="E7124" s="4" t="str">
        <f t="shared" si="585"/>
        <v>Thành phố Cam Ranh</v>
      </c>
      <c r="F7124" s="3" t="s">
        <v>7884</v>
      </c>
      <c r="G7124" s="4" t="str">
        <f>HYPERLINK("https://diaocthongthai.com/phuong-cam-phu-tp-cam-ranh/","Phường Cam Phú")</f>
        <v>Phường Cam Phú</v>
      </c>
    </row>
    <row r="7125" spans="1:7" x14ac:dyDescent="0.25">
      <c r="A7125" s="2">
        <v>7124</v>
      </c>
      <c r="B7125" s="3" t="s">
        <v>39</v>
      </c>
      <c r="C7125" s="4" t="str">
        <f t="shared" ref="C7125:C7156" si="586">HYPERLINK("https://diaocthongthai.com/ban-do-khanh-hoa/","Khánh Hòa")</f>
        <v>Khánh Hòa</v>
      </c>
      <c r="D7125" s="3" t="s">
        <v>476</v>
      </c>
      <c r="E7125" s="4" t="str">
        <f t="shared" si="585"/>
        <v>Thành phố Cam Ranh</v>
      </c>
      <c r="F7125" s="3" t="s">
        <v>7885</v>
      </c>
      <c r="G7125" s="4" t="str">
        <f>HYPERLINK("https://diaocthongthai.com/phuong-ba-ngoi-tp-cam-ranh/","Phường Ba Ngòi")</f>
        <v>Phường Ba Ngòi</v>
      </c>
    </row>
    <row r="7126" spans="1:7" x14ac:dyDescent="0.25">
      <c r="A7126" s="2">
        <v>7125</v>
      </c>
      <c r="B7126" s="3" t="s">
        <v>39</v>
      </c>
      <c r="C7126" s="4" t="str">
        <f t="shared" si="586"/>
        <v>Khánh Hòa</v>
      </c>
      <c r="D7126" s="3" t="s">
        <v>476</v>
      </c>
      <c r="E7126" s="4" t="str">
        <f t="shared" si="585"/>
        <v>Thành phố Cam Ranh</v>
      </c>
      <c r="F7126" s="3" t="s">
        <v>7886</v>
      </c>
      <c r="G7126" s="4" t="str">
        <f>HYPERLINK("https://diaocthongthai.com/phuong-cam-thuan-tp-cam-ranh/","Phường Cam Thuận")</f>
        <v>Phường Cam Thuận</v>
      </c>
    </row>
    <row r="7127" spans="1:7" x14ac:dyDescent="0.25">
      <c r="A7127" s="2">
        <v>7126</v>
      </c>
      <c r="B7127" s="3" t="s">
        <v>39</v>
      </c>
      <c r="C7127" s="4" t="str">
        <f t="shared" si="586"/>
        <v>Khánh Hòa</v>
      </c>
      <c r="D7127" s="3" t="s">
        <v>476</v>
      </c>
      <c r="E7127" s="4" t="str">
        <f t="shared" si="585"/>
        <v>Thành phố Cam Ranh</v>
      </c>
      <c r="F7127" s="3" t="s">
        <v>7887</v>
      </c>
      <c r="G7127" s="4" t="str">
        <f>HYPERLINK("https://diaocthongthai.com/phuong-cam-loi-tp-cam-ranh/","Phường Cam Lợi")</f>
        <v>Phường Cam Lợi</v>
      </c>
    </row>
    <row r="7128" spans="1:7" x14ac:dyDescent="0.25">
      <c r="A7128" s="2">
        <v>7127</v>
      </c>
      <c r="B7128" s="3" t="s">
        <v>39</v>
      </c>
      <c r="C7128" s="4" t="str">
        <f t="shared" si="586"/>
        <v>Khánh Hòa</v>
      </c>
      <c r="D7128" s="3" t="s">
        <v>476</v>
      </c>
      <c r="E7128" s="4" t="str">
        <f t="shared" si="585"/>
        <v>Thành phố Cam Ranh</v>
      </c>
      <c r="F7128" s="3" t="s">
        <v>7888</v>
      </c>
      <c r="G7128" s="4" t="str">
        <f>HYPERLINK("https://diaocthongthai.com/phuong-cam-linh-tp-cam-ranh/","Phường Cam Linh")</f>
        <v>Phường Cam Linh</v>
      </c>
    </row>
    <row r="7129" spans="1:7" x14ac:dyDescent="0.25">
      <c r="A7129" s="2">
        <v>7128</v>
      </c>
      <c r="B7129" s="3" t="s">
        <v>39</v>
      </c>
      <c r="C7129" s="4" t="str">
        <f t="shared" si="586"/>
        <v>Khánh Hòa</v>
      </c>
      <c r="D7129" s="3" t="s">
        <v>476</v>
      </c>
      <c r="E7129" s="4" t="str">
        <f t="shared" si="585"/>
        <v>Thành phố Cam Ranh</v>
      </c>
      <c r="F7129" s="3" t="s">
        <v>7889</v>
      </c>
      <c r="G7129" s="4" t="str">
        <f>HYPERLINK("https://diaocthongthai.com/xa-cam-thanh-nam-tp-cam-ranh/","Xã Cam Thành Nam")</f>
        <v>Xã Cam Thành Nam</v>
      </c>
    </row>
    <row r="7130" spans="1:7" x14ac:dyDescent="0.25">
      <c r="A7130" s="2">
        <v>7129</v>
      </c>
      <c r="B7130" s="3" t="s">
        <v>39</v>
      </c>
      <c r="C7130" s="4" t="str">
        <f t="shared" si="586"/>
        <v>Khánh Hòa</v>
      </c>
      <c r="D7130" s="3" t="s">
        <v>476</v>
      </c>
      <c r="E7130" s="4" t="str">
        <f t="shared" si="585"/>
        <v>Thành phố Cam Ranh</v>
      </c>
      <c r="F7130" s="3" t="s">
        <v>7890</v>
      </c>
      <c r="G7130" s="4" t="str">
        <f>HYPERLINK("https://diaocthongthai.com/xa-cam-phuoc-dong-tp-cam-ranh/","Xã Cam Phước Đông")</f>
        <v>Xã Cam Phước Đông</v>
      </c>
    </row>
    <row r="7131" spans="1:7" x14ac:dyDescent="0.25">
      <c r="A7131" s="2">
        <v>7130</v>
      </c>
      <c r="B7131" s="3" t="s">
        <v>39</v>
      </c>
      <c r="C7131" s="4" t="str">
        <f t="shared" si="586"/>
        <v>Khánh Hòa</v>
      </c>
      <c r="D7131" s="3" t="s">
        <v>476</v>
      </c>
      <c r="E7131" s="4" t="str">
        <f t="shared" si="585"/>
        <v>Thành phố Cam Ranh</v>
      </c>
      <c r="F7131" s="3" t="s">
        <v>7891</v>
      </c>
      <c r="G7131" s="4" t="str">
        <f>HYPERLINK("https://diaocthongthai.com/xa-cam-thinh-tay-tp-cam-ranh/","Xã Cam Thịnh Tây")</f>
        <v>Xã Cam Thịnh Tây</v>
      </c>
    </row>
    <row r="7132" spans="1:7" x14ac:dyDescent="0.25">
      <c r="A7132" s="2">
        <v>7131</v>
      </c>
      <c r="B7132" s="3" t="s">
        <v>39</v>
      </c>
      <c r="C7132" s="4" t="str">
        <f t="shared" si="586"/>
        <v>Khánh Hòa</v>
      </c>
      <c r="D7132" s="3" t="s">
        <v>476</v>
      </c>
      <c r="E7132" s="4" t="str">
        <f t="shared" si="585"/>
        <v>Thành phố Cam Ranh</v>
      </c>
      <c r="F7132" s="3" t="s">
        <v>7892</v>
      </c>
      <c r="G7132" s="4" t="str">
        <f>HYPERLINK("https://diaocthongthai.com/xa-cam-thinh-dong-tp-cam-ranh/","Xã Cam Thịnh Đông")</f>
        <v>Xã Cam Thịnh Đông</v>
      </c>
    </row>
    <row r="7133" spans="1:7" x14ac:dyDescent="0.25">
      <c r="A7133" s="2">
        <v>7132</v>
      </c>
      <c r="B7133" s="3" t="s">
        <v>39</v>
      </c>
      <c r="C7133" s="4" t="str">
        <f t="shared" si="586"/>
        <v>Khánh Hòa</v>
      </c>
      <c r="D7133" s="3" t="s">
        <v>476</v>
      </c>
      <c r="E7133" s="4" t="str">
        <f t="shared" si="585"/>
        <v>Thành phố Cam Ranh</v>
      </c>
      <c r="F7133" s="3" t="s">
        <v>7893</v>
      </c>
      <c r="G7133" s="4" t="str">
        <f>HYPERLINK("https://diaocthongthai.com/xa-cam-lap-tp-cam-ranh/","Xã Cam Lập")</f>
        <v>Xã Cam Lập</v>
      </c>
    </row>
    <row r="7134" spans="1:7" x14ac:dyDescent="0.25">
      <c r="A7134" s="2">
        <v>7133</v>
      </c>
      <c r="B7134" s="3" t="s">
        <v>39</v>
      </c>
      <c r="C7134" s="4" t="str">
        <f t="shared" si="586"/>
        <v>Khánh Hòa</v>
      </c>
      <c r="D7134" s="3" t="s">
        <v>476</v>
      </c>
      <c r="E7134" s="4" t="str">
        <f t="shared" si="585"/>
        <v>Thành phố Cam Ranh</v>
      </c>
      <c r="F7134" s="3" t="s">
        <v>7894</v>
      </c>
      <c r="G7134" s="4" t="str">
        <f>HYPERLINK("https://diaocthongthai.com/xa-cam-binh-tp-cam-ranh/","Xã Cam Bình")</f>
        <v>Xã Cam Bình</v>
      </c>
    </row>
    <row r="7135" spans="1:7" x14ac:dyDescent="0.25">
      <c r="A7135" s="2">
        <v>7134</v>
      </c>
      <c r="B7135" s="3" t="s">
        <v>39</v>
      </c>
      <c r="C7135" s="4" t="str">
        <f t="shared" si="586"/>
        <v>Khánh Hòa</v>
      </c>
      <c r="D7135" s="3" t="s">
        <v>477</v>
      </c>
      <c r="E7135" s="4" t="str">
        <f t="shared" ref="E7135:E7148" si="587">HYPERLINK("https://diaocthongthai.com/ban-do-huyen-cam-lam-khanh-hoa/","Huyện Cam Lâm")</f>
        <v>Huyện Cam Lâm</v>
      </c>
      <c r="F7135" s="3" t="s">
        <v>7895</v>
      </c>
      <c r="G7135" s="4" t="str">
        <f>HYPERLINK("https://diaocthongthai.com/xa-cam-tan-cam-lam/","Xã Cam Tân")</f>
        <v>Xã Cam Tân</v>
      </c>
    </row>
    <row r="7136" spans="1:7" x14ac:dyDescent="0.25">
      <c r="A7136" s="2">
        <v>7135</v>
      </c>
      <c r="B7136" s="3" t="s">
        <v>39</v>
      </c>
      <c r="C7136" s="4" t="str">
        <f t="shared" si="586"/>
        <v>Khánh Hòa</v>
      </c>
      <c r="D7136" s="3" t="s">
        <v>477</v>
      </c>
      <c r="E7136" s="4" t="str">
        <f t="shared" si="587"/>
        <v>Huyện Cam Lâm</v>
      </c>
      <c r="F7136" s="3" t="s">
        <v>7896</v>
      </c>
      <c r="G7136" s="4" t="str">
        <f>HYPERLINK("https://diaocthongthai.com/xa-cam-hoa-cam-lam/","Xã Cam Hòa")</f>
        <v>Xã Cam Hòa</v>
      </c>
    </row>
    <row r="7137" spans="1:7" x14ac:dyDescent="0.25">
      <c r="A7137" s="2">
        <v>7136</v>
      </c>
      <c r="B7137" s="3" t="s">
        <v>39</v>
      </c>
      <c r="C7137" s="4" t="str">
        <f t="shared" si="586"/>
        <v>Khánh Hòa</v>
      </c>
      <c r="D7137" s="3" t="s">
        <v>477</v>
      </c>
      <c r="E7137" s="4" t="str">
        <f t="shared" si="587"/>
        <v>Huyện Cam Lâm</v>
      </c>
      <c r="F7137" s="3" t="s">
        <v>7897</v>
      </c>
      <c r="G7137" s="4" t="str">
        <f>HYPERLINK("https://diaocthongthai.com/xa-cam-hai-dong-cam-lam/","Xã Cam Hải Đông")</f>
        <v>Xã Cam Hải Đông</v>
      </c>
    </row>
    <row r="7138" spans="1:7" x14ac:dyDescent="0.25">
      <c r="A7138" s="2">
        <v>7137</v>
      </c>
      <c r="B7138" s="3" t="s">
        <v>39</v>
      </c>
      <c r="C7138" s="4" t="str">
        <f t="shared" si="586"/>
        <v>Khánh Hòa</v>
      </c>
      <c r="D7138" s="3" t="s">
        <v>477</v>
      </c>
      <c r="E7138" s="4" t="str">
        <f t="shared" si="587"/>
        <v>Huyện Cam Lâm</v>
      </c>
      <c r="F7138" s="3" t="s">
        <v>7898</v>
      </c>
      <c r="G7138" s="4" t="str">
        <f>HYPERLINK("https://diaocthongthai.com/xa-cam-hai-tay-cam-lam/","Xã Cam Hải Tây")</f>
        <v>Xã Cam Hải Tây</v>
      </c>
    </row>
    <row r="7139" spans="1:7" x14ac:dyDescent="0.25">
      <c r="A7139" s="2">
        <v>7138</v>
      </c>
      <c r="B7139" s="3" t="s">
        <v>39</v>
      </c>
      <c r="C7139" s="4" t="str">
        <f t="shared" si="586"/>
        <v>Khánh Hòa</v>
      </c>
      <c r="D7139" s="3" t="s">
        <v>477</v>
      </c>
      <c r="E7139" s="4" t="str">
        <f t="shared" si="587"/>
        <v>Huyện Cam Lâm</v>
      </c>
      <c r="F7139" s="3" t="s">
        <v>7899</v>
      </c>
      <c r="G7139" s="4" t="str">
        <f>HYPERLINK("https://diaocthongthai.com/xa-son-tan-cam-lam/","Xã Sơn Tân")</f>
        <v>Xã Sơn Tân</v>
      </c>
    </row>
    <row r="7140" spans="1:7" x14ac:dyDescent="0.25">
      <c r="A7140" s="2">
        <v>7139</v>
      </c>
      <c r="B7140" s="3" t="s">
        <v>39</v>
      </c>
      <c r="C7140" s="4" t="str">
        <f t="shared" si="586"/>
        <v>Khánh Hòa</v>
      </c>
      <c r="D7140" s="3" t="s">
        <v>477</v>
      </c>
      <c r="E7140" s="4" t="str">
        <f t="shared" si="587"/>
        <v>Huyện Cam Lâm</v>
      </c>
      <c r="F7140" s="3" t="s">
        <v>7900</v>
      </c>
      <c r="G7140" s="4" t="str">
        <f>HYPERLINK("https://diaocthongthai.com/xa-cam-hiep-bac-cam-lam/","Xã Cam Hiệp Bắc")</f>
        <v>Xã Cam Hiệp Bắc</v>
      </c>
    </row>
    <row r="7141" spans="1:7" x14ac:dyDescent="0.25">
      <c r="A7141" s="2">
        <v>7140</v>
      </c>
      <c r="B7141" s="3" t="s">
        <v>39</v>
      </c>
      <c r="C7141" s="4" t="str">
        <f t="shared" si="586"/>
        <v>Khánh Hòa</v>
      </c>
      <c r="D7141" s="3" t="s">
        <v>477</v>
      </c>
      <c r="E7141" s="4" t="str">
        <f t="shared" si="587"/>
        <v>Huyện Cam Lâm</v>
      </c>
      <c r="F7141" s="3" t="s">
        <v>7901</v>
      </c>
      <c r="G7141" s="4" t="str">
        <f>HYPERLINK("https://diaocthongthai.com/thi-tran-cam-duc-cam-lam/","Thị trấn Cam Đức")</f>
        <v>Thị trấn Cam Đức</v>
      </c>
    </row>
    <row r="7142" spans="1:7" x14ac:dyDescent="0.25">
      <c r="A7142" s="2">
        <v>7141</v>
      </c>
      <c r="B7142" s="3" t="s">
        <v>39</v>
      </c>
      <c r="C7142" s="4" t="str">
        <f t="shared" si="586"/>
        <v>Khánh Hòa</v>
      </c>
      <c r="D7142" s="3" t="s">
        <v>477</v>
      </c>
      <c r="E7142" s="4" t="str">
        <f t="shared" si="587"/>
        <v>Huyện Cam Lâm</v>
      </c>
      <c r="F7142" s="3" t="s">
        <v>7902</v>
      </c>
      <c r="G7142" s="4" t="str">
        <f>HYPERLINK("https://diaocthongthai.com/xa-cam-hiep-nam-cam-lam/","Xã Cam Hiệp Nam")</f>
        <v>Xã Cam Hiệp Nam</v>
      </c>
    </row>
    <row r="7143" spans="1:7" x14ac:dyDescent="0.25">
      <c r="A7143" s="2">
        <v>7142</v>
      </c>
      <c r="B7143" s="3" t="s">
        <v>39</v>
      </c>
      <c r="C7143" s="4" t="str">
        <f t="shared" si="586"/>
        <v>Khánh Hòa</v>
      </c>
      <c r="D7143" s="3" t="s">
        <v>477</v>
      </c>
      <c r="E7143" s="4" t="str">
        <f t="shared" si="587"/>
        <v>Huyện Cam Lâm</v>
      </c>
      <c r="F7143" s="3" t="s">
        <v>7903</v>
      </c>
      <c r="G7143" s="4" t="str">
        <f>HYPERLINK("https://diaocthongthai.com/xa-cam-phuoc-tay-cam-lam/","Xã Cam Phước Tây")</f>
        <v>Xã Cam Phước Tây</v>
      </c>
    </row>
    <row r="7144" spans="1:7" x14ac:dyDescent="0.25">
      <c r="A7144" s="2">
        <v>7143</v>
      </c>
      <c r="B7144" s="3" t="s">
        <v>39</v>
      </c>
      <c r="C7144" s="4" t="str">
        <f t="shared" si="586"/>
        <v>Khánh Hòa</v>
      </c>
      <c r="D7144" s="3" t="s">
        <v>477</v>
      </c>
      <c r="E7144" s="4" t="str">
        <f t="shared" si="587"/>
        <v>Huyện Cam Lâm</v>
      </c>
      <c r="F7144" s="3" t="s">
        <v>7904</v>
      </c>
      <c r="G7144" s="4" t="str">
        <f>HYPERLINK("https://diaocthongthai.com/xa-cam-thanh-bac-cam-lam/","Xã Cam Thành Bắc")</f>
        <v>Xã Cam Thành Bắc</v>
      </c>
    </row>
    <row r="7145" spans="1:7" x14ac:dyDescent="0.25">
      <c r="A7145" s="2">
        <v>7144</v>
      </c>
      <c r="B7145" s="3" t="s">
        <v>39</v>
      </c>
      <c r="C7145" s="4" t="str">
        <f t="shared" si="586"/>
        <v>Khánh Hòa</v>
      </c>
      <c r="D7145" s="3" t="s">
        <v>477</v>
      </c>
      <c r="E7145" s="4" t="str">
        <f t="shared" si="587"/>
        <v>Huyện Cam Lâm</v>
      </c>
      <c r="F7145" s="3" t="s">
        <v>7905</v>
      </c>
      <c r="G7145" s="4" t="str">
        <f>HYPERLINK("https://diaocthongthai.com/xa-cam-an-bac-cam-lam/","Xã Cam An Bắc")</f>
        <v>Xã Cam An Bắc</v>
      </c>
    </row>
    <row r="7146" spans="1:7" x14ac:dyDescent="0.25">
      <c r="A7146" s="2">
        <v>7145</v>
      </c>
      <c r="B7146" s="3" t="s">
        <v>39</v>
      </c>
      <c r="C7146" s="4" t="str">
        <f t="shared" si="586"/>
        <v>Khánh Hòa</v>
      </c>
      <c r="D7146" s="3" t="s">
        <v>477</v>
      </c>
      <c r="E7146" s="4" t="str">
        <f t="shared" si="587"/>
        <v>Huyện Cam Lâm</v>
      </c>
      <c r="F7146" s="3" t="s">
        <v>7906</v>
      </c>
      <c r="G7146" s="4" t="str">
        <f>HYPERLINK("https://diaocthongthai.com/xa-cam-an-nam-cam-lam/","Xã Cam An Nam")</f>
        <v>Xã Cam An Nam</v>
      </c>
    </row>
    <row r="7147" spans="1:7" x14ac:dyDescent="0.25">
      <c r="A7147" s="2">
        <v>7146</v>
      </c>
      <c r="B7147" s="3" t="s">
        <v>39</v>
      </c>
      <c r="C7147" s="4" t="str">
        <f t="shared" si="586"/>
        <v>Khánh Hòa</v>
      </c>
      <c r="D7147" s="3" t="s">
        <v>477</v>
      </c>
      <c r="E7147" s="4" t="str">
        <f t="shared" si="587"/>
        <v>Huyện Cam Lâm</v>
      </c>
      <c r="F7147" s="3" t="s">
        <v>7907</v>
      </c>
      <c r="G7147" s="4" t="str">
        <f>HYPERLINK("https://diaocthongthai.com/xa-suoi-cat-cam-lam/","Xã Suối Cát")</f>
        <v>Xã Suối Cát</v>
      </c>
    </row>
    <row r="7148" spans="1:7" x14ac:dyDescent="0.25">
      <c r="A7148" s="2">
        <v>7147</v>
      </c>
      <c r="B7148" s="3" t="s">
        <v>39</v>
      </c>
      <c r="C7148" s="4" t="str">
        <f t="shared" si="586"/>
        <v>Khánh Hòa</v>
      </c>
      <c r="D7148" s="3" t="s">
        <v>477</v>
      </c>
      <c r="E7148" s="4" t="str">
        <f t="shared" si="587"/>
        <v>Huyện Cam Lâm</v>
      </c>
      <c r="F7148" s="3" t="s">
        <v>7908</v>
      </c>
      <c r="G7148" s="4" t="str">
        <f>HYPERLINK("https://diaocthongthai.com/xa-suoi-tan-cam-lam/","Xã Suối Tân")</f>
        <v>Xã Suối Tân</v>
      </c>
    </row>
    <row r="7149" spans="1:7" x14ac:dyDescent="0.25">
      <c r="A7149" s="2">
        <v>7148</v>
      </c>
      <c r="B7149" s="3" t="s">
        <v>39</v>
      </c>
      <c r="C7149" s="4" t="str">
        <f t="shared" si="586"/>
        <v>Khánh Hòa</v>
      </c>
      <c r="D7149" s="3" t="s">
        <v>478</v>
      </c>
      <c r="E7149" s="4" t="str">
        <f t="shared" ref="E7149:E7161" si="588">HYPERLINK("https://diaocthongthai.com/ban-do-huyen-van-ninh-khanh-hoa/","Huyện Vạn Ninh")</f>
        <v>Huyện Vạn Ninh</v>
      </c>
      <c r="F7149" s="3" t="s">
        <v>7909</v>
      </c>
      <c r="G7149" s="4" t="str">
        <f>HYPERLINK("https://diaocthongthai.com/thi-tran-van-gia-van-ninh/","Thị trấn Vạn Giã")</f>
        <v>Thị trấn Vạn Giã</v>
      </c>
    </row>
    <row r="7150" spans="1:7" x14ac:dyDescent="0.25">
      <c r="A7150" s="2">
        <v>7149</v>
      </c>
      <c r="B7150" s="3" t="s">
        <v>39</v>
      </c>
      <c r="C7150" s="4" t="str">
        <f t="shared" si="586"/>
        <v>Khánh Hòa</v>
      </c>
      <c r="D7150" s="3" t="s">
        <v>478</v>
      </c>
      <c r="E7150" s="4" t="str">
        <f t="shared" si="588"/>
        <v>Huyện Vạn Ninh</v>
      </c>
      <c r="F7150" s="3" t="s">
        <v>7910</v>
      </c>
      <c r="G7150" s="4" t="str">
        <f>HYPERLINK("https://diaocthongthai.com/xa-dai-lanh-van-ninh/","Xã Đại Lãnh")</f>
        <v>Xã Đại Lãnh</v>
      </c>
    </row>
    <row r="7151" spans="1:7" x14ac:dyDescent="0.25">
      <c r="A7151" s="2">
        <v>7150</v>
      </c>
      <c r="B7151" s="3" t="s">
        <v>39</v>
      </c>
      <c r="C7151" s="4" t="str">
        <f t="shared" si="586"/>
        <v>Khánh Hòa</v>
      </c>
      <c r="D7151" s="3" t="s">
        <v>478</v>
      </c>
      <c r="E7151" s="4" t="str">
        <f t="shared" si="588"/>
        <v>Huyện Vạn Ninh</v>
      </c>
      <c r="F7151" s="3" t="s">
        <v>7911</v>
      </c>
      <c r="G7151" s="4" t="str">
        <f>HYPERLINK("https://diaocthongthai.com/xa-van-phuoc-van-ninh/","Xã Vạn Phước")</f>
        <v>Xã Vạn Phước</v>
      </c>
    </row>
    <row r="7152" spans="1:7" x14ac:dyDescent="0.25">
      <c r="A7152" s="2">
        <v>7151</v>
      </c>
      <c r="B7152" s="3" t="s">
        <v>39</v>
      </c>
      <c r="C7152" s="4" t="str">
        <f t="shared" si="586"/>
        <v>Khánh Hòa</v>
      </c>
      <c r="D7152" s="3" t="s">
        <v>478</v>
      </c>
      <c r="E7152" s="4" t="str">
        <f t="shared" si="588"/>
        <v>Huyện Vạn Ninh</v>
      </c>
      <c r="F7152" s="3" t="s">
        <v>7912</v>
      </c>
      <c r="G7152" s="4" t="str">
        <f>HYPERLINK("https://diaocthongthai.com/xa-van-long-van-ninh/","Xã Vạn Long")</f>
        <v>Xã Vạn Long</v>
      </c>
    </row>
    <row r="7153" spans="1:7" x14ac:dyDescent="0.25">
      <c r="A7153" s="2">
        <v>7152</v>
      </c>
      <c r="B7153" s="3" t="s">
        <v>39</v>
      </c>
      <c r="C7153" s="4" t="str">
        <f t="shared" si="586"/>
        <v>Khánh Hòa</v>
      </c>
      <c r="D7153" s="3" t="s">
        <v>478</v>
      </c>
      <c r="E7153" s="4" t="str">
        <f t="shared" si="588"/>
        <v>Huyện Vạn Ninh</v>
      </c>
      <c r="F7153" s="3" t="s">
        <v>7913</v>
      </c>
      <c r="G7153" s="4" t="str">
        <f>HYPERLINK("https://diaocthongthai.com/xa-van-binh-van-ninh/","Xã Vạn Bình")</f>
        <v>Xã Vạn Bình</v>
      </c>
    </row>
    <row r="7154" spans="1:7" x14ac:dyDescent="0.25">
      <c r="A7154" s="2">
        <v>7153</v>
      </c>
      <c r="B7154" s="3" t="s">
        <v>39</v>
      </c>
      <c r="C7154" s="4" t="str">
        <f t="shared" si="586"/>
        <v>Khánh Hòa</v>
      </c>
      <c r="D7154" s="3" t="s">
        <v>478</v>
      </c>
      <c r="E7154" s="4" t="str">
        <f t="shared" si="588"/>
        <v>Huyện Vạn Ninh</v>
      </c>
      <c r="F7154" s="3" t="s">
        <v>7914</v>
      </c>
      <c r="G7154" s="4" t="str">
        <f>HYPERLINK("https://diaocthongthai.com/xa-van-tho-van-ninh/","Xã Vạn Thọ")</f>
        <v>Xã Vạn Thọ</v>
      </c>
    </row>
    <row r="7155" spans="1:7" x14ac:dyDescent="0.25">
      <c r="A7155" s="2">
        <v>7154</v>
      </c>
      <c r="B7155" s="3" t="s">
        <v>39</v>
      </c>
      <c r="C7155" s="4" t="str">
        <f t="shared" si="586"/>
        <v>Khánh Hòa</v>
      </c>
      <c r="D7155" s="3" t="s">
        <v>478</v>
      </c>
      <c r="E7155" s="4" t="str">
        <f t="shared" si="588"/>
        <v>Huyện Vạn Ninh</v>
      </c>
      <c r="F7155" s="3" t="s">
        <v>7915</v>
      </c>
      <c r="G7155" s="4" t="str">
        <f>HYPERLINK("https://diaocthongthai.com/xa-van-khanh-van-ninh/","Xã Vạn Khánh")</f>
        <v>Xã Vạn Khánh</v>
      </c>
    </row>
    <row r="7156" spans="1:7" x14ac:dyDescent="0.25">
      <c r="A7156" s="2">
        <v>7155</v>
      </c>
      <c r="B7156" s="3" t="s">
        <v>39</v>
      </c>
      <c r="C7156" s="4" t="str">
        <f t="shared" si="586"/>
        <v>Khánh Hòa</v>
      </c>
      <c r="D7156" s="3" t="s">
        <v>478</v>
      </c>
      <c r="E7156" s="4" t="str">
        <f t="shared" si="588"/>
        <v>Huyện Vạn Ninh</v>
      </c>
      <c r="F7156" s="3" t="s">
        <v>7916</v>
      </c>
      <c r="G7156" s="4" t="str">
        <f>HYPERLINK("https://diaocthongthai.com/xa-van-phu-van-ninh/","Xã Vạn Phú")</f>
        <v>Xã Vạn Phú</v>
      </c>
    </row>
    <row r="7157" spans="1:7" x14ac:dyDescent="0.25">
      <c r="A7157" s="2">
        <v>7156</v>
      </c>
      <c r="B7157" s="3" t="s">
        <v>39</v>
      </c>
      <c r="C7157" s="4" t="str">
        <f t="shared" ref="C7157:C7188" si="589">HYPERLINK("https://diaocthongthai.com/ban-do-khanh-hoa/","Khánh Hòa")</f>
        <v>Khánh Hòa</v>
      </c>
      <c r="D7157" s="3" t="s">
        <v>478</v>
      </c>
      <c r="E7157" s="4" t="str">
        <f t="shared" si="588"/>
        <v>Huyện Vạn Ninh</v>
      </c>
      <c r="F7157" s="3" t="s">
        <v>7917</v>
      </c>
      <c r="G7157" s="4" t="str">
        <f>HYPERLINK("https://diaocthongthai.com/xa-van-luong-van-ninh/","Xã Vạn Lương")</f>
        <v>Xã Vạn Lương</v>
      </c>
    </row>
    <row r="7158" spans="1:7" x14ac:dyDescent="0.25">
      <c r="A7158" s="2">
        <v>7157</v>
      </c>
      <c r="B7158" s="3" t="s">
        <v>39</v>
      </c>
      <c r="C7158" s="4" t="str">
        <f t="shared" si="589"/>
        <v>Khánh Hòa</v>
      </c>
      <c r="D7158" s="3" t="s">
        <v>478</v>
      </c>
      <c r="E7158" s="4" t="str">
        <f t="shared" si="588"/>
        <v>Huyện Vạn Ninh</v>
      </c>
      <c r="F7158" s="3" t="s">
        <v>7918</v>
      </c>
      <c r="G7158" s="4" t="str">
        <f>HYPERLINK("https://diaocthongthai.com/xa-van-thang-van-ninh/","Xã Vạn Thắng")</f>
        <v>Xã Vạn Thắng</v>
      </c>
    </row>
    <row r="7159" spans="1:7" x14ac:dyDescent="0.25">
      <c r="A7159" s="2">
        <v>7158</v>
      </c>
      <c r="B7159" s="3" t="s">
        <v>39</v>
      </c>
      <c r="C7159" s="4" t="str">
        <f t="shared" si="589"/>
        <v>Khánh Hòa</v>
      </c>
      <c r="D7159" s="3" t="s">
        <v>478</v>
      </c>
      <c r="E7159" s="4" t="str">
        <f t="shared" si="588"/>
        <v>Huyện Vạn Ninh</v>
      </c>
      <c r="F7159" s="3" t="s">
        <v>7919</v>
      </c>
      <c r="G7159" s="4" t="str">
        <f>HYPERLINK("https://diaocthongthai.com/xa-van-thanh-van-ninh/","Xã Vạn Thạnh")</f>
        <v>Xã Vạn Thạnh</v>
      </c>
    </row>
    <row r="7160" spans="1:7" x14ac:dyDescent="0.25">
      <c r="A7160" s="2">
        <v>7159</v>
      </c>
      <c r="B7160" s="3" t="s">
        <v>39</v>
      </c>
      <c r="C7160" s="4" t="str">
        <f t="shared" si="589"/>
        <v>Khánh Hòa</v>
      </c>
      <c r="D7160" s="3" t="s">
        <v>478</v>
      </c>
      <c r="E7160" s="4" t="str">
        <f t="shared" si="588"/>
        <v>Huyện Vạn Ninh</v>
      </c>
      <c r="F7160" s="3" t="s">
        <v>7920</v>
      </c>
      <c r="G7160" s="4" t="str">
        <f>HYPERLINK("https://diaocthongthai.com/xa-xuan-son-van-ninh/","Xã Xuân Sơn")</f>
        <v>Xã Xuân Sơn</v>
      </c>
    </row>
    <row r="7161" spans="1:7" x14ac:dyDescent="0.25">
      <c r="A7161" s="2">
        <v>7160</v>
      </c>
      <c r="B7161" s="3" t="s">
        <v>39</v>
      </c>
      <c r="C7161" s="4" t="str">
        <f t="shared" si="589"/>
        <v>Khánh Hòa</v>
      </c>
      <c r="D7161" s="3" t="s">
        <v>478</v>
      </c>
      <c r="E7161" s="4" t="str">
        <f t="shared" si="588"/>
        <v>Huyện Vạn Ninh</v>
      </c>
      <c r="F7161" s="3" t="s">
        <v>7921</v>
      </c>
      <c r="G7161" s="4" t="str">
        <f>HYPERLINK("https://diaocthongthai.com/xa-van-hung-van-ninh/","Xã Vạn Hưng")</f>
        <v>Xã Vạn Hưng</v>
      </c>
    </row>
    <row r="7162" spans="1:7" x14ac:dyDescent="0.25">
      <c r="A7162" s="2">
        <v>7161</v>
      </c>
      <c r="B7162" s="3" t="s">
        <v>39</v>
      </c>
      <c r="C7162" s="4" t="str">
        <f t="shared" si="589"/>
        <v>Khánh Hòa</v>
      </c>
      <c r="D7162" s="3" t="s">
        <v>479</v>
      </c>
      <c r="E7162" s="4" t="str">
        <f t="shared" ref="E7162:E7188" si="590">HYPERLINK("https://diaocthongthai.com/ban-do-thi-xa-ninh-hoa-khanh-hoa/","Thị xã Ninh Hòa")</f>
        <v>Thị xã Ninh Hòa</v>
      </c>
      <c r="F7162" s="3" t="s">
        <v>7922</v>
      </c>
      <c r="G7162" s="4" t="str">
        <f>HYPERLINK("https://diaocthongthai.com/phuong-ninh-hiep-ninh-hoa/","Phường Ninh Hiệp")</f>
        <v>Phường Ninh Hiệp</v>
      </c>
    </row>
    <row r="7163" spans="1:7" x14ac:dyDescent="0.25">
      <c r="A7163" s="2">
        <v>7162</v>
      </c>
      <c r="B7163" s="3" t="s">
        <v>39</v>
      </c>
      <c r="C7163" s="4" t="str">
        <f t="shared" si="589"/>
        <v>Khánh Hòa</v>
      </c>
      <c r="D7163" s="3" t="s">
        <v>479</v>
      </c>
      <c r="E7163" s="4" t="str">
        <f t="shared" si="590"/>
        <v>Thị xã Ninh Hòa</v>
      </c>
      <c r="F7163" s="3" t="s">
        <v>7923</v>
      </c>
      <c r="G7163" s="4" t="str">
        <f>HYPERLINK("https://diaocthongthai.com/xa-ninh-son-ninh-hoa/","Xã Ninh Sơn")</f>
        <v>Xã Ninh Sơn</v>
      </c>
    </row>
    <row r="7164" spans="1:7" x14ac:dyDescent="0.25">
      <c r="A7164" s="2">
        <v>7163</v>
      </c>
      <c r="B7164" s="3" t="s">
        <v>39</v>
      </c>
      <c r="C7164" s="4" t="str">
        <f t="shared" si="589"/>
        <v>Khánh Hòa</v>
      </c>
      <c r="D7164" s="3" t="s">
        <v>479</v>
      </c>
      <c r="E7164" s="4" t="str">
        <f t="shared" si="590"/>
        <v>Thị xã Ninh Hòa</v>
      </c>
      <c r="F7164" s="3" t="s">
        <v>7924</v>
      </c>
      <c r="G7164" s="4" t="str">
        <f>HYPERLINK("https://diaocthongthai.com/xa-ninh-tay-ninh-hoa/","Xã Ninh Tây")</f>
        <v>Xã Ninh Tây</v>
      </c>
    </row>
    <row r="7165" spans="1:7" x14ac:dyDescent="0.25">
      <c r="A7165" s="2">
        <v>7164</v>
      </c>
      <c r="B7165" s="3" t="s">
        <v>39</v>
      </c>
      <c r="C7165" s="4" t="str">
        <f t="shared" si="589"/>
        <v>Khánh Hòa</v>
      </c>
      <c r="D7165" s="3" t="s">
        <v>479</v>
      </c>
      <c r="E7165" s="4" t="str">
        <f t="shared" si="590"/>
        <v>Thị xã Ninh Hòa</v>
      </c>
      <c r="F7165" s="3" t="s">
        <v>7925</v>
      </c>
      <c r="G7165" s="4" t="str">
        <f>HYPERLINK("https://diaocthongthai.com/xa-ninh-thuong-ninh-hoa/","Xã Ninh Thượng")</f>
        <v>Xã Ninh Thượng</v>
      </c>
    </row>
    <row r="7166" spans="1:7" x14ac:dyDescent="0.25">
      <c r="A7166" s="2">
        <v>7165</v>
      </c>
      <c r="B7166" s="3" t="s">
        <v>39</v>
      </c>
      <c r="C7166" s="4" t="str">
        <f t="shared" si="589"/>
        <v>Khánh Hòa</v>
      </c>
      <c r="D7166" s="3" t="s">
        <v>479</v>
      </c>
      <c r="E7166" s="4" t="str">
        <f t="shared" si="590"/>
        <v>Thị xã Ninh Hòa</v>
      </c>
      <c r="F7166" s="3" t="s">
        <v>7926</v>
      </c>
      <c r="G7166" s="4" t="str">
        <f>HYPERLINK("https://diaocthongthai.com/xa-ninh-an-ninh-hoa/","Xã Ninh An")</f>
        <v>Xã Ninh An</v>
      </c>
    </row>
    <row r="7167" spans="1:7" x14ac:dyDescent="0.25">
      <c r="A7167" s="2">
        <v>7166</v>
      </c>
      <c r="B7167" s="3" t="s">
        <v>39</v>
      </c>
      <c r="C7167" s="4" t="str">
        <f t="shared" si="589"/>
        <v>Khánh Hòa</v>
      </c>
      <c r="D7167" s="3" t="s">
        <v>479</v>
      </c>
      <c r="E7167" s="4" t="str">
        <f t="shared" si="590"/>
        <v>Thị xã Ninh Hòa</v>
      </c>
      <c r="F7167" s="3" t="s">
        <v>7927</v>
      </c>
      <c r="G7167" s="4" t="str">
        <f>HYPERLINK("https://diaocthongthai.com/phuong-ninh-hai-ninh-hoa/","Phường Ninh Hải")</f>
        <v>Phường Ninh Hải</v>
      </c>
    </row>
    <row r="7168" spans="1:7" x14ac:dyDescent="0.25">
      <c r="A7168" s="2">
        <v>7167</v>
      </c>
      <c r="B7168" s="3" t="s">
        <v>39</v>
      </c>
      <c r="C7168" s="4" t="str">
        <f t="shared" si="589"/>
        <v>Khánh Hòa</v>
      </c>
      <c r="D7168" s="3" t="s">
        <v>479</v>
      </c>
      <c r="E7168" s="4" t="str">
        <f t="shared" si="590"/>
        <v>Thị xã Ninh Hòa</v>
      </c>
      <c r="F7168" s="3" t="s">
        <v>7928</v>
      </c>
      <c r="G7168" s="4" t="str">
        <f>HYPERLINK("https://diaocthongthai.com/xa-ninh-tho-ninh-hoa/","Xã Ninh Thọ")</f>
        <v>Xã Ninh Thọ</v>
      </c>
    </row>
    <row r="7169" spans="1:7" x14ac:dyDescent="0.25">
      <c r="A7169" s="2">
        <v>7168</v>
      </c>
      <c r="B7169" s="3" t="s">
        <v>39</v>
      </c>
      <c r="C7169" s="4" t="str">
        <f t="shared" si="589"/>
        <v>Khánh Hòa</v>
      </c>
      <c r="D7169" s="3" t="s">
        <v>479</v>
      </c>
      <c r="E7169" s="4" t="str">
        <f t="shared" si="590"/>
        <v>Thị xã Ninh Hòa</v>
      </c>
      <c r="F7169" s="3" t="s">
        <v>7929</v>
      </c>
      <c r="G7169" s="4" t="str">
        <f>HYPERLINK("https://diaocthongthai.com/xa-ninh-trung-ninh-hoa/","Xã Ninh Trung")</f>
        <v>Xã Ninh Trung</v>
      </c>
    </row>
    <row r="7170" spans="1:7" x14ac:dyDescent="0.25">
      <c r="A7170" s="2">
        <v>7169</v>
      </c>
      <c r="B7170" s="3" t="s">
        <v>39</v>
      </c>
      <c r="C7170" s="4" t="str">
        <f t="shared" si="589"/>
        <v>Khánh Hòa</v>
      </c>
      <c r="D7170" s="3" t="s">
        <v>479</v>
      </c>
      <c r="E7170" s="4" t="str">
        <f t="shared" si="590"/>
        <v>Thị xã Ninh Hòa</v>
      </c>
      <c r="F7170" s="3" t="s">
        <v>7930</v>
      </c>
      <c r="G7170" s="4" t="str">
        <f>HYPERLINK("https://diaocthongthai.com/xa-ninh-sim-ninh-hoa/","Xã Ninh Sim")</f>
        <v>Xã Ninh Sim</v>
      </c>
    </row>
    <row r="7171" spans="1:7" x14ac:dyDescent="0.25">
      <c r="A7171" s="2">
        <v>7170</v>
      </c>
      <c r="B7171" s="3" t="s">
        <v>39</v>
      </c>
      <c r="C7171" s="4" t="str">
        <f t="shared" si="589"/>
        <v>Khánh Hòa</v>
      </c>
      <c r="D7171" s="3" t="s">
        <v>479</v>
      </c>
      <c r="E7171" s="4" t="str">
        <f t="shared" si="590"/>
        <v>Thị xã Ninh Hòa</v>
      </c>
      <c r="F7171" s="3" t="s">
        <v>7931</v>
      </c>
      <c r="G7171" s="4" t="str">
        <f>HYPERLINK("https://diaocthongthai.com/xa-ninh-xuan-ninh-hoa/","Xã Ninh Xuân")</f>
        <v>Xã Ninh Xuân</v>
      </c>
    </row>
    <row r="7172" spans="1:7" x14ac:dyDescent="0.25">
      <c r="A7172" s="2">
        <v>7171</v>
      </c>
      <c r="B7172" s="3" t="s">
        <v>39</v>
      </c>
      <c r="C7172" s="4" t="str">
        <f t="shared" si="589"/>
        <v>Khánh Hòa</v>
      </c>
      <c r="D7172" s="3" t="s">
        <v>479</v>
      </c>
      <c r="E7172" s="4" t="str">
        <f t="shared" si="590"/>
        <v>Thị xã Ninh Hòa</v>
      </c>
      <c r="F7172" s="3" t="s">
        <v>7932</v>
      </c>
      <c r="G7172" s="4" t="str">
        <f>HYPERLINK("https://diaocthongthai.com/xa-ninh-than-ninh-hoa/","Xã Ninh Thân")</f>
        <v>Xã Ninh Thân</v>
      </c>
    </row>
    <row r="7173" spans="1:7" x14ac:dyDescent="0.25">
      <c r="A7173" s="2">
        <v>7172</v>
      </c>
      <c r="B7173" s="3" t="s">
        <v>39</v>
      </c>
      <c r="C7173" s="4" t="str">
        <f t="shared" si="589"/>
        <v>Khánh Hòa</v>
      </c>
      <c r="D7173" s="3" t="s">
        <v>479</v>
      </c>
      <c r="E7173" s="4" t="str">
        <f t="shared" si="590"/>
        <v>Thị xã Ninh Hòa</v>
      </c>
      <c r="F7173" s="3" t="s">
        <v>7933</v>
      </c>
      <c r="G7173" s="4" t="str">
        <f>HYPERLINK("https://diaocthongthai.com/phuong-ninh-diem-ninh-hoa/","Phường Ninh Diêm")</f>
        <v>Phường Ninh Diêm</v>
      </c>
    </row>
    <row r="7174" spans="1:7" x14ac:dyDescent="0.25">
      <c r="A7174" s="2">
        <v>7173</v>
      </c>
      <c r="B7174" s="3" t="s">
        <v>39</v>
      </c>
      <c r="C7174" s="4" t="str">
        <f t="shared" si="589"/>
        <v>Khánh Hòa</v>
      </c>
      <c r="D7174" s="3" t="s">
        <v>479</v>
      </c>
      <c r="E7174" s="4" t="str">
        <f t="shared" si="590"/>
        <v>Thị xã Ninh Hòa</v>
      </c>
      <c r="F7174" s="3" t="s">
        <v>7934</v>
      </c>
      <c r="G7174" s="4" t="str">
        <f>HYPERLINK("https://diaocthongthai.com/xa-ninh-dong-ninh-hoa/","Xã Ninh Đông")</f>
        <v>Xã Ninh Đông</v>
      </c>
    </row>
    <row r="7175" spans="1:7" x14ac:dyDescent="0.25">
      <c r="A7175" s="2">
        <v>7174</v>
      </c>
      <c r="B7175" s="3" t="s">
        <v>39</v>
      </c>
      <c r="C7175" s="4" t="str">
        <f t="shared" si="589"/>
        <v>Khánh Hòa</v>
      </c>
      <c r="D7175" s="3" t="s">
        <v>479</v>
      </c>
      <c r="E7175" s="4" t="str">
        <f t="shared" si="590"/>
        <v>Thị xã Ninh Hòa</v>
      </c>
      <c r="F7175" s="3" t="s">
        <v>7935</v>
      </c>
      <c r="G7175" s="4" t="str">
        <f>HYPERLINK("https://diaocthongthai.com/phuong-ninh-thuy-ninh-hoa/","Phường Ninh Thủy")</f>
        <v>Phường Ninh Thủy</v>
      </c>
    </row>
    <row r="7176" spans="1:7" x14ac:dyDescent="0.25">
      <c r="A7176" s="2">
        <v>7175</v>
      </c>
      <c r="B7176" s="3" t="s">
        <v>39</v>
      </c>
      <c r="C7176" s="4" t="str">
        <f t="shared" si="589"/>
        <v>Khánh Hòa</v>
      </c>
      <c r="D7176" s="3" t="s">
        <v>479</v>
      </c>
      <c r="E7176" s="4" t="str">
        <f t="shared" si="590"/>
        <v>Thị xã Ninh Hòa</v>
      </c>
      <c r="F7176" s="3" t="s">
        <v>7936</v>
      </c>
      <c r="G7176" s="4" t="str">
        <f>HYPERLINK("https://diaocthongthai.com/phuong-ninh-da-ninh-hoa/","Phường Ninh Đa")</f>
        <v>Phường Ninh Đa</v>
      </c>
    </row>
    <row r="7177" spans="1:7" x14ac:dyDescent="0.25">
      <c r="A7177" s="2">
        <v>7176</v>
      </c>
      <c r="B7177" s="3" t="s">
        <v>39</v>
      </c>
      <c r="C7177" s="4" t="str">
        <f t="shared" si="589"/>
        <v>Khánh Hòa</v>
      </c>
      <c r="D7177" s="3" t="s">
        <v>479</v>
      </c>
      <c r="E7177" s="4" t="str">
        <f t="shared" si="590"/>
        <v>Thị xã Ninh Hòa</v>
      </c>
      <c r="F7177" s="3" t="s">
        <v>7937</v>
      </c>
      <c r="G7177" s="4" t="str">
        <f>HYPERLINK("https://diaocthongthai.com/xa-ninh-phung-ninh-hoa/","Xã Ninh Phụng")</f>
        <v>Xã Ninh Phụng</v>
      </c>
    </row>
    <row r="7178" spans="1:7" x14ac:dyDescent="0.25">
      <c r="A7178" s="2">
        <v>7177</v>
      </c>
      <c r="B7178" s="3" t="s">
        <v>39</v>
      </c>
      <c r="C7178" s="4" t="str">
        <f t="shared" si="589"/>
        <v>Khánh Hòa</v>
      </c>
      <c r="D7178" s="3" t="s">
        <v>479</v>
      </c>
      <c r="E7178" s="4" t="str">
        <f t="shared" si="590"/>
        <v>Thị xã Ninh Hòa</v>
      </c>
      <c r="F7178" s="3" t="s">
        <v>7938</v>
      </c>
      <c r="G7178" s="4" t="str">
        <f>HYPERLINK("https://diaocthongthai.com/xa-ninh-binh-ninh-hoa/","Xã Ninh Bình")</f>
        <v>Xã Ninh Bình</v>
      </c>
    </row>
    <row r="7179" spans="1:7" x14ac:dyDescent="0.25">
      <c r="A7179" s="2">
        <v>7178</v>
      </c>
      <c r="B7179" s="3" t="s">
        <v>39</v>
      </c>
      <c r="C7179" s="4" t="str">
        <f t="shared" si="589"/>
        <v>Khánh Hòa</v>
      </c>
      <c r="D7179" s="3" t="s">
        <v>479</v>
      </c>
      <c r="E7179" s="4" t="str">
        <f t="shared" si="590"/>
        <v>Thị xã Ninh Hòa</v>
      </c>
      <c r="F7179" s="3" t="s">
        <v>7939</v>
      </c>
      <c r="G7179" s="4" t="str">
        <f>HYPERLINK("https://diaocthongthai.com/xa-ninh-phuoc-ninh-hoa/","Xã Ninh Phước")</f>
        <v>Xã Ninh Phước</v>
      </c>
    </row>
    <row r="7180" spans="1:7" x14ac:dyDescent="0.25">
      <c r="A7180" s="2">
        <v>7179</v>
      </c>
      <c r="B7180" s="3" t="s">
        <v>39</v>
      </c>
      <c r="C7180" s="4" t="str">
        <f t="shared" si="589"/>
        <v>Khánh Hòa</v>
      </c>
      <c r="D7180" s="3" t="s">
        <v>479</v>
      </c>
      <c r="E7180" s="4" t="str">
        <f t="shared" si="590"/>
        <v>Thị xã Ninh Hòa</v>
      </c>
      <c r="F7180" s="3" t="s">
        <v>7940</v>
      </c>
      <c r="G7180" s="4" t="str">
        <f>HYPERLINK("https://diaocthongthai.com/xa-ninh-phu-ninh-hoa/","Xã Ninh Phú")</f>
        <v>Xã Ninh Phú</v>
      </c>
    </row>
    <row r="7181" spans="1:7" x14ac:dyDescent="0.25">
      <c r="A7181" s="2">
        <v>7180</v>
      </c>
      <c r="B7181" s="3" t="s">
        <v>39</v>
      </c>
      <c r="C7181" s="4" t="str">
        <f t="shared" si="589"/>
        <v>Khánh Hòa</v>
      </c>
      <c r="D7181" s="3" t="s">
        <v>479</v>
      </c>
      <c r="E7181" s="4" t="str">
        <f t="shared" si="590"/>
        <v>Thị xã Ninh Hòa</v>
      </c>
      <c r="F7181" s="3" t="s">
        <v>7941</v>
      </c>
      <c r="G7181" s="4" t="str">
        <f>HYPERLINK("https://diaocthongthai.com/xa-ninh-tan-ninh-hoa/","Xã Ninh Tân")</f>
        <v>Xã Ninh Tân</v>
      </c>
    </row>
    <row r="7182" spans="1:7" x14ac:dyDescent="0.25">
      <c r="A7182" s="2">
        <v>7181</v>
      </c>
      <c r="B7182" s="3" t="s">
        <v>39</v>
      </c>
      <c r="C7182" s="4" t="str">
        <f t="shared" si="589"/>
        <v>Khánh Hòa</v>
      </c>
      <c r="D7182" s="3" t="s">
        <v>479</v>
      </c>
      <c r="E7182" s="4" t="str">
        <f t="shared" si="590"/>
        <v>Thị xã Ninh Hòa</v>
      </c>
      <c r="F7182" s="3" t="s">
        <v>7942</v>
      </c>
      <c r="G7182" s="4" t="str">
        <f>HYPERLINK("https://diaocthongthai.com/xa-ninh-quang-ninh-hoa/","Xã Ninh Quang")</f>
        <v>Xã Ninh Quang</v>
      </c>
    </row>
    <row r="7183" spans="1:7" x14ac:dyDescent="0.25">
      <c r="A7183" s="2">
        <v>7182</v>
      </c>
      <c r="B7183" s="3" t="s">
        <v>39</v>
      </c>
      <c r="C7183" s="4" t="str">
        <f t="shared" si="589"/>
        <v>Khánh Hòa</v>
      </c>
      <c r="D7183" s="3" t="s">
        <v>479</v>
      </c>
      <c r="E7183" s="4" t="str">
        <f t="shared" si="590"/>
        <v>Thị xã Ninh Hòa</v>
      </c>
      <c r="F7183" s="3" t="s">
        <v>7943</v>
      </c>
      <c r="G7183" s="4" t="str">
        <f>HYPERLINK("https://diaocthongthai.com/phuong-ninh-giang-ninh-hoa/","Phường Ninh Giang")</f>
        <v>Phường Ninh Giang</v>
      </c>
    </row>
    <row r="7184" spans="1:7" x14ac:dyDescent="0.25">
      <c r="A7184" s="2">
        <v>7183</v>
      </c>
      <c r="B7184" s="3" t="s">
        <v>39</v>
      </c>
      <c r="C7184" s="4" t="str">
        <f t="shared" si="589"/>
        <v>Khánh Hòa</v>
      </c>
      <c r="D7184" s="3" t="s">
        <v>479</v>
      </c>
      <c r="E7184" s="4" t="str">
        <f t="shared" si="590"/>
        <v>Thị xã Ninh Hòa</v>
      </c>
      <c r="F7184" s="3" t="s">
        <v>7944</v>
      </c>
      <c r="G7184" s="4" t="str">
        <f>HYPERLINK("https://diaocthongthai.com/phuong-ninh-ha-ninh-hoa/","Phường Ninh Hà")</f>
        <v>Phường Ninh Hà</v>
      </c>
    </row>
    <row r="7185" spans="1:7" x14ac:dyDescent="0.25">
      <c r="A7185" s="2">
        <v>7184</v>
      </c>
      <c r="B7185" s="3" t="s">
        <v>39</v>
      </c>
      <c r="C7185" s="4" t="str">
        <f t="shared" si="589"/>
        <v>Khánh Hòa</v>
      </c>
      <c r="D7185" s="3" t="s">
        <v>479</v>
      </c>
      <c r="E7185" s="4" t="str">
        <f t="shared" si="590"/>
        <v>Thị xã Ninh Hòa</v>
      </c>
      <c r="F7185" s="3" t="s">
        <v>7945</v>
      </c>
      <c r="G7185" s="4" t="str">
        <f>HYPERLINK("https://diaocthongthai.com/xa-ninh-hung-ninh-hoa/","Xã Ninh Hưng")</f>
        <v>Xã Ninh Hưng</v>
      </c>
    </row>
    <row r="7186" spans="1:7" x14ac:dyDescent="0.25">
      <c r="A7186" s="2">
        <v>7185</v>
      </c>
      <c r="B7186" s="3" t="s">
        <v>39</v>
      </c>
      <c r="C7186" s="4" t="str">
        <f t="shared" si="589"/>
        <v>Khánh Hòa</v>
      </c>
      <c r="D7186" s="3" t="s">
        <v>479</v>
      </c>
      <c r="E7186" s="4" t="str">
        <f t="shared" si="590"/>
        <v>Thị xã Ninh Hòa</v>
      </c>
      <c r="F7186" s="3" t="s">
        <v>7946</v>
      </c>
      <c r="G7186" s="4" t="str">
        <f>HYPERLINK("https://diaocthongthai.com/xa-ninh-loc-ninh-hoa/","Xã Ninh Lộc")</f>
        <v>Xã Ninh Lộc</v>
      </c>
    </row>
    <row r="7187" spans="1:7" x14ac:dyDescent="0.25">
      <c r="A7187" s="2">
        <v>7186</v>
      </c>
      <c r="B7187" s="3" t="s">
        <v>39</v>
      </c>
      <c r="C7187" s="4" t="str">
        <f t="shared" si="589"/>
        <v>Khánh Hòa</v>
      </c>
      <c r="D7187" s="3" t="s">
        <v>479</v>
      </c>
      <c r="E7187" s="4" t="str">
        <f t="shared" si="590"/>
        <v>Thị xã Ninh Hòa</v>
      </c>
      <c r="F7187" s="3" t="s">
        <v>7947</v>
      </c>
      <c r="G7187" s="4" t="str">
        <f>HYPERLINK("https://diaocthongthai.com/xa-ninh-ich-ninh-hoa/","Xã Ninh Ích")</f>
        <v>Xã Ninh Ích</v>
      </c>
    </row>
    <row r="7188" spans="1:7" x14ac:dyDescent="0.25">
      <c r="A7188" s="2">
        <v>7187</v>
      </c>
      <c r="B7188" s="3" t="s">
        <v>39</v>
      </c>
      <c r="C7188" s="4" t="str">
        <f t="shared" si="589"/>
        <v>Khánh Hòa</v>
      </c>
      <c r="D7188" s="3" t="s">
        <v>479</v>
      </c>
      <c r="E7188" s="4" t="str">
        <f t="shared" si="590"/>
        <v>Thị xã Ninh Hòa</v>
      </c>
      <c r="F7188" s="3" t="s">
        <v>7948</v>
      </c>
      <c r="G7188" s="4" t="str">
        <f>HYPERLINK("https://diaocthongthai.com/xa-ninh-van-ninh-hoa/","Xã Ninh Vân")</f>
        <v>Xã Ninh Vân</v>
      </c>
    </row>
    <row r="7189" spans="1:7" x14ac:dyDescent="0.25">
      <c r="A7189" s="2">
        <v>7188</v>
      </c>
      <c r="B7189" s="3" t="s">
        <v>39</v>
      </c>
      <c r="C7189" s="4" t="str">
        <f t="shared" ref="C7189:C7220" si="591">HYPERLINK("https://diaocthongthai.com/ban-do-khanh-hoa/","Khánh Hòa")</f>
        <v>Khánh Hòa</v>
      </c>
      <c r="D7189" s="3" t="s">
        <v>480</v>
      </c>
      <c r="E7189" s="4" t="str">
        <f t="shared" ref="E7189:E7202" si="592">HYPERLINK("https://diaocthongthai.com/ban-do-huyen-khanh-vinh-khanh-hoa/","Huyện Khánh Vĩnh")</f>
        <v>Huyện Khánh Vĩnh</v>
      </c>
      <c r="F7189" s="3" t="s">
        <v>7949</v>
      </c>
      <c r="G7189" s="4" t="str">
        <f>HYPERLINK("https://diaocthongthai.com/thi-tran-khanh-vinh-khanh-vinh/","Thị trấn Khánh Vĩnh")</f>
        <v>Thị trấn Khánh Vĩnh</v>
      </c>
    </row>
    <row r="7190" spans="1:7" x14ac:dyDescent="0.25">
      <c r="A7190" s="2">
        <v>7189</v>
      </c>
      <c r="B7190" s="3" t="s">
        <v>39</v>
      </c>
      <c r="C7190" s="4" t="str">
        <f t="shared" si="591"/>
        <v>Khánh Hòa</v>
      </c>
      <c r="D7190" s="3" t="s">
        <v>480</v>
      </c>
      <c r="E7190" s="4" t="str">
        <f t="shared" si="592"/>
        <v>Huyện Khánh Vĩnh</v>
      </c>
      <c r="F7190" s="3" t="s">
        <v>7950</v>
      </c>
      <c r="G7190" s="4" t="str">
        <f>HYPERLINK("https://diaocthongthai.com/xa-khanh-hiep-khanh-vinh/","Xã Khánh Hiệp")</f>
        <v>Xã Khánh Hiệp</v>
      </c>
    </row>
    <row r="7191" spans="1:7" x14ac:dyDescent="0.25">
      <c r="A7191" s="2">
        <v>7190</v>
      </c>
      <c r="B7191" s="3" t="s">
        <v>39</v>
      </c>
      <c r="C7191" s="4" t="str">
        <f t="shared" si="591"/>
        <v>Khánh Hòa</v>
      </c>
      <c r="D7191" s="3" t="s">
        <v>480</v>
      </c>
      <c r="E7191" s="4" t="str">
        <f t="shared" si="592"/>
        <v>Huyện Khánh Vĩnh</v>
      </c>
      <c r="F7191" s="3" t="s">
        <v>7951</v>
      </c>
      <c r="G7191" s="4" t="str">
        <f>HYPERLINK("https://diaocthongthai.com/xa-khanh-binh-khanh-vinh/","Xã Khánh Bình")</f>
        <v>Xã Khánh Bình</v>
      </c>
    </row>
    <row r="7192" spans="1:7" x14ac:dyDescent="0.25">
      <c r="A7192" s="2">
        <v>7191</v>
      </c>
      <c r="B7192" s="3" t="s">
        <v>39</v>
      </c>
      <c r="C7192" s="4" t="str">
        <f t="shared" si="591"/>
        <v>Khánh Hòa</v>
      </c>
      <c r="D7192" s="3" t="s">
        <v>480</v>
      </c>
      <c r="E7192" s="4" t="str">
        <f t="shared" si="592"/>
        <v>Huyện Khánh Vĩnh</v>
      </c>
      <c r="F7192" s="3" t="s">
        <v>7952</v>
      </c>
      <c r="G7192" s="4" t="str">
        <f>HYPERLINK("https://diaocthongthai.com/xa-khanh-trung-khanh-vinh/","Xã Khánh Trung")</f>
        <v>Xã Khánh Trung</v>
      </c>
    </row>
    <row r="7193" spans="1:7" x14ac:dyDescent="0.25">
      <c r="A7193" s="2">
        <v>7192</v>
      </c>
      <c r="B7193" s="3" t="s">
        <v>39</v>
      </c>
      <c r="C7193" s="4" t="str">
        <f t="shared" si="591"/>
        <v>Khánh Hòa</v>
      </c>
      <c r="D7193" s="3" t="s">
        <v>480</v>
      </c>
      <c r="E7193" s="4" t="str">
        <f t="shared" si="592"/>
        <v>Huyện Khánh Vĩnh</v>
      </c>
      <c r="F7193" s="3" t="s">
        <v>7953</v>
      </c>
      <c r="G7193" s="4" t="str">
        <f>HYPERLINK("https://diaocthongthai.com/xa-khanh-dong-khanh-vinh/","Xã Khánh Đông")</f>
        <v>Xã Khánh Đông</v>
      </c>
    </row>
    <row r="7194" spans="1:7" x14ac:dyDescent="0.25">
      <c r="A7194" s="2">
        <v>7193</v>
      </c>
      <c r="B7194" s="3" t="s">
        <v>39</v>
      </c>
      <c r="C7194" s="4" t="str">
        <f t="shared" si="591"/>
        <v>Khánh Hòa</v>
      </c>
      <c r="D7194" s="3" t="s">
        <v>480</v>
      </c>
      <c r="E7194" s="4" t="str">
        <f t="shared" si="592"/>
        <v>Huyện Khánh Vĩnh</v>
      </c>
      <c r="F7194" s="3" t="s">
        <v>7954</v>
      </c>
      <c r="G7194" s="4" t="str">
        <f>HYPERLINK("https://diaocthongthai.com/xa-khanh-thuong-khanh-vinh/","Xã Khánh Thượng")</f>
        <v>Xã Khánh Thượng</v>
      </c>
    </row>
    <row r="7195" spans="1:7" x14ac:dyDescent="0.25">
      <c r="A7195" s="2">
        <v>7194</v>
      </c>
      <c r="B7195" s="3" t="s">
        <v>39</v>
      </c>
      <c r="C7195" s="4" t="str">
        <f t="shared" si="591"/>
        <v>Khánh Hòa</v>
      </c>
      <c r="D7195" s="3" t="s">
        <v>480</v>
      </c>
      <c r="E7195" s="4" t="str">
        <f t="shared" si="592"/>
        <v>Huyện Khánh Vĩnh</v>
      </c>
      <c r="F7195" s="3" t="s">
        <v>7955</v>
      </c>
      <c r="G7195" s="4" t="str">
        <f>HYPERLINK("https://diaocthongthai.com/xa-khanh-nam-khanh-vinh/","Xã Khánh Nam")</f>
        <v>Xã Khánh Nam</v>
      </c>
    </row>
    <row r="7196" spans="1:7" x14ac:dyDescent="0.25">
      <c r="A7196" s="2">
        <v>7195</v>
      </c>
      <c r="B7196" s="3" t="s">
        <v>39</v>
      </c>
      <c r="C7196" s="4" t="str">
        <f t="shared" si="591"/>
        <v>Khánh Hòa</v>
      </c>
      <c r="D7196" s="3" t="s">
        <v>480</v>
      </c>
      <c r="E7196" s="4" t="str">
        <f t="shared" si="592"/>
        <v>Huyện Khánh Vĩnh</v>
      </c>
      <c r="F7196" s="3" t="s">
        <v>7956</v>
      </c>
      <c r="G7196" s="4" t="str">
        <f>HYPERLINK("https://diaocthongthai.com/xa-song-cau-khanh-vinh/","Xã Sông Cầu")</f>
        <v>Xã Sông Cầu</v>
      </c>
    </row>
    <row r="7197" spans="1:7" x14ac:dyDescent="0.25">
      <c r="A7197" s="2">
        <v>7196</v>
      </c>
      <c r="B7197" s="3" t="s">
        <v>39</v>
      </c>
      <c r="C7197" s="4" t="str">
        <f t="shared" si="591"/>
        <v>Khánh Hòa</v>
      </c>
      <c r="D7197" s="3" t="s">
        <v>480</v>
      </c>
      <c r="E7197" s="4" t="str">
        <f t="shared" si="592"/>
        <v>Huyện Khánh Vĩnh</v>
      </c>
      <c r="F7197" s="3" t="s">
        <v>7957</v>
      </c>
      <c r="G7197" s="4" t="str">
        <f>HYPERLINK("https://diaocthongthai.com/xa-giang-ly-khanh-vinh/","Xã Giang Ly")</f>
        <v>Xã Giang Ly</v>
      </c>
    </row>
    <row r="7198" spans="1:7" x14ac:dyDescent="0.25">
      <c r="A7198" s="2">
        <v>7197</v>
      </c>
      <c r="B7198" s="3" t="s">
        <v>39</v>
      </c>
      <c r="C7198" s="4" t="str">
        <f t="shared" si="591"/>
        <v>Khánh Hòa</v>
      </c>
      <c r="D7198" s="3" t="s">
        <v>480</v>
      </c>
      <c r="E7198" s="4" t="str">
        <f t="shared" si="592"/>
        <v>Huyện Khánh Vĩnh</v>
      </c>
      <c r="F7198" s="3" t="s">
        <v>7958</v>
      </c>
      <c r="G7198" s="4" t="str">
        <f>HYPERLINK("https://diaocthongthai.com/xa-cau-ba-khanh-vinh/","Xã Cầu Bà")</f>
        <v>Xã Cầu Bà</v>
      </c>
    </row>
    <row r="7199" spans="1:7" x14ac:dyDescent="0.25">
      <c r="A7199" s="2">
        <v>7198</v>
      </c>
      <c r="B7199" s="3" t="s">
        <v>39</v>
      </c>
      <c r="C7199" s="4" t="str">
        <f t="shared" si="591"/>
        <v>Khánh Hòa</v>
      </c>
      <c r="D7199" s="3" t="s">
        <v>480</v>
      </c>
      <c r="E7199" s="4" t="str">
        <f t="shared" si="592"/>
        <v>Huyện Khánh Vĩnh</v>
      </c>
      <c r="F7199" s="3" t="s">
        <v>7959</v>
      </c>
      <c r="G7199" s="4" t="str">
        <f>HYPERLINK("https://diaocthongthai.com/xa-lien-sang-khanh-vinh/","Xã Liên Sang")</f>
        <v>Xã Liên Sang</v>
      </c>
    </row>
    <row r="7200" spans="1:7" x14ac:dyDescent="0.25">
      <c r="A7200" s="2">
        <v>7199</v>
      </c>
      <c r="B7200" s="3" t="s">
        <v>39</v>
      </c>
      <c r="C7200" s="4" t="str">
        <f t="shared" si="591"/>
        <v>Khánh Hòa</v>
      </c>
      <c r="D7200" s="3" t="s">
        <v>480</v>
      </c>
      <c r="E7200" s="4" t="str">
        <f t="shared" si="592"/>
        <v>Huyện Khánh Vĩnh</v>
      </c>
      <c r="F7200" s="3" t="s">
        <v>7960</v>
      </c>
      <c r="G7200" s="4" t="str">
        <f>HYPERLINK("https://diaocthongthai.com/xa-khanh-thanh-khanh-vinh/","Xã Khánh Thành")</f>
        <v>Xã Khánh Thành</v>
      </c>
    </row>
    <row r="7201" spans="1:7" x14ac:dyDescent="0.25">
      <c r="A7201" s="2">
        <v>7200</v>
      </c>
      <c r="B7201" s="3" t="s">
        <v>39</v>
      </c>
      <c r="C7201" s="4" t="str">
        <f t="shared" si="591"/>
        <v>Khánh Hòa</v>
      </c>
      <c r="D7201" s="3" t="s">
        <v>480</v>
      </c>
      <c r="E7201" s="4" t="str">
        <f t="shared" si="592"/>
        <v>Huyện Khánh Vĩnh</v>
      </c>
      <c r="F7201" s="3" t="s">
        <v>7961</v>
      </c>
      <c r="G7201" s="4" t="str">
        <f>HYPERLINK("https://diaocthongthai.com/xa-khanh-phu-khanh-vinh/","Xã Khánh Phú")</f>
        <v>Xã Khánh Phú</v>
      </c>
    </row>
    <row r="7202" spans="1:7" x14ac:dyDescent="0.25">
      <c r="A7202" s="2">
        <v>7201</v>
      </c>
      <c r="B7202" s="3" t="s">
        <v>39</v>
      </c>
      <c r="C7202" s="4" t="str">
        <f t="shared" si="591"/>
        <v>Khánh Hòa</v>
      </c>
      <c r="D7202" s="3" t="s">
        <v>480</v>
      </c>
      <c r="E7202" s="4" t="str">
        <f t="shared" si="592"/>
        <v>Huyện Khánh Vĩnh</v>
      </c>
      <c r="F7202" s="3" t="s">
        <v>7962</v>
      </c>
      <c r="G7202" s="4" t="str">
        <f>HYPERLINK("https://diaocthongthai.com/xa-son-thai-khanh-vinh/","Xã Sơn Thái")</f>
        <v>Xã Sơn Thái</v>
      </c>
    </row>
    <row r="7203" spans="1:7" x14ac:dyDescent="0.25">
      <c r="A7203" s="2">
        <v>7202</v>
      </c>
      <c r="B7203" s="3" t="s">
        <v>39</v>
      </c>
      <c r="C7203" s="4" t="str">
        <f t="shared" si="591"/>
        <v>Khánh Hòa</v>
      </c>
      <c r="D7203" s="3" t="s">
        <v>481</v>
      </c>
      <c r="E7203" s="4" t="str">
        <f t="shared" ref="E7203:E7220" si="593">HYPERLINK("https://diaocthongthai.com/ban-do-huyen-dien-khanh-khanh-hoa/","Huyện Diên Khánh")</f>
        <v>Huyện Diên Khánh</v>
      </c>
      <c r="F7203" s="3" t="s">
        <v>7963</v>
      </c>
      <c r="G7203" s="4" t="str">
        <f>HYPERLINK("https://diaocthongthai.com/thi-tran-dien-khanh-dien-khanh/","Thị trấn Diên Khánh")</f>
        <v>Thị trấn Diên Khánh</v>
      </c>
    </row>
    <row r="7204" spans="1:7" x14ac:dyDescent="0.25">
      <c r="A7204" s="2">
        <v>7203</v>
      </c>
      <c r="B7204" s="3" t="s">
        <v>39</v>
      </c>
      <c r="C7204" s="4" t="str">
        <f t="shared" si="591"/>
        <v>Khánh Hòa</v>
      </c>
      <c r="D7204" s="3" t="s">
        <v>481</v>
      </c>
      <c r="E7204" s="4" t="str">
        <f t="shared" si="593"/>
        <v>Huyện Diên Khánh</v>
      </c>
      <c r="F7204" s="3" t="s">
        <v>7964</v>
      </c>
      <c r="G7204" s="4" t="str">
        <f>HYPERLINK("https://diaocthongthai.com/xa-dien-lam-dien-khanh/","Xã Diên Lâm")</f>
        <v>Xã Diên Lâm</v>
      </c>
    </row>
    <row r="7205" spans="1:7" x14ac:dyDescent="0.25">
      <c r="A7205" s="2">
        <v>7204</v>
      </c>
      <c r="B7205" s="3" t="s">
        <v>39</v>
      </c>
      <c r="C7205" s="4" t="str">
        <f t="shared" si="591"/>
        <v>Khánh Hòa</v>
      </c>
      <c r="D7205" s="3" t="s">
        <v>481</v>
      </c>
      <c r="E7205" s="4" t="str">
        <f t="shared" si="593"/>
        <v>Huyện Diên Khánh</v>
      </c>
      <c r="F7205" s="3" t="s">
        <v>7965</v>
      </c>
      <c r="G7205" s="4" t="str">
        <f>HYPERLINK("https://diaocthongthai.com/xa-dien-dien-dien-khanh/","Xã Diên Điền")</f>
        <v>Xã Diên Điền</v>
      </c>
    </row>
    <row r="7206" spans="1:7" x14ac:dyDescent="0.25">
      <c r="A7206" s="2">
        <v>7205</v>
      </c>
      <c r="B7206" s="3" t="s">
        <v>39</v>
      </c>
      <c r="C7206" s="4" t="str">
        <f t="shared" si="591"/>
        <v>Khánh Hòa</v>
      </c>
      <c r="D7206" s="3" t="s">
        <v>481</v>
      </c>
      <c r="E7206" s="4" t="str">
        <f t="shared" si="593"/>
        <v>Huyện Diên Khánh</v>
      </c>
      <c r="F7206" s="3" t="s">
        <v>7966</v>
      </c>
      <c r="G7206" s="4" t="str">
        <f>HYPERLINK("https://diaocthongthai.com/xa-dien-xuan-dien-khanh/","Xã Diên Xuân")</f>
        <v>Xã Diên Xuân</v>
      </c>
    </row>
    <row r="7207" spans="1:7" x14ac:dyDescent="0.25">
      <c r="A7207" s="2">
        <v>7206</v>
      </c>
      <c r="B7207" s="3" t="s">
        <v>39</v>
      </c>
      <c r="C7207" s="4" t="str">
        <f t="shared" si="591"/>
        <v>Khánh Hòa</v>
      </c>
      <c r="D7207" s="3" t="s">
        <v>481</v>
      </c>
      <c r="E7207" s="4" t="str">
        <f t="shared" si="593"/>
        <v>Huyện Diên Khánh</v>
      </c>
      <c r="F7207" s="3" t="s">
        <v>7967</v>
      </c>
      <c r="G7207" s="4" t="str">
        <f>HYPERLINK("https://diaocthongthai.com/xa-dien-son-dien-khanh/","Xã Diên Sơn")</f>
        <v>Xã Diên Sơn</v>
      </c>
    </row>
    <row r="7208" spans="1:7" x14ac:dyDescent="0.25">
      <c r="A7208" s="2">
        <v>7207</v>
      </c>
      <c r="B7208" s="3" t="s">
        <v>39</v>
      </c>
      <c r="C7208" s="4" t="str">
        <f t="shared" si="591"/>
        <v>Khánh Hòa</v>
      </c>
      <c r="D7208" s="3" t="s">
        <v>481</v>
      </c>
      <c r="E7208" s="4" t="str">
        <f t="shared" si="593"/>
        <v>Huyện Diên Khánh</v>
      </c>
      <c r="F7208" s="3" t="s">
        <v>7968</v>
      </c>
      <c r="G7208" s="4" t="str">
        <f>HYPERLINK("https://diaocthongthai.com/xa-dien-dong-dien-khanh/","Xã Diên Đồng")</f>
        <v>Xã Diên Đồng</v>
      </c>
    </row>
    <row r="7209" spans="1:7" x14ac:dyDescent="0.25">
      <c r="A7209" s="2">
        <v>7208</v>
      </c>
      <c r="B7209" s="3" t="s">
        <v>39</v>
      </c>
      <c r="C7209" s="4" t="str">
        <f t="shared" si="591"/>
        <v>Khánh Hòa</v>
      </c>
      <c r="D7209" s="3" t="s">
        <v>481</v>
      </c>
      <c r="E7209" s="4" t="str">
        <f t="shared" si="593"/>
        <v>Huyện Diên Khánh</v>
      </c>
      <c r="F7209" s="3" t="s">
        <v>7969</v>
      </c>
      <c r="G7209" s="4" t="str">
        <f>HYPERLINK("https://diaocthongthai.com/xa-dien-phu-dien-khanh/","Xã Diên Phú")</f>
        <v>Xã Diên Phú</v>
      </c>
    </row>
    <row r="7210" spans="1:7" x14ac:dyDescent="0.25">
      <c r="A7210" s="2">
        <v>7209</v>
      </c>
      <c r="B7210" s="3" t="s">
        <v>39</v>
      </c>
      <c r="C7210" s="4" t="str">
        <f t="shared" si="591"/>
        <v>Khánh Hòa</v>
      </c>
      <c r="D7210" s="3" t="s">
        <v>481</v>
      </c>
      <c r="E7210" s="4" t="str">
        <f t="shared" si="593"/>
        <v>Huyện Diên Khánh</v>
      </c>
      <c r="F7210" s="3" t="s">
        <v>7970</v>
      </c>
      <c r="G7210" s="4" t="str">
        <f>HYPERLINK("https://diaocthongthai.com/xa-dien-tho-dien-khanh/","Xã Diên Thọ")</f>
        <v>Xã Diên Thọ</v>
      </c>
    </row>
    <row r="7211" spans="1:7" x14ac:dyDescent="0.25">
      <c r="A7211" s="2">
        <v>7210</v>
      </c>
      <c r="B7211" s="3" t="s">
        <v>39</v>
      </c>
      <c r="C7211" s="4" t="str">
        <f t="shared" si="591"/>
        <v>Khánh Hòa</v>
      </c>
      <c r="D7211" s="3" t="s">
        <v>481</v>
      </c>
      <c r="E7211" s="4" t="str">
        <f t="shared" si="593"/>
        <v>Huyện Diên Khánh</v>
      </c>
      <c r="F7211" s="3" t="s">
        <v>7971</v>
      </c>
      <c r="G7211" s="4" t="str">
        <f>HYPERLINK("https://diaocthongthai.com/xa-dien-phuoc-dien-khanh/","Xã Diên Phước")</f>
        <v>Xã Diên Phước</v>
      </c>
    </row>
    <row r="7212" spans="1:7" x14ac:dyDescent="0.25">
      <c r="A7212" s="2">
        <v>7211</v>
      </c>
      <c r="B7212" s="3" t="s">
        <v>39</v>
      </c>
      <c r="C7212" s="4" t="str">
        <f t="shared" si="591"/>
        <v>Khánh Hòa</v>
      </c>
      <c r="D7212" s="3" t="s">
        <v>481</v>
      </c>
      <c r="E7212" s="4" t="str">
        <f t="shared" si="593"/>
        <v>Huyện Diên Khánh</v>
      </c>
      <c r="F7212" s="3" t="s">
        <v>7972</v>
      </c>
      <c r="G7212" s="4" t="str">
        <f>HYPERLINK("https://diaocthongthai.com/xa-dien-lac-dien-khanh/","Xã Diên Lạc")</f>
        <v>Xã Diên Lạc</v>
      </c>
    </row>
    <row r="7213" spans="1:7" x14ac:dyDescent="0.25">
      <c r="A7213" s="2">
        <v>7212</v>
      </c>
      <c r="B7213" s="3" t="s">
        <v>39</v>
      </c>
      <c r="C7213" s="4" t="str">
        <f t="shared" si="591"/>
        <v>Khánh Hòa</v>
      </c>
      <c r="D7213" s="3" t="s">
        <v>481</v>
      </c>
      <c r="E7213" s="4" t="str">
        <f t="shared" si="593"/>
        <v>Huyện Diên Khánh</v>
      </c>
      <c r="F7213" s="3" t="s">
        <v>7973</v>
      </c>
      <c r="G7213" s="4" t="str">
        <f>HYPERLINK("https://diaocthongthai.com/xa-dien-tan-dien-khanh/","Xã Diên Tân")</f>
        <v>Xã Diên Tân</v>
      </c>
    </row>
    <row r="7214" spans="1:7" x14ac:dyDescent="0.25">
      <c r="A7214" s="2">
        <v>7213</v>
      </c>
      <c r="B7214" s="3" t="s">
        <v>39</v>
      </c>
      <c r="C7214" s="4" t="str">
        <f t="shared" si="591"/>
        <v>Khánh Hòa</v>
      </c>
      <c r="D7214" s="3" t="s">
        <v>481</v>
      </c>
      <c r="E7214" s="4" t="str">
        <f t="shared" si="593"/>
        <v>Huyện Diên Khánh</v>
      </c>
      <c r="F7214" s="3" t="s">
        <v>7974</v>
      </c>
      <c r="G7214" s="4" t="str">
        <f>HYPERLINK("https://diaocthongthai.com/xa-dien-hoa-dien-khanh/","Xã Diên Hòa")</f>
        <v>Xã Diên Hòa</v>
      </c>
    </row>
    <row r="7215" spans="1:7" x14ac:dyDescent="0.25">
      <c r="A7215" s="2">
        <v>7214</v>
      </c>
      <c r="B7215" s="3" t="s">
        <v>39</v>
      </c>
      <c r="C7215" s="4" t="str">
        <f t="shared" si="591"/>
        <v>Khánh Hòa</v>
      </c>
      <c r="D7215" s="3" t="s">
        <v>481</v>
      </c>
      <c r="E7215" s="4" t="str">
        <f t="shared" si="593"/>
        <v>Huyện Diên Khánh</v>
      </c>
      <c r="F7215" s="3" t="s">
        <v>7975</v>
      </c>
      <c r="G7215" s="4" t="str">
        <f>HYPERLINK("https://diaocthongthai.com/xa-dien-thanh-dien-khanh/","Xã Diên Thạnh")</f>
        <v>Xã Diên Thạnh</v>
      </c>
    </row>
    <row r="7216" spans="1:7" x14ac:dyDescent="0.25">
      <c r="A7216" s="2">
        <v>7215</v>
      </c>
      <c r="B7216" s="3" t="s">
        <v>39</v>
      </c>
      <c r="C7216" s="4" t="str">
        <f t="shared" si="591"/>
        <v>Khánh Hòa</v>
      </c>
      <c r="D7216" s="3" t="s">
        <v>481</v>
      </c>
      <c r="E7216" s="4" t="str">
        <f t="shared" si="593"/>
        <v>Huyện Diên Khánh</v>
      </c>
      <c r="F7216" s="3" t="s">
        <v>7976</v>
      </c>
      <c r="G7216" s="4" t="str">
        <f>HYPERLINK("https://diaocthongthai.com/xa-dien-toan-dien-khanh/","Xã Diên Toàn")</f>
        <v>Xã Diên Toàn</v>
      </c>
    </row>
    <row r="7217" spans="1:7" x14ac:dyDescent="0.25">
      <c r="A7217" s="2">
        <v>7216</v>
      </c>
      <c r="B7217" s="3" t="s">
        <v>39</v>
      </c>
      <c r="C7217" s="4" t="str">
        <f t="shared" si="591"/>
        <v>Khánh Hòa</v>
      </c>
      <c r="D7217" s="3" t="s">
        <v>481</v>
      </c>
      <c r="E7217" s="4" t="str">
        <f t="shared" si="593"/>
        <v>Huyện Diên Khánh</v>
      </c>
      <c r="F7217" s="3" t="s">
        <v>7977</v>
      </c>
      <c r="G7217" s="4" t="str">
        <f>HYPERLINK("https://diaocthongthai.com/xa-dien-an-dien-khanh/","Xã Diên An")</f>
        <v>Xã Diên An</v>
      </c>
    </row>
    <row r="7218" spans="1:7" x14ac:dyDescent="0.25">
      <c r="A7218" s="2">
        <v>7217</v>
      </c>
      <c r="B7218" s="3" t="s">
        <v>39</v>
      </c>
      <c r="C7218" s="4" t="str">
        <f t="shared" si="591"/>
        <v>Khánh Hòa</v>
      </c>
      <c r="D7218" s="3" t="s">
        <v>481</v>
      </c>
      <c r="E7218" s="4" t="str">
        <f t="shared" si="593"/>
        <v>Huyện Diên Khánh</v>
      </c>
      <c r="F7218" s="3" t="s">
        <v>7978</v>
      </c>
      <c r="G7218" s="4" t="str">
        <f>HYPERLINK("https://diaocthongthai.com/xa-binh-loc-dien-khanh/","Xã Bình Lộc")</f>
        <v>Xã Bình Lộc</v>
      </c>
    </row>
    <row r="7219" spans="1:7" x14ac:dyDescent="0.25">
      <c r="A7219" s="2">
        <v>7218</v>
      </c>
      <c r="B7219" s="3" t="s">
        <v>39</v>
      </c>
      <c r="C7219" s="4" t="str">
        <f t="shared" si="591"/>
        <v>Khánh Hòa</v>
      </c>
      <c r="D7219" s="3" t="s">
        <v>481</v>
      </c>
      <c r="E7219" s="4" t="str">
        <f t="shared" si="593"/>
        <v>Huyện Diên Khánh</v>
      </c>
      <c r="F7219" s="3" t="s">
        <v>7979</v>
      </c>
      <c r="G7219" s="4" t="str">
        <f>HYPERLINK("https://diaocthongthai.com/xa-suoi-hiep-dien-khanh/","Xã Suối Hiệp")</f>
        <v>Xã Suối Hiệp</v>
      </c>
    </row>
    <row r="7220" spans="1:7" x14ac:dyDescent="0.25">
      <c r="A7220" s="2">
        <v>7219</v>
      </c>
      <c r="B7220" s="3" t="s">
        <v>39</v>
      </c>
      <c r="C7220" s="4" t="str">
        <f t="shared" si="591"/>
        <v>Khánh Hòa</v>
      </c>
      <c r="D7220" s="3" t="s">
        <v>481</v>
      </c>
      <c r="E7220" s="4" t="str">
        <f t="shared" si="593"/>
        <v>Huyện Diên Khánh</v>
      </c>
      <c r="F7220" s="3" t="s">
        <v>7980</v>
      </c>
      <c r="G7220" s="4" t="str">
        <f>HYPERLINK("https://diaocthongthai.com/xa-suoi-tien-dien-khanh/","Xã Suối Tiên")</f>
        <v>Xã Suối Tiên</v>
      </c>
    </row>
    <row r="7221" spans="1:7" x14ac:dyDescent="0.25">
      <c r="A7221" s="2">
        <v>7220</v>
      </c>
      <c r="B7221" s="3" t="s">
        <v>39</v>
      </c>
      <c r="C7221" s="4" t="str">
        <f t="shared" ref="C7221:C7231" si="594">HYPERLINK("https://diaocthongthai.com/ban-do-khanh-hoa/","Khánh Hòa")</f>
        <v>Khánh Hòa</v>
      </c>
      <c r="D7221" s="3" t="s">
        <v>482</v>
      </c>
      <c r="E7221" s="4" t="str">
        <f t="shared" ref="E7221:E7228" si="595">HYPERLINK("https://diaocthongthai.com/ban-do-huyen-khanh-son-khanh-hoa/","Huyện Khánh Sơn")</f>
        <v>Huyện Khánh Sơn</v>
      </c>
      <c r="F7221" s="3" t="s">
        <v>7981</v>
      </c>
      <c r="G7221" s="4" t="str">
        <f>HYPERLINK("https://diaocthongthai.com/thi-tran-to-hap-khanh-son/","Thị trấn Tô Hạp")</f>
        <v>Thị trấn Tô Hạp</v>
      </c>
    </row>
    <row r="7222" spans="1:7" x14ac:dyDescent="0.25">
      <c r="A7222" s="2">
        <v>7221</v>
      </c>
      <c r="B7222" s="3" t="s">
        <v>39</v>
      </c>
      <c r="C7222" s="4" t="str">
        <f t="shared" si="594"/>
        <v>Khánh Hòa</v>
      </c>
      <c r="D7222" s="3" t="s">
        <v>482</v>
      </c>
      <c r="E7222" s="4" t="str">
        <f t="shared" si="595"/>
        <v>Huyện Khánh Sơn</v>
      </c>
      <c r="F7222" s="3" t="s">
        <v>7982</v>
      </c>
      <c r="G7222" s="4" t="str">
        <f>HYPERLINK("https://diaocthongthai.com/xa-thanh-son-khanh-son/","Xã Thành Sơn")</f>
        <v>Xã Thành Sơn</v>
      </c>
    </row>
    <row r="7223" spans="1:7" x14ac:dyDescent="0.25">
      <c r="A7223" s="2">
        <v>7222</v>
      </c>
      <c r="B7223" s="3" t="s">
        <v>39</v>
      </c>
      <c r="C7223" s="4" t="str">
        <f t="shared" si="594"/>
        <v>Khánh Hòa</v>
      </c>
      <c r="D7223" s="3" t="s">
        <v>482</v>
      </c>
      <c r="E7223" s="4" t="str">
        <f t="shared" si="595"/>
        <v>Huyện Khánh Sơn</v>
      </c>
      <c r="F7223" s="3" t="s">
        <v>7983</v>
      </c>
      <c r="G7223" s="4" t="str">
        <f>HYPERLINK("https://diaocthongthai.com/xa-son-lam-khanh-son/","Xã Sơn Lâm")</f>
        <v>Xã Sơn Lâm</v>
      </c>
    </row>
    <row r="7224" spans="1:7" x14ac:dyDescent="0.25">
      <c r="A7224" s="2">
        <v>7223</v>
      </c>
      <c r="B7224" s="3" t="s">
        <v>39</v>
      </c>
      <c r="C7224" s="4" t="str">
        <f t="shared" si="594"/>
        <v>Khánh Hòa</v>
      </c>
      <c r="D7224" s="3" t="s">
        <v>482</v>
      </c>
      <c r="E7224" s="4" t="str">
        <f t="shared" si="595"/>
        <v>Huyện Khánh Sơn</v>
      </c>
      <c r="F7224" s="3" t="s">
        <v>7984</v>
      </c>
      <c r="G7224" s="4" t="str">
        <f>HYPERLINK("https://diaocthongthai.com/xa-son-hiep-khanh-son/","Xã Sơn Hiệp")</f>
        <v>Xã Sơn Hiệp</v>
      </c>
    </row>
    <row r="7225" spans="1:7" x14ac:dyDescent="0.25">
      <c r="A7225" s="2">
        <v>7224</v>
      </c>
      <c r="B7225" s="3" t="s">
        <v>39</v>
      </c>
      <c r="C7225" s="4" t="str">
        <f t="shared" si="594"/>
        <v>Khánh Hòa</v>
      </c>
      <c r="D7225" s="3" t="s">
        <v>482</v>
      </c>
      <c r="E7225" s="4" t="str">
        <f t="shared" si="595"/>
        <v>Huyện Khánh Sơn</v>
      </c>
      <c r="F7225" s="3" t="s">
        <v>7985</v>
      </c>
      <c r="G7225" s="4" t="str">
        <f>HYPERLINK("https://diaocthongthai.com/xa-son-binh-khanh-son/","Xã Sơn Bình")</f>
        <v>Xã Sơn Bình</v>
      </c>
    </row>
    <row r="7226" spans="1:7" x14ac:dyDescent="0.25">
      <c r="A7226" s="2">
        <v>7225</v>
      </c>
      <c r="B7226" s="3" t="s">
        <v>39</v>
      </c>
      <c r="C7226" s="4" t="str">
        <f t="shared" si="594"/>
        <v>Khánh Hòa</v>
      </c>
      <c r="D7226" s="3" t="s">
        <v>482</v>
      </c>
      <c r="E7226" s="4" t="str">
        <f t="shared" si="595"/>
        <v>Huyện Khánh Sơn</v>
      </c>
      <c r="F7226" s="3" t="s">
        <v>7986</v>
      </c>
      <c r="G7226" s="4" t="str">
        <f>HYPERLINK("https://diaocthongthai.com/xa-son-trung-khanh-son/","Xã Sơn Trung")</f>
        <v>Xã Sơn Trung</v>
      </c>
    </row>
    <row r="7227" spans="1:7" x14ac:dyDescent="0.25">
      <c r="A7227" s="2">
        <v>7226</v>
      </c>
      <c r="B7227" s="3" t="s">
        <v>39</v>
      </c>
      <c r="C7227" s="4" t="str">
        <f t="shared" si="594"/>
        <v>Khánh Hòa</v>
      </c>
      <c r="D7227" s="3" t="s">
        <v>482</v>
      </c>
      <c r="E7227" s="4" t="str">
        <f t="shared" si="595"/>
        <v>Huyện Khánh Sơn</v>
      </c>
      <c r="F7227" s="3" t="s">
        <v>7987</v>
      </c>
      <c r="G7227" s="4" t="str">
        <f>HYPERLINK("https://diaocthongthai.com/xa-ba-cum-bac-khanh-son/","Xã Ba Cụm Bắc")</f>
        <v>Xã Ba Cụm Bắc</v>
      </c>
    </row>
    <row r="7228" spans="1:7" x14ac:dyDescent="0.25">
      <c r="A7228" s="2">
        <v>7227</v>
      </c>
      <c r="B7228" s="3" t="s">
        <v>39</v>
      </c>
      <c r="C7228" s="4" t="str">
        <f t="shared" si="594"/>
        <v>Khánh Hòa</v>
      </c>
      <c r="D7228" s="3" t="s">
        <v>482</v>
      </c>
      <c r="E7228" s="4" t="str">
        <f t="shared" si="595"/>
        <v>Huyện Khánh Sơn</v>
      </c>
      <c r="F7228" s="3" t="s">
        <v>7988</v>
      </c>
      <c r="G7228" s="4" t="str">
        <f>HYPERLINK("https://diaocthongthai.com/xa-ba-cum-nam-khanh-son/","Xã Ba Cụm Nam")</f>
        <v>Xã Ba Cụm Nam</v>
      </c>
    </row>
    <row r="7229" spans="1:7" x14ac:dyDescent="0.25">
      <c r="A7229" s="2">
        <v>7228</v>
      </c>
      <c r="B7229" s="3" t="s">
        <v>39</v>
      </c>
      <c r="C7229" s="4" t="str">
        <f t="shared" si="594"/>
        <v>Khánh Hòa</v>
      </c>
      <c r="D7229" s="3" t="s">
        <v>483</v>
      </c>
      <c r="E7229" s="4" t="str">
        <f>HYPERLINK("https://diaocthongthai.com/ban-do-dao-truong-sa/","Huyện Trường Sa")</f>
        <v>Huyện Trường Sa</v>
      </c>
      <c r="F7229" s="3" t="s">
        <v>7989</v>
      </c>
      <c r="G7229" s="4" t="str">
        <f>HYPERLINK("https://diaocthongthai.com/thi-tran-truong-sa-truong-sa/","Thị trấn Trường Sa")</f>
        <v>Thị trấn Trường Sa</v>
      </c>
    </row>
    <row r="7230" spans="1:7" x14ac:dyDescent="0.25">
      <c r="A7230" s="2">
        <v>7229</v>
      </c>
      <c r="B7230" s="3" t="s">
        <v>39</v>
      </c>
      <c r="C7230" s="4" t="str">
        <f t="shared" si="594"/>
        <v>Khánh Hòa</v>
      </c>
      <c r="D7230" s="3" t="s">
        <v>483</v>
      </c>
      <c r="E7230" s="4" t="str">
        <f>HYPERLINK("https://diaocthongthai.com/ban-do-dao-truong-sa/","Huyện Trường Sa")</f>
        <v>Huyện Trường Sa</v>
      </c>
      <c r="F7230" s="3" t="s">
        <v>7990</v>
      </c>
      <c r="G7230" s="4" t="str">
        <f>HYPERLINK("https://diaocthongthai.com/xa-song-tu-tay-truong-sa/","Xã Song Tử Tây")</f>
        <v>Xã Song Tử Tây</v>
      </c>
    </row>
    <row r="7231" spans="1:7" x14ac:dyDescent="0.25">
      <c r="A7231" s="2">
        <v>7230</v>
      </c>
      <c r="B7231" s="3" t="s">
        <v>39</v>
      </c>
      <c r="C7231" s="4" t="str">
        <f t="shared" si="594"/>
        <v>Khánh Hòa</v>
      </c>
      <c r="D7231" s="3" t="s">
        <v>483</v>
      </c>
      <c r="E7231" s="4" t="str">
        <f>HYPERLINK("https://diaocthongthai.com/ban-do-dao-truong-sa/","Huyện Trường Sa")</f>
        <v>Huyện Trường Sa</v>
      </c>
      <c r="F7231" s="3" t="s">
        <v>7991</v>
      </c>
      <c r="G7231" s="4" t="str">
        <f>HYPERLINK("https://diaocthongthai.com/xa-sinh-ton-truong-sa/","Xã Sinh Tồn")</f>
        <v>Xã Sinh Tồn</v>
      </c>
    </row>
    <row r="7232" spans="1:7" x14ac:dyDescent="0.25">
      <c r="A7232" s="2">
        <v>7231</v>
      </c>
      <c r="B7232" s="3" t="s">
        <v>40</v>
      </c>
      <c r="C7232" s="4" t="str">
        <f t="shared" ref="C7232:C7263" si="596">HYPERLINK("https://diaocthongthai.com/ban-do-ninh-thuan/","Ninh Thuận")</f>
        <v>Ninh Thuận</v>
      </c>
      <c r="D7232" s="3" t="s">
        <v>484</v>
      </c>
      <c r="E7232" s="4" t="str">
        <f t="shared" ref="E7232:E7247" si="597">HYPERLINK("https://diaocthongthai.com/ban-do-tp-phan-rang-thap-cham-ninh-thuan/","Thành phố Phan Rang-Tháp Chàm")</f>
        <v>Thành phố Phan Rang-Tháp Chàm</v>
      </c>
      <c r="F7232" s="3" t="s">
        <v>7992</v>
      </c>
      <c r="G7232" s="4" t="str">
        <f>HYPERLINK("https://diaocthongthai.com/phuong-do-vinh-tp-phan-rang-thap-cham/","Phường Đô Vinh")</f>
        <v>Phường Đô Vinh</v>
      </c>
    </row>
    <row r="7233" spans="1:7" x14ac:dyDescent="0.25">
      <c r="A7233" s="2">
        <v>7232</v>
      </c>
      <c r="B7233" s="3" t="s">
        <v>40</v>
      </c>
      <c r="C7233" s="4" t="str">
        <f t="shared" si="596"/>
        <v>Ninh Thuận</v>
      </c>
      <c r="D7233" s="3" t="s">
        <v>484</v>
      </c>
      <c r="E7233" s="4" t="str">
        <f t="shared" si="597"/>
        <v>Thành phố Phan Rang-Tháp Chàm</v>
      </c>
      <c r="F7233" s="3" t="s">
        <v>7993</v>
      </c>
      <c r="G7233" s="4" t="str">
        <f>HYPERLINK("https://diaocthongthai.com/phuong-phuoc-my-tp-phan-rang-thap-cham/","Phường Phước Mỹ")</f>
        <v>Phường Phước Mỹ</v>
      </c>
    </row>
    <row r="7234" spans="1:7" x14ac:dyDescent="0.25">
      <c r="A7234" s="2">
        <v>7233</v>
      </c>
      <c r="B7234" s="3" t="s">
        <v>40</v>
      </c>
      <c r="C7234" s="4" t="str">
        <f t="shared" si="596"/>
        <v>Ninh Thuận</v>
      </c>
      <c r="D7234" s="3" t="s">
        <v>484</v>
      </c>
      <c r="E7234" s="4" t="str">
        <f t="shared" si="597"/>
        <v>Thành phố Phan Rang-Tháp Chàm</v>
      </c>
      <c r="F7234" s="3" t="s">
        <v>7994</v>
      </c>
      <c r="G7234" s="4" t="str">
        <f>HYPERLINK("https://diaocthongthai.com/phuong-bao-an-tp-phan-rang-thap-cham/","Phường Bảo An")</f>
        <v>Phường Bảo An</v>
      </c>
    </row>
    <row r="7235" spans="1:7" x14ac:dyDescent="0.25">
      <c r="A7235" s="2">
        <v>7234</v>
      </c>
      <c r="B7235" s="3" t="s">
        <v>40</v>
      </c>
      <c r="C7235" s="4" t="str">
        <f t="shared" si="596"/>
        <v>Ninh Thuận</v>
      </c>
      <c r="D7235" s="3" t="s">
        <v>484</v>
      </c>
      <c r="E7235" s="4" t="str">
        <f t="shared" si="597"/>
        <v>Thành phố Phan Rang-Tháp Chàm</v>
      </c>
      <c r="F7235" s="3" t="s">
        <v>7995</v>
      </c>
      <c r="G7235" s="4" t="str">
        <f>HYPERLINK("https://diaocthongthai.com/phuong-phu-ha-tp-phan-rang-thap-cham/","Phường Phủ Hà")</f>
        <v>Phường Phủ Hà</v>
      </c>
    </row>
    <row r="7236" spans="1:7" x14ac:dyDescent="0.25">
      <c r="A7236" s="2">
        <v>7235</v>
      </c>
      <c r="B7236" s="3" t="s">
        <v>40</v>
      </c>
      <c r="C7236" s="4" t="str">
        <f t="shared" si="596"/>
        <v>Ninh Thuận</v>
      </c>
      <c r="D7236" s="3" t="s">
        <v>484</v>
      </c>
      <c r="E7236" s="4" t="str">
        <f t="shared" si="597"/>
        <v>Thành phố Phan Rang-Tháp Chàm</v>
      </c>
      <c r="F7236" s="3" t="s">
        <v>7996</v>
      </c>
      <c r="G7236" s="4" t="str">
        <f>HYPERLINK("https://diaocthongthai.com/phuong-thanh-son-tp-phan-rang-thap-cham/","Phường Thanh Sơn")</f>
        <v>Phường Thanh Sơn</v>
      </c>
    </row>
    <row r="7237" spans="1:7" x14ac:dyDescent="0.25">
      <c r="A7237" s="2">
        <v>7236</v>
      </c>
      <c r="B7237" s="3" t="s">
        <v>40</v>
      </c>
      <c r="C7237" s="4" t="str">
        <f t="shared" si="596"/>
        <v>Ninh Thuận</v>
      </c>
      <c r="D7237" s="3" t="s">
        <v>484</v>
      </c>
      <c r="E7237" s="4" t="str">
        <f t="shared" si="597"/>
        <v>Thành phố Phan Rang-Tháp Chàm</v>
      </c>
      <c r="F7237" s="3" t="s">
        <v>7997</v>
      </c>
      <c r="G7237" s="4" t="str">
        <f>HYPERLINK("https://diaocthongthai.com/phuong-my-huong-tp-phan-rang-thap-cham/","Phường Mỹ Hương")</f>
        <v>Phường Mỹ Hương</v>
      </c>
    </row>
    <row r="7238" spans="1:7" x14ac:dyDescent="0.25">
      <c r="A7238" s="2">
        <v>7237</v>
      </c>
      <c r="B7238" s="3" t="s">
        <v>40</v>
      </c>
      <c r="C7238" s="4" t="str">
        <f t="shared" si="596"/>
        <v>Ninh Thuận</v>
      </c>
      <c r="D7238" s="3" t="s">
        <v>484</v>
      </c>
      <c r="E7238" s="4" t="str">
        <f t="shared" si="597"/>
        <v>Thành phố Phan Rang-Tháp Chàm</v>
      </c>
      <c r="F7238" s="3" t="s">
        <v>7998</v>
      </c>
      <c r="G7238" s="4" t="str">
        <f>HYPERLINK("https://diaocthongthai.com/phuong-tan-tai-tp-phan-rang-thap-cham/","Phường Tấn Tài")</f>
        <v>Phường Tấn Tài</v>
      </c>
    </row>
    <row r="7239" spans="1:7" x14ac:dyDescent="0.25">
      <c r="A7239" s="2">
        <v>7238</v>
      </c>
      <c r="B7239" s="3" t="s">
        <v>40</v>
      </c>
      <c r="C7239" s="4" t="str">
        <f t="shared" si="596"/>
        <v>Ninh Thuận</v>
      </c>
      <c r="D7239" s="3" t="s">
        <v>484</v>
      </c>
      <c r="E7239" s="4" t="str">
        <f t="shared" si="597"/>
        <v>Thành phố Phan Rang-Tháp Chàm</v>
      </c>
      <c r="F7239" s="3" t="s">
        <v>7999</v>
      </c>
      <c r="G7239" s="4" t="str">
        <f>HYPERLINK("https://diaocthongthai.com/phuong-kinh-dinh-tp-phan-rang-thap-cham/","Phường Kinh Dinh")</f>
        <v>Phường Kinh Dinh</v>
      </c>
    </row>
    <row r="7240" spans="1:7" x14ac:dyDescent="0.25">
      <c r="A7240" s="2">
        <v>7239</v>
      </c>
      <c r="B7240" s="3" t="s">
        <v>40</v>
      </c>
      <c r="C7240" s="4" t="str">
        <f t="shared" si="596"/>
        <v>Ninh Thuận</v>
      </c>
      <c r="D7240" s="3" t="s">
        <v>484</v>
      </c>
      <c r="E7240" s="4" t="str">
        <f t="shared" si="597"/>
        <v>Thành phố Phan Rang-Tháp Chàm</v>
      </c>
      <c r="F7240" s="3" t="s">
        <v>8000</v>
      </c>
      <c r="G7240" s="4" t="str">
        <f>HYPERLINK("https://diaocthongthai.com/phuong-dao-long-tp-phan-rang-thap-cham/","Phường Đạo Long")</f>
        <v>Phường Đạo Long</v>
      </c>
    </row>
    <row r="7241" spans="1:7" x14ac:dyDescent="0.25">
      <c r="A7241" s="2">
        <v>7240</v>
      </c>
      <c r="B7241" s="3" t="s">
        <v>40</v>
      </c>
      <c r="C7241" s="4" t="str">
        <f t="shared" si="596"/>
        <v>Ninh Thuận</v>
      </c>
      <c r="D7241" s="3" t="s">
        <v>484</v>
      </c>
      <c r="E7241" s="4" t="str">
        <f t="shared" si="597"/>
        <v>Thành phố Phan Rang-Tháp Chàm</v>
      </c>
      <c r="F7241" s="3" t="s">
        <v>8001</v>
      </c>
      <c r="G7241" s="4" t="str">
        <f>HYPERLINK("https://diaocthongthai.com/phuong-dai-son-tp-phan-rang-thap-cham/","Phường Đài Sơn")</f>
        <v>Phường Đài Sơn</v>
      </c>
    </row>
    <row r="7242" spans="1:7" x14ac:dyDescent="0.25">
      <c r="A7242" s="2">
        <v>7241</v>
      </c>
      <c r="B7242" s="3" t="s">
        <v>40</v>
      </c>
      <c r="C7242" s="4" t="str">
        <f t="shared" si="596"/>
        <v>Ninh Thuận</v>
      </c>
      <c r="D7242" s="3" t="s">
        <v>484</v>
      </c>
      <c r="E7242" s="4" t="str">
        <f t="shared" si="597"/>
        <v>Thành phố Phan Rang-Tháp Chàm</v>
      </c>
      <c r="F7242" s="3" t="s">
        <v>8002</v>
      </c>
      <c r="G7242" s="4" t="str">
        <f>HYPERLINK("https://diaocthongthai.com/phuong-dong-hai-tp-phan-rang-thap-cham/","Phường Đông Hải")</f>
        <v>Phường Đông Hải</v>
      </c>
    </row>
    <row r="7243" spans="1:7" x14ac:dyDescent="0.25">
      <c r="A7243" s="2">
        <v>7242</v>
      </c>
      <c r="B7243" s="3" t="s">
        <v>40</v>
      </c>
      <c r="C7243" s="4" t="str">
        <f t="shared" si="596"/>
        <v>Ninh Thuận</v>
      </c>
      <c r="D7243" s="3" t="s">
        <v>484</v>
      </c>
      <c r="E7243" s="4" t="str">
        <f t="shared" si="597"/>
        <v>Thành phố Phan Rang-Tháp Chàm</v>
      </c>
      <c r="F7243" s="3" t="s">
        <v>8003</v>
      </c>
      <c r="G7243" s="4" t="str">
        <f>HYPERLINK("https://diaocthongthai.com/phuong-my-dong-tp-phan-rang-thap-cham/","Phường Mỹ Đông")</f>
        <v>Phường Mỹ Đông</v>
      </c>
    </row>
    <row r="7244" spans="1:7" x14ac:dyDescent="0.25">
      <c r="A7244" s="2">
        <v>7243</v>
      </c>
      <c r="B7244" s="3" t="s">
        <v>40</v>
      </c>
      <c r="C7244" s="4" t="str">
        <f t="shared" si="596"/>
        <v>Ninh Thuận</v>
      </c>
      <c r="D7244" s="3" t="s">
        <v>484</v>
      </c>
      <c r="E7244" s="4" t="str">
        <f t="shared" si="597"/>
        <v>Thành phố Phan Rang-Tháp Chàm</v>
      </c>
      <c r="F7244" s="3" t="s">
        <v>8004</v>
      </c>
      <c r="G7244" s="4" t="str">
        <f>HYPERLINK("https://diaocthongthai.com/xa-thanh-hai-tp-phan-rang-thap-cham/","Xã Thành Hải")</f>
        <v>Xã Thành Hải</v>
      </c>
    </row>
    <row r="7245" spans="1:7" x14ac:dyDescent="0.25">
      <c r="A7245" s="2">
        <v>7244</v>
      </c>
      <c r="B7245" s="3" t="s">
        <v>40</v>
      </c>
      <c r="C7245" s="4" t="str">
        <f t="shared" si="596"/>
        <v>Ninh Thuận</v>
      </c>
      <c r="D7245" s="3" t="s">
        <v>484</v>
      </c>
      <c r="E7245" s="4" t="str">
        <f t="shared" si="597"/>
        <v>Thành phố Phan Rang-Tháp Chàm</v>
      </c>
      <c r="F7245" s="3" t="s">
        <v>8005</v>
      </c>
      <c r="G7245" s="4" t="str">
        <f>HYPERLINK("https://diaocthongthai.com/phuong-van-hai-tp-phan-rang-thap-cham/","Phường Văn Hải")</f>
        <v>Phường Văn Hải</v>
      </c>
    </row>
    <row r="7246" spans="1:7" x14ac:dyDescent="0.25">
      <c r="A7246" s="2">
        <v>7245</v>
      </c>
      <c r="B7246" s="3" t="s">
        <v>40</v>
      </c>
      <c r="C7246" s="4" t="str">
        <f t="shared" si="596"/>
        <v>Ninh Thuận</v>
      </c>
      <c r="D7246" s="3" t="s">
        <v>484</v>
      </c>
      <c r="E7246" s="4" t="str">
        <f t="shared" si="597"/>
        <v>Thành phố Phan Rang-Tháp Chàm</v>
      </c>
      <c r="F7246" s="3" t="s">
        <v>8006</v>
      </c>
      <c r="G7246" s="4" t="str">
        <f>HYPERLINK("https://diaocthongthai.com/phuong-my-binh-tp-phan-rang-thap-cham/","Phường Mỹ Bình")</f>
        <v>Phường Mỹ Bình</v>
      </c>
    </row>
    <row r="7247" spans="1:7" x14ac:dyDescent="0.25">
      <c r="A7247" s="2">
        <v>7246</v>
      </c>
      <c r="B7247" s="3" t="s">
        <v>40</v>
      </c>
      <c r="C7247" s="4" t="str">
        <f t="shared" si="596"/>
        <v>Ninh Thuận</v>
      </c>
      <c r="D7247" s="3" t="s">
        <v>484</v>
      </c>
      <c r="E7247" s="4" t="str">
        <f t="shared" si="597"/>
        <v>Thành phố Phan Rang-Tháp Chàm</v>
      </c>
      <c r="F7247" s="3" t="s">
        <v>8007</v>
      </c>
      <c r="G7247" s="4" t="str">
        <f>HYPERLINK("https://diaocthongthai.com/phuong-my-hai-tp-phan-rang-thap-cham/","Phường Mỹ Hải")</f>
        <v>Phường Mỹ Hải</v>
      </c>
    </row>
    <row r="7248" spans="1:7" x14ac:dyDescent="0.25">
      <c r="A7248" s="2">
        <v>7247</v>
      </c>
      <c r="B7248" s="3" t="s">
        <v>40</v>
      </c>
      <c r="C7248" s="4" t="str">
        <f t="shared" si="596"/>
        <v>Ninh Thuận</v>
      </c>
      <c r="D7248" s="3" t="s">
        <v>485</v>
      </c>
      <c r="E7248" s="4" t="str">
        <f t="shared" ref="E7248:E7256" si="598">HYPERLINK("https://diaocthongthai.com/ban-do-huyen-bac-ai-ninh-thuan/","Huyện Bác Ái")</f>
        <v>Huyện Bác Ái</v>
      </c>
      <c r="F7248" s="3" t="s">
        <v>8008</v>
      </c>
      <c r="G7248" s="4" t="str">
        <f>HYPERLINK("https://diaocthongthai.com/xa-phuoc-binh-bac-ai/","Xã Phước Bình")</f>
        <v>Xã Phước Bình</v>
      </c>
    </row>
    <row r="7249" spans="1:7" x14ac:dyDescent="0.25">
      <c r="A7249" s="2">
        <v>7248</v>
      </c>
      <c r="B7249" s="3" t="s">
        <v>40</v>
      </c>
      <c r="C7249" s="4" t="str">
        <f t="shared" si="596"/>
        <v>Ninh Thuận</v>
      </c>
      <c r="D7249" s="3" t="s">
        <v>485</v>
      </c>
      <c r="E7249" s="4" t="str">
        <f t="shared" si="598"/>
        <v>Huyện Bác Ái</v>
      </c>
      <c r="F7249" s="3" t="s">
        <v>8009</v>
      </c>
      <c r="G7249" s="4" t="str">
        <f>HYPERLINK("https://diaocthongthai.com/xa-phuoc-hoa-bac-ai/","Xã Phước Hòa")</f>
        <v>Xã Phước Hòa</v>
      </c>
    </row>
    <row r="7250" spans="1:7" x14ac:dyDescent="0.25">
      <c r="A7250" s="2">
        <v>7249</v>
      </c>
      <c r="B7250" s="3" t="s">
        <v>40</v>
      </c>
      <c r="C7250" s="4" t="str">
        <f t="shared" si="596"/>
        <v>Ninh Thuận</v>
      </c>
      <c r="D7250" s="3" t="s">
        <v>485</v>
      </c>
      <c r="E7250" s="4" t="str">
        <f t="shared" si="598"/>
        <v>Huyện Bác Ái</v>
      </c>
      <c r="F7250" s="3" t="s">
        <v>8010</v>
      </c>
      <c r="G7250" s="4" t="str">
        <f>HYPERLINK("https://diaocthongthai.com/xa-phuoc-tan-bac-ai/","Xã Phước Tân")</f>
        <v>Xã Phước Tân</v>
      </c>
    </row>
    <row r="7251" spans="1:7" x14ac:dyDescent="0.25">
      <c r="A7251" s="2">
        <v>7250</v>
      </c>
      <c r="B7251" s="3" t="s">
        <v>40</v>
      </c>
      <c r="C7251" s="4" t="str">
        <f t="shared" si="596"/>
        <v>Ninh Thuận</v>
      </c>
      <c r="D7251" s="3" t="s">
        <v>485</v>
      </c>
      <c r="E7251" s="4" t="str">
        <f t="shared" si="598"/>
        <v>Huyện Bác Ái</v>
      </c>
      <c r="F7251" s="3" t="s">
        <v>8011</v>
      </c>
      <c r="G7251" s="4" t="str">
        <f>HYPERLINK("https://diaocthongthai.com/xa-phuoc-tien-bac-ai/","Xã Phước Tiến")</f>
        <v>Xã Phước Tiến</v>
      </c>
    </row>
    <row r="7252" spans="1:7" x14ac:dyDescent="0.25">
      <c r="A7252" s="2">
        <v>7251</v>
      </c>
      <c r="B7252" s="3" t="s">
        <v>40</v>
      </c>
      <c r="C7252" s="4" t="str">
        <f t="shared" si="596"/>
        <v>Ninh Thuận</v>
      </c>
      <c r="D7252" s="3" t="s">
        <v>485</v>
      </c>
      <c r="E7252" s="4" t="str">
        <f t="shared" si="598"/>
        <v>Huyện Bác Ái</v>
      </c>
      <c r="F7252" s="3" t="s">
        <v>8012</v>
      </c>
      <c r="G7252" s="4" t="str">
        <f>HYPERLINK("https://diaocthongthai.com/xa-phuoc-thang-bac-ai/","Xã Phước Thắng")</f>
        <v>Xã Phước Thắng</v>
      </c>
    </row>
    <row r="7253" spans="1:7" x14ac:dyDescent="0.25">
      <c r="A7253" s="2">
        <v>7252</v>
      </c>
      <c r="B7253" s="3" t="s">
        <v>40</v>
      </c>
      <c r="C7253" s="4" t="str">
        <f t="shared" si="596"/>
        <v>Ninh Thuận</v>
      </c>
      <c r="D7253" s="3" t="s">
        <v>485</v>
      </c>
      <c r="E7253" s="4" t="str">
        <f t="shared" si="598"/>
        <v>Huyện Bác Ái</v>
      </c>
      <c r="F7253" s="3" t="s">
        <v>8013</v>
      </c>
      <c r="G7253" s="4" t="str">
        <f>HYPERLINK("https://diaocthongthai.com/xa-phuoc-thanh-bac-ai/","Xã Phước Thành")</f>
        <v>Xã Phước Thành</v>
      </c>
    </row>
    <row r="7254" spans="1:7" x14ac:dyDescent="0.25">
      <c r="A7254" s="2">
        <v>7253</v>
      </c>
      <c r="B7254" s="3" t="s">
        <v>40</v>
      </c>
      <c r="C7254" s="4" t="str">
        <f t="shared" si="596"/>
        <v>Ninh Thuận</v>
      </c>
      <c r="D7254" s="3" t="s">
        <v>485</v>
      </c>
      <c r="E7254" s="4" t="str">
        <f t="shared" si="598"/>
        <v>Huyện Bác Ái</v>
      </c>
      <c r="F7254" s="3" t="s">
        <v>8014</v>
      </c>
      <c r="G7254" s="4" t="str">
        <f>HYPERLINK("https://diaocthongthai.com/xa-phuoc-dai-bac-ai/","Xã Phước Đại")</f>
        <v>Xã Phước Đại</v>
      </c>
    </row>
    <row r="7255" spans="1:7" x14ac:dyDescent="0.25">
      <c r="A7255" s="2">
        <v>7254</v>
      </c>
      <c r="B7255" s="3" t="s">
        <v>40</v>
      </c>
      <c r="C7255" s="4" t="str">
        <f t="shared" si="596"/>
        <v>Ninh Thuận</v>
      </c>
      <c r="D7255" s="3" t="s">
        <v>485</v>
      </c>
      <c r="E7255" s="4" t="str">
        <f t="shared" si="598"/>
        <v>Huyện Bác Ái</v>
      </c>
      <c r="F7255" s="3" t="s">
        <v>8015</v>
      </c>
      <c r="G7255" s="4" t="str">
        <f>HYPERLINK("https://diaocthongthai.com/xa-phuoc-chinh-bac-ai/","Xã Phước Chính")</f>
        <v>Xã Phước Chính</v>
      </c>
    </row>
    <row r="7256" spans="1:7" x14ac:dyDescent="0.25">
      <c r="A7256" s="2">
        <v>7255</v>
      </c>
      <c r="B7256" s="3" t="s">
        <v>40</v>
      </c>
      <c r="C7256" s="4" t="str">
        <f t="shared" si="596"/>
        <v>Ninh Thuận</v>
      </c>
      <c r="D7256" s="3" t="s">
        <v>485</v>
      </c>
      <c r="E7256" s="4" t="str">
        <f t="shared" si="598"/>
        <v>Huyện Bác Ái</v>
      </c>
      <c r="F7256" s="3" t="s">
        <v>8016</v>
      </c>
      <c r="G7256" s="4" t="str">
        <f>HYPERLINK("https://diaocthongthai.com/xa-phuoc-trung-bac-ai/","Xã Phước Trung")</f>
        <v>Xã Phước Trung</v>
      </c>
    </row>
    <row r="7257" spans="1:7" x14ac:dyDescent="0.25">
      <c r="A7257" s="2">
        <v>7256</v>
      </c>
      <c r="B7257" s="3" t="s">
        <v>40</v>
      </c>
      <c r="C7257" s="4" t="str">
        <f t="shared" si="596"/>
        <v>Ninh Thuận</v>
      </c>
      <c r="D7257" s="3" t="s">
        <v>486</v>
      </c>
      <c r="E7257" s="4" t="str">
        <f t="shared" ref="E7257:E7264" si="599">HYPERLINK("https://diaocthongthai.com/ban-do-huyen-ninh-son-ninh-thuan/","Huyện Ninh Sơn")</f>
        <v>Huyện Ninh Sơn</v>
      </c>
      <c r="F7257" s="3" t="s">
        <v>8017</v>
      </c>
      <c r="G7257" s="4" t="str">
        <f>HYPERLINK("https://diaocthongthai.com/thi-tran-tan-son-ninh-son/","Thị trấn Tân Sơn")</f>
        <v>Thị trấn Tân Sơn</v>
      </c>
    </row>
    <row r="7258" spans="1:7" x14ac:dyDescent="0.25">
      <c r="A7258" s="2">
        <v>7257</v>
      </c>
      <c r="B7258" s="3" t="s">
        <v>40</v>
      </c>
      <c r="C7258" s="4" t="str">
        <f t="shared" si="596"/>
        <v>Ninh Thuận</v>
      </c>
      <c r="D7258" s="3" t="s">
        <v>486</v>
      </c>
      <c r="E7258" s="4" t="str">
        <f t="shared" si="599"/>
        <v>Huyện Ninh Sơn</v>
      </c>
      <c r="F7258" s="3" t="s">
        <v>8018</v>
      </c>
      <c r="G7258" s="4" t="str">
        <f>HYPERLINK("https://diaocthongthai.com/xa-lam-son-ninh-son/","Xã Lâm Sơn")</f>
        <v>Xã Lâm Sơn</v>
      </c>
    </row>
    <row r="7259" spans="1:7" x14ac:dyDescent="0.25">
      <c r="A7259" s="2">
        <v>7258</v>
      </c>
      <c r="B7259" s="3" t="s">
        <v>40</v>
      </c>
      <c r="C7259" s="4" t="str">
        <f t="shared" si="596"/>
        <v>Ninh Thuận</v>
      </c>
      <c r="D7259" s="3" t="s">
        <v>486</v>
      </c>
      <c r="E7259" s="4" t="str">
        <f t="shared" si="599"/>
        <v>Huyện Ninh Sơn</v>
      </c>
      <c r="F7259" s="3" t="s">
        <v>8019</v>
      </c>
      <c r="G7259" s="4" t="str">
        <f>HYPERLINK("https://diaocthongthai.com/xa-luong-son-ninh-son/","Xã Lương Sơn")</f>
        <v>Xã Lương Sơn</v>
      </c>
    </row>
    <row r="7260" spans="1:7" x14ac:dyDescent="0.25">
      <c r="A7260" s="2">
        <v>7259</v>
      </c>
      <c r="B7260" s="3" t="s">
        <v>40</v>
      </c>
      <c r="C7260" s="4" t="str">
        <f t="shared" si="596"/>
        <v>Ninh Thuận</v>
      </c>
      <c r="D7260" s="3" t="s">
        <v>486</v>
      </c>
      <c r="E7260" s="4" t="str">
        <f t="shared" si="599"/>
        <v>Huyện Ninh Sơn</v>
      </c>
      <c r="F7260" s="3" t="s">
        <v>8020</v>
      </c>
      <c r="G7260" s="4" t="str">
        <f>HYPERLINK("https://diaocthongthai.com/xa-quang-son-ninh-son/","Xã Quảng Sơn")</f>
        <v>Xã Quảng Sơn</v>
      </c>
    </row>
    <row r="7261" spans="1:7" x14ac:dyDescent="0.25">
      <c r="A7261" s="2">
        <v>7260</v>
      </c>
      <c r="B7261" s="3" t="s">
        <v>40</v>
      </c>
      <c r="C7261" s="4" t="str">
        <f t="shared" si="596"/>
        <v>Ninh Thuận</v>
      </c>
      <c r="D7261" s="3" t="s">
        <v>486</v>
      </c>
      <c r="E7261" s="4" t="str">
        <f t="shared" si="599"/>
        <v>Huyện Ninh Sơn</v>
      </c>
      <c r="F7261" s="3" t="s">
        <v>8021</v>
      </c>
      <c r="G7261" s="4" t="str">
        <f>HYPERLINK("https://diaocthongthai.com/xa-my-son-ninh-son/","Xã Mỹ Sơn")</f>
        <v>Xã Mỹ Sơn</v>
      </c>
    </row>
    <row r="7262" spans="1:7" x14ac:dyDescent="0.25">
      <c r="A7262" s="2">
        <v>7261</v>
      </c>
      <c r="B7262" s="3" t="s">
        <v>40</v>
      </c>
      <c r="C7262" s="4" t="str">
        <f t="shared" si="596"/>
        <v>Ninh Thuận</v>
      </c>
      <c r="D7262" s="3" t="s">
        <v>486</v>
      </c>
      <c r="E7262" s="4" t="str">
        <f t="shared" si="599"/>
        <v>Huyện Ninh Sơn</v>
      </c>
      <c r="F7262" s="3" t="s">
        <v>8022</v>
      </c>
      <c r="G7262" s="4" t="str">
        <f>HYPERLINK("https://diaocthongthai.com/xa-hoa-son-ninh-son/","Xã Hòa Sơn")</f>
        <v>Xã Hòa Sơn</v>
      </c>
    </row>
    <row r="7263" spans="1:7" x14ac:dyDescent="0.25">
      <c r="A7263" s="2">
        <v>7262</v>
      </c>
      <c r="B7263" s="3" t="s">
        <v>40</v>
      </c>
      <c r="C7263" s="4" t="str">
        <f t="shared" si="596"/>
        <v>Ninh Thuận</v>
      </c>
      <c r="D7263" s="3" t="s">
        <v>486</v>
      </c>
      <c r="E7263" s="4" t="str">
        <f t="shared" si="599"/>
        <v>Huyện Ninh Sơn</v>
      </c>
      <c r="F7263" s="3" t="s">
        <v>8023</v>
      </c>
      <c r="G7263" s="4" t="str">
        <f>HYPERLINK("https://diaocthongthai.com/xa-ma-noi-ninh-son/","Xã Ma Nới")</f>
        <v>Xã Ma Nới</v>
      </c>
    </row>
    <row r="7264" spans="1:7" x14ac:dyDescent="0.25">
      <c r="A7264" s="2">
        <v>7263</v>
      </c>
      <c r="B7264" s="3" t="s">
        <v>40</v>
      </c>
      <c r="C7264" s="4" t="str">
        <f t="shared" ref="C7264:C7296" si="600">HYPERLINK("https://diaocthongthai.com/ban-do-ninh-thuan/","Ninh Thuận")</f>
        <v>Ninh Thuận</v>
      </c>
      <c r="D7264" s="3" t="s">
        <v>486</v>
      </c>
      <c r="E7264" s="4" t="str">
        <f t="shared" si="599"/>
        <v>Huyện Ninh Sơn</v>
      </c>
      <c r="F7264" s="3" t="s">
        <v>8024</v>
      </c>
      <c r="G7264" s="4" t="str">
        <f>HYPERLINK("https://diaocthongthai.com/xa-nhon-son-ninh-son/","Xã Nhơn Sơn")</f>
        <v>Xã Nhơn Sơn</v>
      </c>
    </row>
    <row r="7265" spans="1:7" x14ac:dyDescent="0.25">
      <c r="A7265" s="2">
        <v>7264</v>
      </c>
      <c r="B7265" s="3" t="s">
        <v>40</v>
      </c>
      <c r="C7265" s="4" t="str">
        <f t="shared" si="600"/>
        <v>Ninh Thuận</v>
      </c>
      <c r="D7265" s="3" t="s">
        <v>487</v>
      </c>
      <c r="E7265" s="4" t="str">
        <f t="shared" ref="E7265:E7273" si="601">HYPERLINK("https://diaocthongthai.com/ban-do-huyen-ninh-hai-ninh-thuan/","Huyện Ninh Hải")</f>
        <v>Huyện Ninh Hải</v>
      </c>
      <c r="F7265" s="3" t="s">
        <v>8025</v>
      </c>
      <c r="G7265" s="4" t="str">
        <f>HYPERLINK("https://diaocthongthai.com/thi-tran-khanh-hai-ninh-hai/","Thị trấn Khánh Hải")</f>
        <v>Thị trấn Khánh Hải</v>
      </c>
    </row>
    <row r="7266" spans="1:7" x14ac:dyDescent="0.25">
      <c r="A7266" s="2">
        <v>7265</v>
      </c>
      <c r="B7266" s="3" t="s">
        <v>40</v>
      </c>
      <c r="C7266" s="4" t="str">
        <f t="shared" si="600"/>
        <v>Ninh Thuận</v>
      </c>
      <c r="D7266" s="3" t="s">
        <v>487</v>
      </c>
      <c r="E7266" s="4" t="str">
        <f t="shared" si="601"/>
        <v>Huyện Ninh Hải</v>
      </c>
      <c r="F7266" s="3" t="s">
        <v>8026</v>
      </c>
      <c r="G7266" s="4" t="str">
        <f>HYPERLINK("https://diaocthongthai.com/xa-vinh-hai-ninh-hai/","Xã Vĩnh Hải")</f>
        <v>Xã Vĩnh Hải</v>
      </c>
    </row>
    <row r="7267" spans="1:7" x14ac:dyDescent="0.25">
      <c r="A7267" s="2">
        <v>7266</v>
      </c>
      <c r="B7267" s="3" t="s">
        <v>40</v>
      </c>
      <c r="C7267" s="4" t="str">
        <f t="shared" si="600"/>
        <v>Ninh Thuận</v>
      </c>
      <c r="D7267" s="3" t="s">
        <v>487</v>
      </c>
      <c r="E7267" s="4" t="str">
        <f t="shared" si="601"/>
        <v>Huyện Ninh Hải</v>
      </c>
      <c r="F7267" s="3" t="s">
        <v>8027</v>
      </c>
      <c r="G7267" s="4" t="str">
        <f>HYPERLINK("https://diaocthongthai.com/xa-phuong-hai-ninh-hai/","Xã Phương Hải")</f>
        <v>Xã Phương Hải</v>
      </c>
    </row>
    <row r="7268" spans="1:7" x14ac:dyDescent="0.25">
      <c r="A7268" s="2">
        <v>7267</v>
      </c>
      <c r="B7268" s="3" t="s">
        <v>40</v>
      </c>
      <c r="C7268" s="4" t="str">
        <f t="shared" si="600"/>
        <v>Ninh Thuận</v>
      </c>
      <c r="D7268" s="3" t="s">
        <v>487</v>
      </c>
      <c r="E7268" s="4" t="str">
        <f t="shared" si="601"/>
        <v>Huyện Ninh Hải</v>
      </c>
      <c r="F7268" s="3" t="s">
        <v>8028</v>
      </c>
      <c r="G7268" s="4" t="str">
        <f>HYPERLINK("https://diaocthongthai.com/xa-tan-hai-ninh-hai/","Xã Tân Hải")</f>
        <v>Xã Tân Hải</v>
      </c>
    </row>
    <row r="7269" spans="1:7" x14ac:dyDescent="0.25">
      <c r="A7269" s="2">
        <v>7268</v>
      </c>
      <c r="B7269" s="3" t="s">
        <v>40</v>
      </c>
      <c r="C7269" s="4" t="str">
        <f t="shared" si="600"/>
        <v>Ninh Thuận</v>
      </c>
      <c r="D7269" s="3" t="s">
        <v>487</v>
      </c>
      <c r="E7269" s="4" t="str">
        <f t="shared" si="601"/>
        <v>Huyện Ninh Hải</v>
      </c>
      <c r="F7269" s="3" t="s">
        <v>8029</v>
      </c>
      <c r="G7269" s="4" t="str">
        <f>HYPERLINK("https://diaocthongthai.com/xa-xuan-hai-ninh-hai/","Xã Xuân Hải")</f>
        <v>Xã Xuân Hải</v>
      </c>
    </row>
    <row r="7270" spans="1:7" x14ac:dyDescent="0.25">
      <c r="A7270" s="2">
        <v>7269</v>
      </c>
      <c r="B7270" s="3" t="s">
        <v>40</v>
      </c>
      <c r="C7270" s="4" t="str">
        <f t="shared" si="600"/>
        <v>Ninh Thuận</v>
      </c>
      <c r="D7270" s="3" t="s">
        <v>487</v>
      </c>
      <c r="E7270" s="4" t="str">
        <f t="shared" si="601"/>
        <v>Huyện Ninh Hải</v>
      </c>
      <c r="F7270" s="3" t="s">
        <v>8030</v>
      </c>
      <c r="G7270" s="4" t="str">
        <f>HYPERLINK("https://diaocthongthai.com/xa-ho-hai-ninh-hai/","Xã Hộ Hải")</f>
        <v>Xã Hộ Hải</v>
      </c>
    </row>
    <row r="7271" spans="1:7" x14ac:dyDescent="0.25">
      <c r="A7271" s="2">
        <v>7270</v>
      </c>
      <c r="B7271" s="3" t="s">
        <v>40</v>
      </c>
      <c r="C7271" s="4" t="str">
        <f t="shared" si="600"/>
        <v>Ninh Thuận</v>
      </c>
      <c r="D7271" s="3" t="s">
        <v>487</v>
      </c>
      <c r="E7271" s="4" t="str">
        <f t="shared" si="601"/>
        <v>Huyện Ninh Hải</v>
      </c>
      <c r="F7271" s="3" t="s">
        <v>8031</v>
      </c>
      <c r="G7271" s="4" t="str">
        <f>HYPERLINK("https://diaocthongthai.com/xa-tri-hai-ninh-hai/","Xã Tri Hải")</f>
        <v>Xã Tri Hải</v>
      </c>
    </row>
    <row r="7272" spans="1:7" x14ac:dyDescent="0.25">
      <c r="A7272" s="2">
        <v>7271</v>
      </c>
      <c r="B7272" s="3" t="s">
        <v>40</v>
      </c>
      <c r="C7272" s="4" t="str">
        <f t="shared" si="600"/>
        <v>Ninh Thuận</v>
      </c>
      <c r="D7272" s="3" t="s">
        <v>487</v>
      </c>
      <c r="E7272" s="4" t="str">
        <f t="shared" si="601"/>
        <v>Huyện Ninh Hải</v>
      </c>
      <c r="F7272" s="3" t="s">
        <v>8032</v>
      </c>
      <c r="G7272" s="4" t="str">
        <f>HYPERLINK("https://diaocthongthai.com/xa-nhon-hai-ninh-hai/","Xã Nhơn Hải")</f>
        <v>Xã Nhơn Hải</v>
      </c>
    </row>
    <row r="7273" spans="1:7" x14ac:dyDescent="0.25">
      <c r="A7273" s="2">
        <v>7272</v>
      </c>
      <c r="B7273" s="3" t="s">
        <v>40</v>
      </c>
      <c r="C7273" s="4" t="str">
        <f t="shared" si="600"/>
        <v>Ninh Thuận</v>
      </c>
      <c r="D7273" s="3" t="s">
        <v>487</v>
      </c>
      <c r="E7273" s="4" t="str">
        <f t="shared" si="601"/>
        <v>Huyện Ninh Hải</v>
      </c>
      <c r="F7273" s="3" t="s">
        <v>8033</v>
      </c>
      <c r="G7273" s="4" t="str">
        <f>HYPERLINK("https://diaocthongthai.com/xa-thanh-hai-ninh-hai/","Xã Thanh Hải")</f>
        <v>Xã Thanh Hải</v>
      </c>
    </row>
    <row r="7274" spans="1:7" x14ac:dyDescent="0.25">
      <c r="A7274" s="2">
        <v>7273</v>
      </c>
      <c r="B7274" s="3" t="s">
        <v>40</v>
      </c>
      <c r="C7274" s="4" t="str">
        <f t="shared" si="600"/>
        <v>Ninh Thuận</v>
      </c>
      <c r="D7274" s="3" t="s">
        <v>488</v>
      </c>
      <c r="E7274" s="4" t="str">
        <f t="shared" ref="E7274:E7282" si="602">HYPERLINK("https://diaocthongthai.com/ban-do-huyen-ninh-phuoc-ninh-thuan/","Huyện Ninh Phước")</f>
        <v>Huyện Ninh Phước</v>
      </c>
      <c r="F7274" s="3" t="s">
        <v>8034</v>
      </c>
      <c r="G7274" s="4" t="str">
        <f>HYPERLINK("https://diaocthongthai.com/thi-tran-phuoc-dan-ninh-phuoc/","Thị trấn Phước Dân")</f>
        <v>Thị trấn Phước Dân</v>
      </c>
    </row>
    <row r="7275" spans="1:7" x14ac:dyDescent="0.25">
      <c r="A7275" s="2">
        <v>7274</v>
      </c>
      <c r="B7275" s="3" t="s">
        <v>40</v>
      </c>
      <c r="C7275" s="4" t="str">
        <f t="shared" si="600"/>
        <v>Ninh Thuận</v>
      </c>
      <c r="D7275" s="3" t="s">
        <v>488</v>
      </c>
      <c r="E7275" s="4" t="str">
        <f t="shared" si="602"/>
        <v>Huyện Ninh Phước</v>
      </c>
      <c r="F7275" s="3" t="s">
        <v>8035</v>
      </c>
      <c r="G7275" s="4" t="str">
        <f>HYPERLINK("https://diaocthongthai.com/xa-phuoc-son-ninh-phuoc/","Xã Phước Sơn")</f>
        <v>Xã Phước Sơn</v>
      </c>
    </row>
    <row r="7276" spans="1:7" x14ac:dyDescent="0.25">
      <c r="A7276" s="2">
        <v>7275</v>
      </c>
      <c r="B7276" s="3" t="s">
        <v>40</v>
      </c>
      <c r="C7276" s="4" t="str">
        <f t="shared" si="600"/>
        <v>Ninh Thuận</v>
      </c>
      <c r="D7276" s="3" t="s">
        <v>488</v>
      </c>
      <c r="E7276" s="4" t="str">
        <f t="shared" si="602"/>
        <v>Huyện Ninh Phước</v>
      </c>
      <c r="F7276" s="3" t="s">
        <v>8036</v>
      </c>
      <c r="G7276" s="4" t="str">
        <f>HYPERLINK("https://diaocthongthai.com/xa-phuoc-thai-ninh-phuoc/","Xã Phước Thái")</f>
        <v>Xã Phước Thái</v>
      </c>
    </row>
    <row r="7277" spans="1:7" x14ac:dyDescent="0.25">
      <c r="A7277" s="2">
        <v>7276</v>
      </c>
      <c r="B7277" s="3" t="s">
        <v>40</v>
      </c>
      <c r="C7277" s="4" t="str">
        <f t="shared" si="600"/>
        <v>Ninh Thuận</v>
      </c>
      <c r="D7277" s="3" t="s">
        <v>488</v>
      </c>
      <c r="E7277" s="4" t="str">
        <f t="shared" si="602"/>
        <v>Huyện Ninh Phước</v>
      </c>
      <c r="F7277" s="3" t="s">
        <v>8037</v>
      </c>
      <c r="G7277" s="4" t="str">
        <f>HYPERLINK("https://diaocthongthai.com/xa-phuoc-hau-ninh-phuoc/","Xã Phước Hậu")</f>
        <v>Xã Phước Hậu</v>
      </c>
    </row>
    <row r="7278" spans="1:7" x14ac:dyDescent="0.25">
      <c r="A7278" s="2">
        <v>7277</v>
      </c>
      <c r="B7278" s="3" t="s">
        <v>40</v>
      </c>
      <c r="C7278" s="4" t="str">
        <f t="shared" si="600"/>
        <v>Ninh Thuận</v>
      </c>
      <c r="D7278" s="3" t="s">
        <v>488</v>
      </c>
      <c r="E7278" s="4" t="str">
        <f t="shared" si="602"/>
        <v>Huyện Ninh Phước</v>
      </c>
      <c r="F7278" s="3" t="s">
        <v>8038</v>
      </c>
      <c r="G7278" s="4" t="str">
        <f>HYPERLINK("https://diaocthongthai.com/xa-phuoc-thuan-ninh-phuoc/","Xã Phước Thuận")</f>
        <v>Xã Phước Thuận</v>
      </c>
    </row>
    <row r="7279" spans="1:7" x14ac:dyDescent="0.25">
      <c r="A7279" s="2">
        <v>7278</v>
      </c>
      <c r="B7279" s="3" t="s">
        <v>40</v>
      </c>
      <c r="C7279" s="4" t="str">
        <f t="shared" si="600"/>
        <v>Ninh Thuận</v>
      </c>
      <c r="D7279" s="3" t="s">
        <v>488</v>
      </c>
      <c r="E7279" s="4" t="str">
        <f t="shared" si="602"/>
        <v>Huyện Ninh Phước</v>
      </c>
      <c r="F7279" s="3" t="s">
        <v>8039</v>
      </c>
      <c r="G7279" s="4" t="str">
        <f>HYPERLINK("https://diaocthongthai.com/xa-an-hai-ninh-phuoc/","Xã An Hải")</f>
        <v>Xã An Hải</v>
      </c>
    </row>
    <row r="7280" spans="1:7" x14ac:dyDescent="0.25">
      <c r="A7280" s="2">
        <v>7279</v>
      </c>
      <c r="B7280" s="3" t="s">
        <v>40</v>
      </c>
      <c r="C7280" s="4" t="str">
        <f t="shared" si="600"/>
        <v>Ninh Thuận</v>
      </c>
      <c r="D7280" s="3" t="s">
        <v>488</v>
      </c>
      <c r="E7280" s="4" t="str">
        <f t="shared" si="602"/>
        <v>Huyện Ninh Phước</v>
      </c>
      <c r="F7280" s="3" t="s">
        <v>8040</v>
      </c>
      <c r="G7280" s="4" t="str">
        <f>HYPERLINK("https://diaocthongthai.com/xa-phuoc-huu-ninh-phuoc/","Xã Phước Hữu")</f>
        <v>Xã Phước Hữu</v>
      </c>
    </row>
    <row r="7281" spans="1:7" x14ac:dyDescent="0.25">
      <c r="A7281" s="2">
        <v>7280</v>
      </c>
      <c r="B7281" s="3" t="s">
        <v>40</v>
      </c>
      <c r="C7281" s="4" t="str">
        <f t="shared" si="600"/>
        <v>Ninh Thuận</v>
      </c>
      <c r="D7281" s="3" t="s">
        <v>488</v>
      </c>
      <c r="E7281" s="4" t="str">
        <f t="shared" si="602"/>
        <v>Huyện Ninh Phước</v>
      </c>
      <c r="F7281" s="3" t="s">
        <v>8041</v>
      </c>
      <c r="G7281" s="4" t="str">
        <f>HYPERLINK("https://diaocthongthai.com/xa-phuoc-hai-ninh-phuoc/","Xã Phước Hải")</f>
        <v>Xã Phước Hải</v>
      </c>
    </row>
    <row r="7282" spans="1:7" x14ac:dyDescent="0.25">
      <c r="A7282" s="2">
        <v>7281</v>
      </c>
      <c r="B7282" s="3" t="s">
        <v>40</v>
      </c>
      <c r="C7282" s="4" t="str">
        <f t="shared" si="600"/>
        <v>Ninh Thuận</v>
      </c>
      <c r="D7282" s="3" t="s">
        <v>488</v>
      </c>
      <c r="E7282" s="4" t="str">
        <f t="shared" si="602"/>
        <v>Huyện Ninh Phước</v>
      </c>
      <c r="F7282" s="3" t="s">
        <v>8042</v>
      </c>
      <c r="G7282" s="4" t="str">
        <f>HYPERLINK("https://diaocthongthai.com/xa-phuoc-vinh-ninh-phuoc/","Xã Phước Vinh")</f>
        <v>Xã Phước Vinh</v>
      </c>
    </row>
    <row r="7283" spans="1:7" x14ac:dyDescent="0.25">
      <c r="A7283" s="2">
        <v>7282</v>
      </c>
      <c r="B7283" s="3" t="s">
        <v>40</v>
      </c>
      <c r="C7283" s="4" t="str">
        <f t="shared" si="600"/>
        <v>Ninh Thuận</v>
      </c>
      <c r="D7283" s="3" t="s">
        <v>489</v>
      </c>
      <c r="E7283" s="4" t="str">
        <f t="shared" ref="E7283:E7288" si="603">HYPERLINK("https://diaocthongthai.com/ban-do-huyen-thuan-bac-ninh-thuan/","Huyện Thuận Bắc")</f>
        <v>Huyện Thuận Bắc</v>
      </c>
      <c r="F7283" s="3" t="s">
        <v>8043</v>
      </c>
      <c r="G7283" s="4" t="str">
        <f>HYPERLINK("https://diaocthongthai.com/xa-phuoc-chien-thuan-bac/","Xã Phước Chiến")</f>
        <v>Xã Phước Chiến</v>
      </c>
    </row>
    <row r="7284" spans="1:7" x14ac:dyDescent="0.25">
      <c r="A7284" s="2">
        <v>7283</v>
      </c>
      <c r="B7284" s="3" t="s">
        <v>40</v>
      </c>
      <c r="C7284" s="4" t="str">
        <f t="shared" si="600"/>
        <v>Ninh Thuận</v>
      </c>
      <c r="D7284" s="3" t="s">
        <v>489</v>
      </c>
      <c r="E7284" s="4" t="str">
        <f t="shared" si="603"/>
        <v>Huyện Thuận Bắc</v>
      </c>
      <c r="F7284" s="3" t="s">
        <v>8044</v>
      </c>
      <c r="G7284" s="4" t="str">
        <f>HYPERLINK("https://diaocthongthai.com/xa-cong-hai-thuan-bac/","Xã Công Hải")</f>
        <v>Xã Công Hải</v>
      </c>
    </row>
    <row r="7285" spans="1:7" x14ac:dyDescent="0.25">
      <c r="A7285" s="2">
        <v>7284</v>
      </c>
      <c r="B7285" s="3" t="s">
        <v>40</v>
      </c>
      <c r="C7285" s="4" t="str">
        <f t="shared" si="600"/>
        <v>Ninh Thuận</v>
      </c>
      <c r="D7285" s="3" t="s">
        <v>489</v>
      </c>
      <c r="E7285" s="4" t="str">
        <f t="shared" si="603"/>
        <v>Huyện Thuận Bắc</v>
      </c>
      <c r="F7285" s="3" t="s">
        <v>8045</v>
      </c>
      <c r="G7285" s="4" t="str">
        <f>HYPERLINK("https://diaocthongthai.com/xa-phuoc-khang-thuan-bac/","Xã Phước Kháng")</f>
        <v>Xã Phước Kháng</v>
      </c>
    </row>
    <row r="7286" spans="1:7" x14ac:dyDescent="0.25">
      <c r="A7286" s="2">
        <v>7285</v>
      </c>
      <c r="B7286" s="3" t="s">
        <v>40</v>
      </c>
      <c r="C7286" s="4" t="str">
        <f t="shared" si="600"/>
        <v>Ninh Thuận</v>
      </c>
      <c r="D7286" s="3" t="s">
        <v>489</v>
      </c>
      <c r="E7286" s="4" t="str">
        <f t="shared" si="603"/>
        <v>Huyện Thuận Bắc</v>
      </c>
      <c r="F7286" s="3" t="s">
        <v>8046</v>
      </c>
      <c r="G7286" s="4" t="str">
        <f>HYPERLINK("https://diaocthongthai.com/xa-loi-hai-thuan-bac/","Xã Lợi Hải")</f>
        <v>Xã Lợi Hải</v>
      </c>
    </row>
    <row r="7287" spans="1:7" x14ac:dyDescent="0.25">
      <c r="A7287" s="2">
        <v>7286</v>
      </c>
      <c r="B7287" s="3" t="s">
        <v>40</v>
      </c>
      <c r="C7287" s="4" t="str">
        <f t="shared" si="600"/>
        <v>Ninh Thuận</v>
      </c>
      <c r="D7287" s="3" t="s">
        <v>489</v>
      </c>
      <c r="E7287" s="4" t="str">
        <f t="shared" si="603"/>
        <v>Huyện Thuận Bắc</v>
      </c>
      <c r="F7287" s="3" t="s">
        <v>8047</v>
      </c>
      <c r="G7287" s="4" t="str">
        <f>HYPERLINK("https://diaocthongthai.com/xa-bac-son-thuan-bac/","Xã Bắc Sơn")</f>
        <v>Xã Bắc Sơn</v>
      </c>
    </row>
    <row r="7288" spans="1:7" x14ac:dyDescent="0.25">
      <c r="A7288" s="2">
        <v>7287</v>
      </c>
      <c r="B7288" s="3" t="s">
        <v>40</v>
      </c>
      <c r="C7288" s="4" t="str">
        <f t="shared" si="600"/>
        <v>Ninh Thuận</v>
      </c>
      <c r="D7288" s="3" t="s">
        <v>489</v>
      </c>
      <c r="E7288" s="4" t="str">
        <f t="shared" si="603"/>
        <v>Huyện Thuận Bắc</v>
      </c>
      <c r="F7288" s="3" t="s">
        <v>8048</v>
      </c>
      <c r="G7288" s="4" t="str">
        <f>HYPERLINK("https://diaocthongthai.com/xa-bac-phong-thuan-bac/","Xã Bắc Phong")</f>
        <v>Xã Bắc Phong</v>
      </c>
    </row>
    <row r="7289" spans="1:7" x14ac:dyDescent="0.25">
      <c r="A7289" s="2">
        <v>7288</v>
      </c>
      <c r="B7289" s="3" t="s">
        <v>40</v>
      </c>
      <c r="C7289" s="4" t="str">
        <f t="shared" si="600"/>
        <v>Ninh Thuận</v>
      </c>
      <c r="D7289" s="3" t="s">
        <v>490</v>
      </c>
      <c r="E7289" s="4" t="str">
        <f t="shared" ref="E7289:E7296" si="604">HYPERLINK("https://diaocthongthai.com/ban-do-huyen-thuan-nam-ninh-thuan/","Huyện Thuận Nam")</f>
        <v>Huyện Thuận Nam</v>
      </c>
      <c r="F7289" s="3" t="s">
        <v>8049</v>
      </c>
      <c r="G7289" s="4" t="str">
        <f>HYPERLINK("https://diaocthongthai.com/xa-phuoc-ha-thuan-nam/","Xã Phước Hà")</f>
        <v>Xã Phước Hà</v>
      </c>
    </row>
    <row r="7290" spans="1:7" x14ac:dyDescent="0.25">
      <c r="A7290" s="2">
        <v>7289</v>
      </c>
      <c r="B7290" s="3" t="s">
        <v>40</v>
      </c>
      <c r="C7290" s="4" t="str">
        <f t="shared" si="600"/>
        <v>Ninh Thuận</v>
      </c>
      <c r="D7290" s="3" t="s">
        <v>490</v>
      </c>
      <c r="E7290" s="4" t="str">
        <f t="shared" si="604"/>
        <v>Huyện Thuận Nam</v>
      </c>
      <c r="F7290" s="3" t="s">
        <v>8050</v>
      </c>
      <c r="G7290" s="4" t="str">
        <f>HYPERLINK("https://diaocthongthai.com/xa-phuoc-nam-thuan-nam/","Xã Phước Nam")</f>
        <v>Xã Phước Nam</v>
      </c>
    </row>
    <row r="7291" spans="1:7" x14ac:dyDescent="0.25">
      <c r="A7291" s="2">
        <v>7290</v>
      </c>
      <c r="B7291" s="3" t="s">
        <v>40</v>
      </c>
      <c r="C7291" s="4" t="str">
        <f t="shared" si="600"/>
        <v>Ninh Thuận</v>
      </c>
      <c r="D7291" s="3" t="s">
        <v>490</v>
      </c>
      <c r="E7291" s="4" t="str">
        <f t="shared" si="604"/>
        <v>Huyện Thuận Nam</v>
      </c>
      <c r="F7291" s="3" t="s">
        <v>8051</v>
      </c>
      <c r="G7291" s="4" t="str">
        <f>HYPERLINK("https://diaocthongthai.com/xa-phuoc-ninh-thuan-nam/","Xã Phước Ninh")</f>
        <v>Xã Phước Ninh</v>
      </c>
    </row>
    <row r="7292" spans="1:7" x14ac:dyDescent="0.25">
      <c r="A7292" s="2">
        <v>7291</v>
      </c>
      <c r="B7292" s="3" t="s">
        <v>40</v>
      </c>
      <c r="C7292" s="4" t="str">
        <f t="shared" si="600"/>
        <v>Ninh Thuận</v>
      </c>
      <c r="D7292" s="3" t="s">
        <v>490</v>
      </c>
      <c r="E7292" s="4" t="str">
        <f t="shared" si="604"/>
        <v>Huyện Thuận Nam</v>
      </c>
      <c r="F7292" s="3" t="s">
        <v>8052</v>
      </c>
      <c r="G7292" s="4" t="str">
        <f>HYPERLINK("https://diaocthongthai.com/xa-nhi-ha-thuan-nam/","Xã Nhị Hà")</f>
        <v>Xã Nhị Hà</v>
      </c>
    </row>
    <row r="7293" spans="1:7" x14ac:dyDescent="0.25">
      <c r="A7293" s="2">
        <v>7292</v>
      </c>
      <c r="B7293" s="3" t="s">
        <v>40</v>
      </c>
      <c r="C7293" s="4" t="str">
        <f t="shared" si="600"/>
        <v>Ninh Thuận</v>
      </c>
      <c r="D7293" s="3" t="s">
        <v>490</v>
      </c>
      <c r="E7293" s="4" t="str">
        <f t="shared" si="604"/>
        <v>Huyện Thuận Nam</v>
      </c>
      <c r="F7293" s="3" t="s">
        <v>8053</v>
      </c>
      <c r="G7293" s="4" t="str">
        <f>HYPERLINK("https://diaocthongthai.com/xa-phuoc-dinh-thuan-nam/","Xã Phước Dinh")</f>
        <v>Xã Phước Dinh</v>
      </c>
    </row>
    <row r="7294" spans="1:7" x14ac:dyDescent="0.25">
      <c r="A7294" s="2">
        <v>7293</v>
      </c>
      <c r="B7294" s="3" t="s">
        <v>40</v>
      </c>
      <c r="C7294" s="4" t="str">
        <f t="shared" si="600"/>
        <v>Ninh Thuận</v>
      </c>
      <c r="D7294" s="3" t="s">
        <v>490</v>
      </c>
      <c r="E7294" s="4" t="str">
        <f t="shared" si="604"/>
        <v>Huyện Thuận Nam</v>
      </c>
      <c r="F7294" s="3" t="s">
        <v>8054</v>
      </c>
      <c r="G7294" s="4" t="str">
        <f>HYPERLINK("https://diaocthongthai.com/xa-phuoc-minh-thuan-nam/","Xã Phước Minh")</f>
        <v>Xã Phước Minh</v>
      </c>
    </row>
    <row r="7295" spans="1:7" x14ac:dyDescent="0.25">
      <c r="A7295" s="2">
        <v>7294</v>
      </c>
      <c r="B7295" s="3" t="s">
        <v>40</v>
      </c>
      <c r="C7295" s="4" t="str">
        <f t="shared" si="600"/>
        <v>Ninh Thuận</v>
      </c>
      <c r="D7295" s="3" t="s">
        <v>490</v>
      </c>
      <c r="E7295" s="4" t="str">
        <f t="shared" si="604"/>
        <v>Huyện Thuận Nam</v>
      </c>
      <c r="F7295" s="3" t="s">
        <v>8055</v>
      </c>
      <c r="G7295" s="4" t="str">
        <f>HYPERLINK("https://diaocthongthai.com/xa-phuoc-diem-thuan-nam/","Xã Phước Diêm")</f>
        <v>Xã Phước Diêm</v>
      </c>
    </row>
    <row r="7296" spans="1:7" x14ac:dyDescent="0.25">
      <c r="A7296" s="2">
        <v>7295</v>
      </c>
      <c r="B7296" s="3" t="s">
        <v>40</v>
      </c>
      <c r="C7296" s="4" t="str">
        <f t="shared" si="600"/>
        <v>Ninh Thuận</v>
      </c>
      <c r="D7296" s="3" t="s">
        <v>490</v>
      </c>
      <c r="E7296" s="4" t="str">
        <f t="shared" si="604"/>
        <v>Huyện Thuận Nam</v>
      </c>
      <c r="F7296" s="3" t="s">
        <v>8056</v>
      </c>
      <c r="G7296" s="4" t="str">
        <f>HYPERLINK("https://diaocthongthai.com/xa-ca-na-thuan-nam/","Xã Cà Ná")</f>
        <v>Xã Cà Ná</v>
      </c>
    </row>
    <row r="7297" spans="1:7" x14ac:dyDescent="0.25">
      <c r="A7297" s="2">
        <v>7296</v>
      </c>
      <c r="B7297" s="3" t="s">
        <v>41</v>
      </c>
      <c r="C7297" s="4" t="str">
        <f t="shared" ref="C7297:C7328" si="605">HYPERLINK("https://diaocthongthai.com/ban-do-binh-thuan/","Bình Thuận")</f>
        <v>Bình Thuận</v>
      </c>
      <c r="D7297" s="3" t="s">
        <v>491</v>
      </c>
      <c r="E7297" s="4" t="str">
        <f t="shared" ref="E7297:E7314" si="606">HYPERLINK("https://diaocthongthai.com/ban-do-tp-phan-thiet-binh-thuan/","Thành phố Phan Thiết")</f>
        <v>Thành phố Phan Thiết</v>
      </c>
      <c r="F7297" s="3" t="s">
        <v>8057</v>
      </c>
      <c r="G7297" s="4" t="str">
        <f>HYPERLINK("https://diaocthongthai.com/phuong-mui-ne-tp-phan-thiet/","Phường Mũi Né")</f>
        <v>Phường Mũi Né</v>
      </c>
    </row>
    <row r="7298" spans="1:7" x14ac:dyDescent="0.25">
      <c r="A7298" s="2">
        <v>7297</v>
      </c>
      <c r="B7298" s="3" t="s">
        <v>41</v>
      </c>
      <c r="C7298" s="4" t="str">
        <f t="shared" si="605"/>
        <v>Bình Thuận</v>
      </c>
      <c r="D7298" s="3" t="s">
        <v>491</v>
      </c>
      <c r="E7298" s="4" t="str">
        <f t="shared" si="606"/>
        <v>Thành phố Phan Thiết</v>
      </c>
      <c r="F7298" s="3" t="s">
        <v>8058</v>
      </c>
      <c r="G7298" s="4" t="str">
        <f>HYPERLINK("https://diaocthongthai.com/phuong-ham-tien-tp-phan-thiet/","Phường Hàm Tiến")</f>
        <v>Phường Hàm Tiến</v>
      </c>
    </row>
    <row r="7299" spans="1:7" x14ac:dyDescent="0.25">
      <c r="A7299" s="2">
        <v>7298</v>
      </c>
      <c r="B7299" s="3" t="s">
        <v>41</v>
      </c>
      <c r="C7299" s="4" t="str">
        <f t="shared" si="605"/>
        <v>Bình Thuận</v>
      </c>
      <c r="D7299" s="3" t="s">
        <v>491</v>
      </c>
      <c r="E7299" s="4" t="str">
        <f t="shared" si="606"/>
        <v>Thành phố Phan Thiết</v>
      </c>
      <c r="F7299" s="3" t="s">
        <v>8059</v>
      </c>
      <c r="G7299" s="4" t="str">
        <f>HYPERLINK("https://diaocthongthai.com/phuong-phu-hai-tp-phan-thiet/","Phường Phú Hài")</f>
        <v>Phường Phú Hài</v>
      </c>
    </row>
    <row r="7300" spans="1:7" x14ac:dyDescent="0.25">
      <c r="A7300" s="2">
        <v>7299</v>
      </c>
      <c r="B7300" s="3" t="s">
        <v>41</v>
      </c>
      <c r="C7300" s="4" t="str">
        <f t="shared" si="605"/>
        <v>Bình Thuận</v>
      </c>
      <c r="D7300" s="3" t="s">
        <v>491</v>
      </c>
      <c r="E7300" s="4" t="str">
        <f t="shared" si="606"/>
        <v>Thành phố Phan Thiết</v>
      </c>
      <c r="F7300" s="3" t="s">
        <v>8060</v>
      </c>
      <c r="G7300" s="4" t="str">
        <f>HYPERLINK("https://diaocthongthai.com/phuong-phu-thuy-tp-phan-thiet/","Phường Phú Thủy")</f>
        <v>Phường Phú Thủy</v>
      </c>
    </row>
    <row r="7301" spans="1:7" x14ac:dyDescent="0.25">
      <c r="A7301" s="2">
        <v>7300</v>
      </c>
      <c r="B7301" s="3" t="s">
        <v>41</v>
      </c>
      <c r="C7301" s="4" t="str">
        <f t="shared" si="605"/>
        <v>Bình Thuận</v>
      </c>
      <c r="D7301" s="3" t="s">
        <v>491</v>
      </c>
      <c r="E7301" s="4" t="str">
        <f t="shared" si="606"/>
        <v>Thành phố Phan Thiết</v>
      </c>
      <c r="F7301" s="3" t="s">
        <v>8061</v>
      </c>
      <c r="G7301" s="4" t="str">
        <f>HYPERLINK("https://diaocthongthai.com/phuong-phu-tai-tp-phan-thiet/","Phường Phú Tài")</f>
        <v>Phường Phú Tài</v>
      </c>
    </row>
    <row r="7302" spans="1:7" x14ac:dyDescent="0.25">
      <c r="A7302" s="2">
        <v>7301</v>
      </c>
      <c r="B7302" s="3" t="s">
        <v>41</v>
      </c>
      <c r="C7302" s="4" t="str">
        <f t="shared" si="605"/>
        <v>Bình Thuận</v>
      </c>
      <c r="D7302" s="3" t="s">
        <v>491</v>
      </c>
      <c r="E7302" s="4" t="str">
        <f t="shared" si="606"/>
        <v>Thành phố Phan Thiết</v>
      </c>
      <c r="F7302" s="3" t="s">
        <v>8062</v>
      </c>
      <c r="G7302" s="4" t="str">
        <f>HYPERLINK("https://diaocthongthai.com/phuong-phu-trinh-tp-phan-thiet/","Phường Phú Trinh")</f>
        <v>Phường Phú Trinh</v>
      </c>
    </row>
    <row r="7303" spans="1:7" x14ac:dyDescent="0.25">
      <c r="A7303" s="2">
        <v>7302</v>
      </c>
      <c r="B7303" s="3" t="s">
        <v>41</v>
      </c>
      <c r="C7303" s="4" t="str">
        <f t="shared" si="605"/>
        <v>Bình Thuận</v>
      </c>
      <c r="D7303" s="3" t="s">
        <v>491</v>
      </c>
      <c r="E7303" s="4" t="str">
        <f t="shared" si="606"/>
        <v>Thành phố Phan Thiết</v>
      </c>
      <c r="F7303" s="3" t="s">
        <v>8063</v>
      </c>
      <c r="G7303" s="4" t="str">
        <f>HYPERLINK("https://diaocthongthai.com/phuong-xuan-an-tp-phan-thiet/","Phường Xuân An")</f>
        <v>Phường Xuân An</v>
      </c>
    </row>
    <row r="7304" spans="1:7" x14ac:dyDescent="0.25">
      <c r="A7304" s="2">
        <v>7303</v>
      </c>
      <c r="B7304" s="3" t="s">
        <v>41</v>
      </c>
      <c r="C7304" s="4" t="str">
        <f t="shared" si="605"/>
        <v>Bình Thuận</v>
      </c>
      <c r="D7304" s="3" t="s">
        <v>491</v>
      </c>
      <c r="E7304" s="4" t="str">
        <f t="shared" si="606"/>
        <v>Thành phố Phan Thiết</v>
      </c>
      <c r="F7304" s="3" t="s">
        <v>8064</v>
      </c>
      <c r="G7304" s="4" t="str">
        <f>HYPERLINK("https://diaocthongthai.com/phuong-thanh-hai-tp-phan-thiet/","Phường Thanh Hải")</f>
        <v>Phường Thanh Hải</v>
      </c>
    </row>
    <row r="7305" spans="1:7" x14ac:dyDescent="0.25">
      <c r="A7305" s="2">
        <v>7304</v>
      </c>
      <c r="B7305" s="3" t="s">
        <v>41</v>
      </c>
      <c r="C7305" s="4" t="str">
        <f t="shared" si="605"/>
        <v>Bình Thuận</v>
      </c>
      <c r="D7305" s="3" t="s">
        <v>491</v>
      </c>
      <c r="E7305" s="4" t="str">
        <f t="shared" si="606"/>
        <v>Thành phố Phan Thiết</v>
      </c>
      <c r="F7305" s="3" t="s">
        <v>8065</v>
      </c>
      <c r="G7305" s="4" t="str">
        <f>HYPERLINK("https://diaocthongthai.com/phuong-binh-hung-tp-phan-thiet/","Phường Bình Hưng")</f>
        <v>Phường Bình Hưng</v>
      </c>
    </row>
    <row r="7306" spans="1:7" x14ac:dyDescent="0.25">
      <c r="A7306" s="2">
        <v>7305</v>
      </c>
      <c r="B7306" s="3" t="s">
        <v>41</v>
      </c>
      <c r="C7306" s="4" t="str">
        <f t="shared" si="605"/>
        <v>Bình Thuận</v>
      </c>
      <c r="D7306" s="3" t="s">
        <v>491</v>
      </c>
      <c r="E7306" s="4" t="str">
        <f t="shared" si="606"/>
        <v>Thành phố Phan Thiết</v>
      </c>
      <c r="F7306" s="3" t="s">
        <v>8066</v>
      </c>
      <c r="G7306" s="4" t="str">
        <f>HYPERLINK("https://diaocthongthai.com/phuong-duc-nghia-tp-phan-thiet/","Phường Đức Nghĩa")</f>
        <v>Phường Đức Nghĩa</v>
      </c>
    </row>
    <row r="7307" spans="1:7" x14ac:dyDescent="0.25">
      <c r="A7307" s="2">
        <v>7306</v>
      </c>
      <c r="B7307" s="3" t="s">
        <v>41</v>
      </c>
      <c r="C7307" s="4" t="str">
        <f t="shared" si="605"/>
        <v>Bình Thuận</v>
      </c>
      <c r="D7307" s="3" t="s">
        <v>491</v>
      </c>
      <c r="E7307" s="4" t="str">
        <f t="shared" si="606"/>
        <v>Thành phố Phan Thiết</v>
      </c>
      <c r="F7307" s="3" t="s">
        <v>8067</v>
      </c>
      <c r="G7307" s="4" t="str">
        <f>HYPERLINK("https://diaocthongthai.com/phuong-lac-dao-tp-phan-thiet/","Phường Lạc Đạo")</f>
        <v>Phường Lạc Đạo</v>
      </c>
    </row>
    <row r="7308" spans="1:7" x14ac:dyDescent="0.25">
      <c r="A7308" s="2">
        <v>7307</v>
      </c>
      <c r="B7308" s="3" t="s">
        <v>41</v>
      </c>
      <c r="C7308" s="4" t="str">
        <f t="shared" si="605"/>
        <v>Bình Thuận</v>
      </c>
      <c r="D7308" s="3" t="s">
        <v>491</v>
      </c>
      <c r="E7308" s="4" t="str">
        <f t="shared" si="606"/>
        <v>Thành phố Phan Thiết</v>
      </c>
      <c r="F7308" s="3" t="s">
        <v>8068</v>
      </c>
      <c r="G7308" s="4" t="str">
        <f>HYPERLINK("https://diaocthongthai.com/phuong-duc-thang-tp-phan-thiet/","Phường Đức Thắng")</f>
        <v>Phường Đức Thắng</v>
      </c>
    </row>
    <row r="7309" spans="1:7" x14ac:dyDescent="0.25">
      <c r="A7309" s="2">
        <v>7308</v>
      </c>
      <c r="B7309" s="3" t="s">
        <v>41</v>
      </c>
      <c r="C7309" s="4" t="str">
        <f t="shared" si="605"/>
        <v>Bình Thuận</v>
      </c>
      <c r="D7309" s="3" t="s">
        <v>491</v>
      </c>
      <c r="E7309" s="4" t="str">
        <f t="shared" si="606"/>
        <v>Thành phố Phan Thiết</v>
      </c>
      <c r="F7309" s="3" t="s">
        <v>8069</v>
      </c>
      <c r="G7309" s="4" t="str">
        <f>HYPERLINK("https://diaocthongthai.com/phuong-hung-long-tp-phan-thiet/","Phường Hưng Long")</f>
        <v>Phường Hưng Long</v>
      </c>
    </row>
    <row r="7310" spans="1:7" x14ac:dyDescent="0.25">
      <c r="A7310" s="2">
        <v>7309</v>
      </c>
      <c r="B7310" s="3" t="s">
        <v>41</v>
      </c>
      <c r="C7310" s="4" t="str">
        <f t="shared" si="605"/>
        <v>Bình Thuận</v>
      </c>
      <c r="D7310" s="3" t="s">
        <v>491</v>
      </c>
      <c r="E7310" s="4" t="str">
        <f t="shared" si="606"/>
        <v>Thành phố Phan Thiết</v>
      </c>
      <c r="F7310" s="3" t="s">
        <v>8070</v>
      </c>
      <c r="G7310" s="4" t="str">
        <f>HYPERLINK("https://diaocthongthai.com/phuong-duc-long-tp-phan-thiet/","Phường Đức Long")</f>
        <v>Phường Đức Long</v>
      </c>
    </row>
    <row r="7311" spans="1:7" x14ac:dyDescent="0.25">
      <c r="A7311" s="2">
        <v>7310</v>
      </c>
      <c r="B7311" s="3" t="s">
        <v>41</v>
      </c>
      <c r="C7311" s="4" t="str">
        <f t="shared" si="605"/>
        <v>Bình Thuận</v>
      </c>
      <c r="D7311" s="3" t="s">
        <v>491</v>
      </c>
      <c r="E7311" s="4" t="str">
        <f t="shared" si="606"/>
        <v>Thành phố Phan Thiết</v>
      </c>
      <c r="F7311" s="3" t="s">
        <v>8071</v>
      </c>
      <c r="G7311" s="4" t="str">
        <f>HYPERLINK("https://diaocthongthai.com/xa-thien-nghiep-tp-phan-thiet/","Xã Thiện Nghiệp")</f>
        <v>Xã Thiện Nghiệp</v>
      </c>
    </row>
    <row r="7312" spans="1:7" x14ac:dyDescent="0.25">
      <c r="A7312" s="2">
        <v>7311</v>
      </c>
      <c r="B7312" s="3" t="s">
        <v>41</v>
      </c>
      <c r="C7312" s="4" t="str">
        <f t="shared" si="605"/>
        <v>Bình Thuận</v>
      </c>
      <c r="D7312" s="3" t="s">
        <v>491</v>
      </c>
      <c r="E7312" s="4" t="str">
        <f t="shared" si="606"/>
        <v>Thành phố Phan Thiết</v>
      </c>
      <c r="F7312" s="3" t="s">
        <v>8072</v>
      </c>
      <c r="G7312" s="4" t="str">
        <f>HYPERLINK("https://diaocthongthai.com/xa-phong-nam-tp-phan-thiet/","Xã Phong Nẫm")</f>
        <v>Xã Phong Nẫm</v>
      </c>
    </row>
    <row r="7313" spans="1:7" x14ac:dyDescent="0.25">
      <c r="A7313" s="2">
        <v>7312</v>
      </c>
      <c r="B7313" s="3" t="s">
        <v>41</v>
      </c>
      <c r="C7313" s="4" t="str">
        <f t="shared" si="605"/>
        <v>Bình Thuận</v>
      </c>
      <c r="D7313" s="3" t="s">
        <v>491</v>
      </c>
      <c r="E7313" s="4" t="str">
        <f t="shared" si="606"/>
        <v>Thành phố Phan Thiết</v>
      </c>
      <c r="F7313" s="3" t="s">
        <v>8073</v>
      </c>
      <c r="G7313" s="4" t="str">
        <f>HYPERLINK("https://diaocthongthai.com/xa-tien-loi-tp-phan-thiet/","Xã Tiến Lợi")</f>
        <v>Xã Tiến Lợi</v>
      </c>
    </row>
    <row r="7314" spans="1:7" x14ac:dyDescent="0.25">
      <c r="A7314" s="2">
        <v>7313</v>
      </c>
      <c r="B7314" s="3" t="s">
        <v>41</v>
      </c>
      <c r="C7314" s="4" t="str">
        <f t="shared" si="605"/>
        <v>Bình Thuận</v>
      </c>
      <c r="D7314" s="3" t="s">
        <v>491</v>
      </c>
      <c r="E7314" s="4" t="str">
        <f t="shared" si="606"/>
        <v>Thành phố Phan Thiết</v>
      </c>
      <c r="F7314" s="3" t="s">
        <v>8074</v>
      </c>
      <c r="G7314" s="4" t="str">
        <f>HYPERLINK("https://diaocthongthai.com/xa-tien-thanh-tp-phan-thiet/","Xã Tiến Thành")</f>
        <v>Xã Tiến Thành</v>
      </c>
    </row>
    <row r="7315" spans="1:7" x14ac:dyDescent="0.25">
      <c r="A7315" s="2">
        <v>7314</v>
      </c>
      <c r="B7315" s="3" t="s">
        <v>41</v>
      </c>
      <c r="C7315" s="4" t="str">
        <f t="shared" si="605"/>
        <v>Bình Thuận</v>
      </c>
      <c r="D7315" s="3" t="s">
        <v>492</v>
      </c>
      <c r="E7315" s="4" t="str">
        <f t="shared" ref="E7315:E7323" si="607">HYPERLINK("https://diaocthongthai.com/ban-do-thi-xa-la-gi-binh-thuan/","Thị xã La Gi")</f>
        <v>Thị xã La Gi</v>
      </c>
      <c r="F7315" s="3" t="s">
        <v>8075</v>
      </c>
      <c r="G7315" s="4" t="str">
        <f>HYPERLINK("https://diaocthongthai.com/phuong-phuoc-hoi-la-gi/","Phường Phước Hội")</f>
        <v>Phường Phước Hội</v>
      </c>
    </row>
    <row r="7316" spans="1:7" x14ac:dyDescent="0.25">
      <c r="A7316" s="2">
        <v>7315</v>
      </c>
      <c r="B7316" s="3" t="s">
        <v>41</v>
      </c>
      <c r="C7316" s="4" t="str">
        <f t="shared" si="605"/>
        <v>Bình Thuận</v>
      </c>
      <c r="D7316" s="3" t="s">
        <v>492</v>
      </c>
      <c r="E7316" s="4" t="str">
        <f t="shared" si="607"/>
        <v>Thị xã La Gi</v>
      </c>
      <c r="F7316" s="3" t="s">
        <v>8076</v>
      </c>
      <c r="G7316" s="4" t="str">
        <f>HYPERLINK("https://diaocthongthai.com/phuong-phuoc-loc-la-gi/","Phường Phước Lộc")</f>
        <v>Phường Phước Lộc</v>
      </c>
    </row>
    <row r="7317" spans="1:7" x14ac:dyDescent="0.25">
      <c r="A7317" s="2">
        <v>7316</v>
      </c>
      <c r="B7317" s="3" t="s">
        <v>41</v>
      </c>
      <c r="C7317" s="4" t="str">
        <f t="shared" si="605"/>
        <v>Bình Thuận</v>
      </c>
      <c r="D7317" s="3" t="s">
        <v>492</v>
      </c>
      <c r="E7317" s="4" t="str">
        <f t="shared" si="607"/>
        <v>Thị xã La Gi</v>
      </c>
      <c r="F7317" s="3" t="s">
        <v>8077</v>
      </c>
      <c r="G7317" s="4" t="str">
        <f>HYPERLINK("https://diaocthongthai.com/phuong-tan-thien-la-gi/","Phường Tân Thiện")</f>
        <v>Phường Tân Thiện</v>
      </c>
    </row>
    <row r="7318" spans="1:7" x14ac:dyDescent="0.25">
      <c r="A7318" s="2">
        <v>7317</v>
      </c>
      <c r="B7318" s="3" t="s">
        <v>41</v>
      </c>
      <c r="C7318" s="4" t="str">
        <f t="shared" si="605"/>
        <v>Bình Thuận</v>
      </c>
      <c r="D7318" s="3" t="s">
        <v>492</v>
      </c>
      <c r="E7318" s="4" t="str">
        <f t="shared" si="607"/>
        <v>Thị xã La Gi</v>
      </c>
      <c r="F7318" s="3" t="s">
        <v>8078</v>
      </c>
      <c r="G7318" s="4" t="str">
        <f>HYPERLINK("https://diaocthongthai.com/phuong-tan-an-la-gi/","Phường Tân An")</f>
        <v>Phường Tân An</v>
      </c>
    </row>
    <row r="7319" spans="1:7" x14ac:dyDescent="0.25">
      <c r="A7319" s="2">
        <v>7318</v>
      </c>
      <c r="B7319" s="3" t="s">
        <v>41</v>
      </c>
      <c r="C7319" s="4" t="str">
        <f t="shared" si="605"/>
        <v>Bình Thuận</v>
      </c>
      <c r="D7319" s="3" t="s">
        <v>492</v>
      </c>
      <c r="E7319" s="4" t="str">
        <f t="shared" si="607"/>
        <v>Thị xã La Gi</v>
      </c>
      <c r="F7319" s="3" t="s">
        <v>8079</v>
      </c>
      <c r="G7319" s="4" t="str">
        <f>HYPERLINK("https://diaocthongthai.com/phuong-binh-tan-la-gi/","Phường Bình Tân")</f>
        <v>Phường Bình Tân</v>
      </c>
    </row>
    <row r="7320" spans="1:7" x14ac:dyDescent="0.25">
      <c r="A7320" s="2">
        <v>7319</v>
      </c>
      <c r="B7320" s="3" t="s">
        <v>41</v>
      </c>
      <c r="C7320" s="4" t="str">
        <f t="shared" si="605"/>
        <v>Bình Thuận</v>
      </c>
      <c r="D7320" s="3" t="s">
        <v>492</v>
      </c>
      <c r="E7320" s="4" t="str">
        <f t="shared" si="607"/>
        <v>Thị xã La Gi</v>
      </c>
      <c r="F7320" s="3" t="s">
        <v>8080</v>
      </c>
      <c r="G7320" s="4" t="str">
        <f>HYPERLINK("https://diaocthongthai.com/xa-tan-hai-la-gi/","Xã Tân Hải")</f>
        <v>Xã Tân Hải</v>
      </c>
    </row>
    <row r="7321" spans="1:7" x14ac:dyDescent="0.25">
      <c r="A7321" s="2">
        <v>7320</v>
      </c>
      <c r="B7321" s="3" t="s">
        <v>41</v>
      </c>
      <c r="C7321" s="4" t="str">
        <f t="shared" si="605"/>
        <v>Bình Thuận</v>
      </c>
      <c r="D7321" s="3" t="s">
        <v>492</v>
      </c>
      <c r="E7321" s="4" t="str">
        <f t="shared" si="607"/>
        <v>Thị xã La Gi</v>
      </c>
      <c r="F7321" s="3" t="s">
        <v>8081</v>
      </c>
      <c r="G7321" s="4" t="str">
        <f>HYPERLINK("https://diaocthongthai.com/xa-tan-tien-la-gi/","Xã Tân Tiến")</f>
        <v>Xã Tân Tiến</v>
      </c>
    </row>
    <row r="7322" spans="1:7" x14ac:dyDescent="0.25">
      <c r="A7322" s="2">
        <v>7321</v>
      </c>
      <c r="B7322" s="3" t="s">
        <v>41</v>
      </c>
      <c r="C7322" s="4" t="str">
        <f t="shared" si="605"/>
        <v>Bình Thuận</v>
      </c>
      <c r="D7322" s="3" t="s">
        <v>492</v>
      </c>
      <c r="E7322" s="4" t="str">
        <f t="shared" si="607"/>
        <v>Thị xã La Gi</v>
      </c>
      <c r="F7322" s="3" t="s">
        <v>8082</v>
      </c>
      <c r="G7322" s="4" t="str">
        <f>HYPERLINK("https://diaocthongthai.com/xa-tan-binh-la-gi/","Xã Tân Bình")</f>
        <v>Xã Tân Bình</v>
      </c>
    </row>
    <row r="7323" spans="1:7" x14ac:dyDescent="0.25">
      <c r="A7323" s="2">
        <v>7322</v>
      </c>
      <c r="B7323" s="3" t="s">
        <v>41</v>
      </c>
      <c r="C7323" s="4" t="str">
        <f t="shared" si="605"/>
        <v>Bình Thuận</v>
      </c>
      <c r="D7323" s="3" t="s">
        <v>492</v>
      </c>
      <c r="E7323" s="4" t="str">
        <f t="shared" si="607"/>
        <v>Thị xã La Gi</v>
      </c>
      <c r="F7323" s="3" t="s">
        <v>8083</v>
      </c>
      <c r="G7323" s="4" t="str">
        <f>HYPERLINK("https://diaocthongthai.com/xa-tan-phuoc-la-gi/","Xã Tân Phước")</f>
        <v>Xã Tân Phước</v>
      </c>
    </row>
    <row r="7324" spans="1:7" x14ac:dyDescent="0.25">
      <c r="A7324" s="2">
        <v>7323</v>
      </c>
      <c r="B7324" s="3" t="s">
        <v>41</v>
      </c>
      <c r="C7324" s="4" t="str">
        <f t="shared" si="605"/>
        <v>Bình Thuận</v>
      </c>
      <c r="D7324" s="3" t="s">
        <v>493</v>
      </c>
      <c r="E7324" s="4" t="str">
        <f t="shared" ref="E7324:E7334" si="608">HYPERLINK("https://diaocthongthai.com/ban-do-huyen-tuy-phong-binh-thuan/","Huyện Tuy Phong")</f>
        <v>Huyện Tuy Phong</v>
      </c>
      <c r="F7324" s="3" t="s">
        <v>8084</v>
      </c>
      <c r="G7324" s="4" t="str">
        <f>HYPERLINK("https://diaocthongthai.com/thi-tran-lien-huong-tuy-phong/","Thị trấn Liên Hương")</f>
        <v>Thị trấn Liên Hương</v>
      </c>
    </row>
    <row r="7325" spans="1:7" x14ac:dyDescent="0.25">
      <c r="A7325" s="2">
        <v>7324</v>
      </c>
      <c r="B7325" s="3" t="s">
        <v>41</v>
      </c>
      <c r="C7325" s="4" t="str">
        <f t="shared" si="605"/>
        <v>Bình Thuận</v>
      </c>
      <c r="D7325" s="3" t="s">
        <v>493</v>
      </c>
      <c r="E7325" s="4" t="str">
        <f t="shared" si="608"/>
        <v>Huyện Tuy Phong</v>
      </c>
      <c r="F7325" s="3" t="s">
        <v>8085</v>
      </c>
      <c r="G7325" s="4" t="str">
        <f>HYPERLINK("https://diaocthongthai.com/thi-tran-phan-ri-cua-tuy-phong/","Thị trấn Phan Rí Cửa")</f>
        <v>Thị trấn Phan Rí Cửa</v>
      </c>
    </row>
    <row r="7326" spans="1:7" x14ac:dyDescent="0.25">
      <c r="A7326" s="2">
        <v>7325</v>
      </c>
      <c r="B7326" s="3" t="s">
        <v>41</v>
      </c>
      <c r="C7326" s="4" t="str">
        <f t="shared" si="605"/>
        <v>Bình Thuận</v>
      </c>
      <c r="D7326" s="3" t="s">
        <v>493</v>
      </c>
      <c r="E7326" s="4" t="str">
        <f t="shared" si="608"/>
        <v>Huyện Tuy Phong</v>
      </c>
      <c r="F7326" s="3" t="s">
        <v>8086</v>
      </c>
      <c r="G7326" s="4" t="str">
        <f>HYPERLINK("https://diaocthongthai.com/xa-phan-dung-tuy-phong/","Xã Phan Dũng")</f>
        <v>Xã Phan Dũng</v>
      </c>
    </row>
    <row r="7327" spans="1:7" x14ac:dyDescent="0.25">
      <c r="A7327" s="2">
        <v>7326</v>
      </c>
      <c r="B7327" s="3" t="s">
        <v>41</v>
      </c>
      <c r="C7327" s="4" t="str">
        <f t="shared" si="605"/>
        <v>Bình Thuận</v>
      </c>
      <c r="D7327" s="3" t="s">
        <v>493</v>
      </c>
      <c r="E7327" s="4" t="str">
        <f t="shared" si="608"/>
        <v>Huyện Tuy Phong</v>
      </c>
      <c r="F7327" s="3" t="s">
        <v>8087</v>
      </c>
      <c r="G7327" s="4" t="str">
        <f>HYPERLINK("https://diaocthongthai.com/xa-phong-phu-tuy-phong/","Xã Phong Phú")</f>
        <v>Xã Phong Phú</v>
      </c>
    </row>
    <row r="7328" spans="1:7" x14ac:dyDescent="0.25">
      <c r="A7328" s="2">
        <v>7327</v>
      </c>
      <c r="B7328" s="3" t="s">
        <v>41</v>
      </c>
      <c r="C7328" s="4" t="str">
        <f t="shared" si="605"/>
        <v>Bình Thuận</v>
      </c>
      <c r="D7328" s="3" t="s">
        <v>493</v>
      </c>
      <c r="E7328" s="4" t="str">
        <f t="shared" si="608"/>
        <v>Huyện Tuy Phong</v>
      </c>
      <c r="F7328" s="3" t="s">
        <v>8088</v>
      </c>
      <c r="G7328" s="4" t="str">
        <f>HYPERLINK("https://diaocthongthai.com/xa-vinh-hao-tuy-phong/","Xã Vĩnh Hảo")</f>
        <v>Xã Vĩnh Hảo</v>
      </c>
    </row>
    <row r="7329" spans="1:7" x14ac:dyDescent="0.25">
      <c r="A7329" s="2">
        <v>7328</v>
      </c>
      <c r="B7329" s="3" t="s">
        <v>41</v>
      </c>
      <c r="C7329" s="4" t="str">
        <f t="shared" ref="C7329:C7360" si="609">HYPERLINK("https://diaocthongthai.com/ban-do-binh-thuan/","Bình Thuận")</f>
        <v>Bình Thuận</v>
      </c>
      <c r="D7329" s="3" t="s">
        <v>493</v>
      </c>
      <c r="E7329" s="4" t="str">
        <f t="shared" si="608"/>
        <v>Huyện Tuy Phong</v>
      </c>
      <c r="F7329" s="3" t="s">
        <v>8089</v>
      </c>
      <c r="G7329" s="4" t="str">
        <f>HYPERLINK("https://diaocthongthai.com/xa-vinh-tan-tuy-phong/","Xã Vĩnh Tân")</f>
        <v>Xã Vĩnh Tân</v>
      </c>
    </row>
    <row r="7330" spans="1:7" x14ac:dyDescent="0.25">
      <c r="A7330" s="2">
        <v>7329</v>
      </c>
      <c r="B7330" s="3" t="s">
        <v>41</v>
      </c>
      <c r="C7330" s="4" t="str">
        <f t="shared" si="609"/>
        <v>Bình Thuận</v>
      </c>
      <c r="D7330" s="3" t="s">
        <v>493</v>
      </c>
      <c r="E7330" s="4" t="str">
        <f t="shared" si="608"/>
        <v>Huyện Tuy Phong</v>
      </c>
      <c r="F7330" s="3" t="s">
        <v>8090</v>
      </c>
      <c r="G7330" s="4" t="str">
        <f>HYPERLINK("https://diaocthongthai.com/xa-phu-lac-tuy-phong/","Xã Phú Lạc")</f>
        <v>Xã Phú Lạc</v>
      </c>
    </row>
    <row r="7331" spans="1:7" x14ac:dyDescent="0.25">
      <c r="A7331" s="2">
        <v>7330</v>
      </c>
      <c r="B7331" s="3" t="s">
        <v>41</v>
      </c>
      <c r="C7331" s="4" t="str">
        <f t="shared" si="609"/>
        <v>Bình Thuận</v>
      </c>
      <c r="D7331" s="3" t="s">
        <v>493</v>
      </c>
      <c r="E7331" s="4" t="str">
        <f t="shared" si="608"/>
        <v>Huyện Tuy Phong</v>
      </c>
      <c r="F7331" s="3" t="s">
        <v>8091</v>
      </c>
      <c r="G7331" s="4" t="str">
        <f>HYPERLINK("https://diaocthongthai.com/xa-phuoc-the-tuy-phong/","Xã Phước Thể")</f>
        <v>Xã Phước Thể</v>
      </c>
    </row>
    <row r="7332" spans="1:7" x14ac:dyDescent="0.25">
      <c r="A7332" s="2">
        <v>7331</v>
      </c>
      <c r="B7332" s="3" t="s">
        <v>41</v>
      </c>
      <c r="C7332" s="4" t="str">
        <f t="shared" si="609"/>
        <v>Bình Thuận</v>
      </c>
      <c r="D7332" s="3" t="s">
        <v>493</v>
      </c>
      <c r="E7332" s="4" t="str">
        <f t="shared" si="608"/>
        <v>Huyện Tuy Phong</v>
      </c>
      <c r="F7332" s="3" t="s">
        <v>8092</v>
      </c>
      <c r="G7332" s="4" t="str">
        <f>HYPERLINK("https://diaocthongthai.com/xa-hoa-minh-tuy-phong/","Xã Hòa Minh")</f>
        <v>Xã Hòa Minh</v>
      </c>
    </row>
    <row r="7333" spans="1:7" x14ac:dyDescent="0.25">
      <c r="A7333" s="2">
        <v>7332</v>
      </c>
      <c r="B7333" s="3" t="s">
        <v>41</v>
      </c>
      <c r="C7333" s="4" t="str">
        <f t="shared" si="609"/>
        <v>Bình Thuận</v>
      </c>
      <c r="D7333" s="3" t="s">
        <v>493</v>
      </c>
      <c r="E7333" s="4" t="str">
        <f t="shared" si="608"/>
        <v>Huyện Tuy Phong</v>
      </c>
      <c r="F7333" s="3" t="s">
        <v>8093</v>
      </c>
      <c r="G7333" s="4" t="str">
        <f>HYPERLINK("https://diaocthongthai.com/xa-chi-cong-tuy-phong/","Xã Chí Công")</f>
        <v>Xã Chí Công</v>
      </c>
    </row>
    <row r="7334" spans="1:7" x14ac:dyDescent="0.25">
      <c r="A7334" s="2">
        <v>7333</v>
      </c>
      <c r="B7334" s="3" t="s">
        <v>41</v>
      </c>
      <c r="C7334" s="4" t="str">
        <f t="shared" si="609"/>
        <v>Bình Thuận</v>
      </c>
      <c r="D7334" s="3" t="s">
        <v>493</v>
      </c>
      <c r="E7334" s="4" t="str">
        <f t="shared" si="608"/>
        <v>Huyện Tuy Phong</v>
      </c>
      <c r="F7334" s="3" t="s">
        <v>8094</v>
      </c>
      <c r="G7334" s="4" t="str">
        <f>HYPERLINK("https://diaocthongthai.com/xa-binh-thanh-tuy-phong/","Xã Bình Thạnh")</f>
        <v>Xã Bình Thạnh</v>
      </c>
    </row>
    <row r="7335" spans="1:7" x14ac:dyDescent="0.25">
      <c r="A7335" s="2">
        <v>7334</v>
      </c>
      <c r="B7335" s="3" t="s">
        <v>41</v>
      </c>
      <c r="C7335" s="4" t="str">
        <f t="shared" si="609"/>
        <v>Bình Thuận</v>
      </c>
      <c r="D7335" s="3" t="s">
        <v>494</v>
      </c>
      <c r="E7335" s="4" t="str">
        <f t="shared" ref="E7335:E7352" si="610">HYPERLINK("https://diaocthongthai.com/ban-do-huyen-bac-binh-binh-thuan/","Huyện Bắc Bình")</f>
        <v>Huyện Bắc Bình</v>
      </c>
      <c r="F7335" s="3" t="s">
        <v>8095</v>
      </c>
      <c r="G7335" s="4" t="str">
        <f>HYPERLINK("https://diaocthongthai.com/thi-tran-cho-lau-bac-binh/","Thị trấn Chợ Lầu")</f>
        <v>Thị trấn Chợ Lầu</v>
      </c>
    </row>
    <row r="7336" spans="1:7" x14ac:dyDescent="0.25">
      <c r="A7336" s="2">
        <v>7335</v>
      </c>
      <c r="B7336" s="3" t="s">
        <v>41</v>
      </c>
      <c r="C7336" s="4" t="str">
        <f t="shared" si="609"/>
        <v>Bình Thuận</v>
      </c>
      <c r="D7336" s="3" t="s">
        <v>494</v>
      </c>
      <c r="E7336" s="4" t="str">
        <f t="shared" si="610"/>
        <v>Huyện Bắc Bình</v>
      </c>
      <c r="F7336" s="3" t="s">
        <v>8096</v>
      </c>
      <c r="G7336" s="4" t="str">
        <f>HYPERLINK("https://diaocthongthai.com/xa-phan-son-bac-binh/","Xã Phan Sơn")</f>
        <v>Xã Phan Sơn</v>
      </c>
    </row>
    <row r="7337" spans="1:7" x14ac:dyDescent="0.25">
      <c r="A7337" s="2">
        <v>7336</v>
      </c>
      <c r="B7337" s="3" t="s">
        <v>41</v>
      </c>
      <c r="C7337" s="4" t="str">
        <f t="shared" si="609"/>
        <v>Bình Thuận</v>
      </c>
      <c r="D7337" s="3" t="s">
        <v>494</v>
      </c>
      <c r="E7337" s="4" t="str">
        <f t="shared" si="610"/>
        <v>Huyện Bắc Bình</v>
      </c>
      <c r="F7337" s="3" t="s">
        <v>8097</v>
      </c>
      <c r="G7337" s="4" t="str">
        <f>HYPERLINK("https://diaocthongthai.com/xa-phan-lam-bac-binh/","Xã Phan Lâm")</f>
        <v>Xã Phan Lâm</v>
      </c>
    </row>
    <row r="7338" spans="1:7" x14ac:dyDescent="0.25">
      <c r="A7338" s="2">
        <v>7337</v>
      </c>
      <c r="B7338" s="3" t="s">
        <v>41</v>
      </c>
      <c r="C7338" s="4" t="str">
        <f t="shared" si="609"/>
        <v>Bình Thuận</v>
      </c>
      <c r="D7338" s="3" t="s">
        <v>494</v>
      </c>
      <c r="E7338" s="4" t="str">
        <f t="shared" si="610"/>
        <v>Huyện Bắc Bình</v>
      </c>
      <c r="F7338" s="3" t="s">
        <v>8098</v>
      </c>
      <c r="G7338" s="4" t="str">
        <f>HYPERLINK("https://diaocthongthai.com/xa-binh-an-bac-binh/","Xã Bình An")</f>
        <v>Xã Bình An</v>
      </c>
    </row>
    <row r="7339" spans="1:7" x14ac:dyDescent="0.25">
      <c r="A7339" s="2">
        <v>7338</v>
      </c>
      <c r="B7339" s="3" t="s">
        <v>41</v>
      </c>
      <c r="C7339" s="4" t="str">
        <f t="shared" si="609"/>
        <v>Bình Thuận</v>
      </c>
      <c r="D7339" s="3" t="s">
        <v>494</v>
      </c>
      <c r="E7339" s="4" t="str">
        <f t="shared" si="610"/>
        <v>Huyện Bắc Bình</v>
      </c>
      <c r="F7339" s="3" t="s">
        <v>8099</v>
      </c>
      <c r="G7339" s="4" t="str">
        <f>HYPERLINK("https://diaocthongthai.com/xa-phan-dien-bac-binh/","Xã Phan Điền")</f>
        <v>Xã Phan Điền</v>
      </c>
    </row>
    <row r="7340" spans="1:7" x14ac:dyDescent="0.25">
      <c r="A7340" s="2">
        <v>7339</v>
      </c>
      <c r="B7340" s="3" t="s">
        <v>41</v>
      </c>
      <c r="C7340" s="4" t="str">
        <f t="shared" si="609"/>
        <v>Bình Thuận</v>
      </c>
      <c r="D7340" s="3" t="s">
        <v>494</v>
      </c>
      <c r="E7340" s="4" t="str">
        <f t="shared" si="610"/>
        <v>Huyện Bắc Bình</v>
      </c>
      <c r="F7340" s="3" t="s">
        <v>8100</v>
      </c>
      <c r="G7340" s="4" t="str">
        <f>HYPERLINK("https://diaocthongthai.com/xa-hai-ninh-bac-binh/","Xã Hải Ninh")</f>
        <v>Xã Hải Ninh</v>
      </c>
    </row>
    <row r="7341" spans="1:7" x14ac:dyDescent="0.25">
      <c r="A7341" s="2">
        <v>7340</v>
      </c>
      <c r="B7341" s="3" t="s">
        <v>41</v>
      </c>
      <c r="C7341" s="4" t="str">
        <f t="shared" si="609"/>
        <v>Bình Thuận</v>
      </c>
      <c r="D7341" s="3" t="s">
        <v>494</v>
      </c>
      <c r="E7341" s="4" t="str">
        <f t="shared" si="610"/>
        <v>Huyện Bắc Bình</v>
      </c>
      <c r="F7341" s="3" t="s">
        <v>8101</v>
      </c>
      <c r="G7341" s="4" t="str">
        <f>HYPERLINK("https://diaocthongthai.com/xa-song-luy-bac-binh/","Xã Sông Lũy")</f>
        <v>Xã Sông Lũy</v>
      </c>
    </row>
    <row r="7342" spans="1:7" x14ac:dyDescent="0.25">
      <c r="A7342" s="2">
        <v>7341</v>
      </c>
      <c r="B7342" s="3" t="s">
        <v>41</v>
      </c>
      <c r="C7342" s="4" t="str">
        <f t="shared" si="609"/>
        <v>Bình Thuận</v>
      </c>
      <c r="D7342" s="3" t="s">
        <v>494</v>
      </c>
      <c r="E7342" s="4" t="str">
        <f t="shared" si="610"/>
        <v>Huyện Bắc Bình</v>
      </c>
      <c r="F7342" s="3" t="s">
        <v>8102</v>
      </c>
      <c r="G7342" s="4" t="str">
        <f>HYPERLINK("https://diaocthongthai.com/xa-phan-tien-bac-binh/","Xã Phan Tiến")</f>
        <v>Xã Phan Tiến</v>
      </c>
    </row>
    <row r="7343" spans="1:7" x14ac:dyDescent="0.25">
      <c r="A7343" s="2">
        <v>7342</v>
      </c>
      <c r="B7343" s="3" t="s">
        <v>41</v>
      </c>
      <c r="C7343" s="4" t="str">
        <f t="shared" si="609"/>
        <v>Bình Thuận</v>
      </c>
      <c r="D7343" s="3" t="s">
        <v>494</v>
      </c>
      <c r="E7343" s="4" t="str">
        <f t="shared" si="610"/>
        <v>Huyện Bắc Bình</v>
      </c>
      <c r="F7343" s="3" t="s">
        <v>8103</v>
      </c>
      <c r="G7343" s="4" t="str">
        <f>HYPERLINK("https://diaocthongthai.com/xa-song-binh-bac-binh/","Xã Sông Bình")</f>
        <v>Xã Sông Bình</v>
      </c>
    </row>
    <row r="7344" spans="1:7" x14ac:dyDescent="0.25">
      <c r="A7344" s="2">
        <v>7343</v>
      </c>
      <c r="B7344" s="3" t="s">
        <v>41</v>
      </c>
      <c r="C7344" s="4" t="str">
        <f t="shared" si="609"/>
        <v>Bình Thuận</v>
      </c>
      <c r="D7344" s="3" t="s">
        <v>494</v>
      </c>
      <c r="E7344" s="4" t="str">
        <f t="shared" si="610"/>
        <v>Huyện Bắc Bình</v>
      </c>
      <c r="F7344" s="3" t="s">
        <v>8104</v>
      </c>
      <c r="G7344" s="4" t="str">
        <f>HYPERLINK("https://diaocthongthai.com/thi-tran-luong-son-bac-binh/","Thị trấn Lương Sơn")</f>
        <v>Thị trấn Lương Sơn</v>
      </c>
    </row>
    <row r="7345" spans="1:7" x14ac:dyDescent="0.25">
      <c r="A7345" s="2">
        <v>7344</v>
      </c>
      <c r="B7345" s="3" t="s">
        <v>41</v>
      </c>
      <c r="C7345" s="4" t="str">
        <f t="shared" si="609"/>
        <v>Bình Thuận</v>
      </c>
      <c r="D7345" s="3" t="s">
        <v>494</v>
      </c>
      <c r="E7345" s="4" t="str">
        <f t="shared" si="610"/>
        <v>Huyện Bắc Bình</v>
      </c>
      <c r="F7345" s="3" t="s">
        <v>8105</v>
      </c>
      <c r="G7345" s="4" t="str">
        <f>HYPERLINK("https://diaocthongthai.com/xa-phan-hoa-bac-binh/","Xã Phan Hòa")</f>
        <v>Xã Phan Hòa</v>
      </c>
    </row>
    <row r="7346" spans="1:7" x14ac:dyDescent="0.25">
      <c r="A7346" s="2">
        <v>7345</v>
      </c>
      <c r="B7346" s="3" t="s">
        <v>41</v>
      </c>
      <c r="C7346" s="4" t="str">
        <f t="shared" si="609"/>
        <v>Bình Thuận</v>
      </c>
      <c r="D7346" s="3" t="s">
        <v>494</v>
      </c>
      <c r="E7346" s="4" t="str">
        <f t="shared" si="610"/>
        <v>Huyện Bắc Bình</v>
      </c>
      <c r="F7346" s="3" t="s">
        <v>8106</v>
      </c>
      <c r="G7346" s="4" t="str">
        <f>HYPERLINK("https://diaocthongthai.com/xa-phan-thanh-bac-binh/","Xã Phan Thanh")</f>
        <v>Xã Phan Thanh</v>
      </c>
    </row>
    <row r="7347" spans="1:7" x14ac:dyDescent="0.25">
      <c r="A7347" s="2">
        <v>7346</v>
      </c>
      <c r="B7347" s="3" t="s">
        <v>41</v>
      </c>
      <c r="C7347" s="4" t="str">
        <f t="shared" si="609"/>
        <v>Bình Thuận</v>
      </c>
      <c r="D7347" s="3" t="s">
        <v>494</v>
      </c>
      <c r="E7347" s="4" t="str">
        <f t="shared" si="610"/>
        <v>Huyện Bắc Bình</v>
      </c>
      <c r="F7347" s="3" t="s">
        <v>8107</v>
      </c>
      <c r="G7347" s="4" t="str">
        <f>HYPERLINK("https://diaocthongthai.com/xa-hong-thai-bac-binh/","Xã Hồng Thái")</f>
        <v>Xã Hồng Thái</v>
      </c>
    </row>
    <row r="7348" spans="1:7" x14ac:dyDescent="0.25">
      <c r="A7348" s="2">
        <v>7347</v>
      </c>
      <c r="B7348" s="3" t="s">
        <v>41</v>
      </c>
      <c r="C7348" s="4" t="str">
        <f t="shared" si="609"/>
        <v>Bình Thuận</v>
      </c>
      <c r="D7348" s="3" t="s">
        <v>494</v>
      </c>
      <c r="E7348" s="4" t="str">
        <f t="shared" si="610"/>
        <v>Huyện Bắc Bình</v>
      </c>
      <c r="F7348" s="3" t="s">
        <v>8108</v>
      </c>
      <c r="G7348" s="4" t="str">
        <f>HYPERLINK("https://diaocthongthai.com/xa-phan-hiep-bac-binh/","Xã Phan Hiệp")</f>
        <v>Xã Phan Hiệp</v>
      </c>
    </row>
    <row r="7349" spans="1:7" x14ac:dyDescent="0.25">
      <c r="A7349" s="2">
        <v>7348</v>
      </c>
      <c r="B7349" s="3" t="s">
        <v>41</v>
      </c>
      <c r="C7349" s="4" t="str">
        <f t="shared" si="609"/>
        <v>Bình Thuận</v>
      </c>
      <c r="D7349" s="3" t="s">
        <v>494</v>
      </c>
      <c r="E7349" s="4" t="str">
        <f t="shared" si="610"/>
        <v>Huyện Bắc Bình</v>
      </c>
      <c r="F7349" s="3" t="s">
        <v>8109</v>
      </c>
      <c r="G7349" s="4" t="str">
        <f>HYPERLINK("https://diaocthongthai.com/xa-binh-tan-bac-binh/","Xã Bình Tân")</f>
        <v>Xã Bình Tân</v>
      </c>
    </row>
    <row r="7350" spans="1:7" x14ac:dyDescent="0.25">
      <c r="A7350" s="2">
        <v>7349</v>
      </c>
      <c r="B7350" s="3" t="s">
        <v>41</v>
      </c>
      <c r="C7350" s="4" t="str">
        <f t="shared" si="609"/>
        <v>Bình Thuận</v>
      </c>
      <c r="D7350" s="3" t="s">
        <v>494</v>
      </c>
      <c r="E7350" s="4" t="str">
        <f t="shared" si="610"/>
        <v>Huyện Bắc Bình</v>
      </c>
      <c r="F7350" s="3" t="s">
        <v>8110</v>
      </c>
      <c r="G7350" s="4" t="str">
        <f>HYPERLINK("https://diaocthongthai.com/xa-phan-ri-thanh-bac-binh/","Xã Phan Rí Thành")</f>
        <v>Xã Phan Rí Thành</v>
      </c>
    </row>
    <row r="7351" spans="1:7" x14ac:dyDescent="0.25">
      <c r="A7351" s="2">
        <v>7350</v>
      </c>
      <c r="B7351" s="3" t="s">
        <v>41</v>
      </c>
      <c r="C7351" s="4" t="str">
        <f t="shared" si="609"/>
        <v>Bình Thuận</v>
      </c>
      <c r="D7351" s="3" t="s">
        <v>494</v>
      </c>
      <c r="E7351" s="4" t="str">
        <f t="shared" si="610"/>
        <v>Huyện Bắc Bình</v>
      </c>
      <c r="F7351" s="3" t="s">
        <v>8111</v>
      </c>
      <c r="G7351" s="4" t="str">
        <f>HYPERLINK("https://diaocthongthai.com/xa-hoa-thang-bac-binh/","Xã Hòa Thắng")</f>
        <v>Xã Hòa Thắng</v>
      </c>
    </row>
    <row r="7352" spans="1:7" x14ac:dyDescent="0.25">
      <c r="A7352" s="2">
        <v>7351</v>
      </c>
      <c r="B7352" s="3" t="s">
        <v>41</v>
      </c>
      <c r="C7352" s="4" t="str">
        <f t="shared" si="609"/>
        <v>Bình Thuận</v>
      </c>
      <c r="D7352" s="3" t="s">
        <v>494</v>
      </c>
      <c r="E7352" s="4" t="str">
        <f t="shared" si="610"/>
        <v>Huyện Bắc Bình</v>
      </c>
      <c r="F7352" s="3" t="s">
        <v>8112</v>
      </c>
      <c r="G7352" s="4" t="str">
        <f>HYPERLINK("https://diaocthongthai.com/xa-hong-phong-bac-binh/","Xã Hồng Phong")</f>
        <v>Xã Hồng Phong</v>
      </c>
    </row>
    <row r="7353" spans="1:7" x14ac:dyDescent="0.25">
      <c r="A7353" s="2">
        <v>7352</v>
      </c>
      <c r="B7353" s="3" t="s">
        <v>41</v>
      </c>
      <c r="C7353" s="4" t="str">
        <f t="shared" si="609"/>
        <v>Bình Thuận</v>
      </c>
      <c r="D7353" s="3" t="s">
        <v>495</v>
      </c>
      <c r="E7353" s="4" t="str">
        <f t="shared" ref="E7353:E7369" si="611">HYPERLINK("https://diaocthongthai.com/ban-do-huyen-ham-thuan-bac-binh-thuan/","Huyện Hàm Thuận Bắc")</f>
        <v>Huyện Hàm Thuận Bắc</v>
      </c>
      <c r="F7353" s="3" t="s">
        <v>8113</v>
      </c>
      <c r="G7353" s="4" t="str">
        <f>HYPERLINK("https://diaocthongthai.com/thi-tran-ma-lam-ham-thuan-bac/","Thị trấn Ma Lâm")</f>
        <v>Thị trấn Ma Lâm</v>
      </c>
    </row>
    <row r="7354" spans="1:7" x14ac:dyDescent="0.25">
      <c r="A7354" s="2">
        <v>7353</v>
      </c>
      <c r="B7354" s="3" t="s">
        <v>41</v>
      </c>
      <c r="C7354" s="4" t="str">
        <f t="shared" si="609"/>
        <v>Bình Thuận</v>
      </c>
      <c r="D7354" s="3" t="s">
        <v>495</v>
      </c>
      <c r="E7354" s="4" t="str">
        <f t="shared" si="611"/>
        <v>Huyện Hàm Thuận Bắc</v>
      </c>
      <c r="F7354" s="3" t="s">
        <v>8114</v>
      </c>
      <c r="G7354" s="4" t="str">
        <f>HYPERLINK("https://diaocthongthai.com/thi-tran-phu-long-ham-thuan-bac/","Thị trấn Phú Long")</f>
        <v>Thị trấn Phú Long</v>
      </c>
    </row>
    <row r="7355" spans="1:7" x14ac:dyDescent="0.25">
      <c r="A7355" s="2">
        <v>7354</v>
      </c>
      <c r="B7355" s="3" t="s">
        <v>41</v>
      </c>
      <c r="C7355" s="4" t="str">
        <f t="shared" si="609"/>
        <v>Bình Thuận</v>
      </c>
      <c r="D7355" s="3" t="s">
        <v>495</v>
      </c>
      <c r="E7355" s="4" t="str">
        <f t="shared" si="611"/>
        <v>Huyện Hàm Thuận Bắc</v>
      </c>
      <c r="F7355" s="3" t="s">
        <v>8115</v>
      </c>
      <c r="G7355" s="4" t="str">
        <f>HYPERLINK("https://diaocthongthai.com/xa-la-da-ham-thuan-bac/","Xã La Dạ")</f>
        <v>Xã La Dạ</v>
      </c>
    </row>
    <row r="7356" spans="1:7" x14ac:dyDescent="0.25">
      <c r="A7356" s="2">
        <v>7355</v>
      </c>
      <c r="B7356" s="3" t="s">
        <v>41</v>
      </c>
      <c r="C7356" s="4" t="str">
        <f t="shared" si="609"/>
        <v>Bình Thuận</v>
      </c>
      <c r="D7356" s="3" t="s">
        <v>495</v>
      </c>
      <c r="E7356" s="4" t="str">
        <f t="shared" si="611"/>
        <v>Huyện Hàm Thuận Bắc</v>
      </c>
      <c r="F7356" s="3" t="s">
        <v>8116</v>
      </c>
      <c r="G7356" s="4" t="str">
        <f>HYPERLINK("https://diaocthongthai.com/xa-dong-tien-ham-thuan-bac/","Xã Đông Tiến")</f>
        <v>Xã Đông Tiến</v>
      </c>
    </row>
    <row r="7357" spans="1:7" x14ac:dyDescent="0.25">
      <c r="A7357" s="2">
        <v>7356</v>
      </c>
      <c r="B7357" s="3" t="s">
        <v>41</v>
      </c>
      <c r="C7357" s="4" t="str">
        <f t="shared" si="609"/>
        <v>Bình Thuận</v>
      </c>
      <c r="D7357" s="3" t="s">
        <v>495</v>
      </c>
      <c r="E7357" s="4" t="str">
        <f t="shared" si="611"/>
        <v>Huyện Hàm Thuận Bắc</v>
      </c>
      <c r="F7357" s="3" t="s">
        <v>8117</v>
      </c>
      <c r="G7357" s="4" t="str">
        <f>HYPERLINK("https://diaocthongthai.com/xa-thuan-hoa-ham-thuan-bac/","Xã Thuận Hòa")</f>
        <v>Xã Thuận Hòa</v>
      </c>
    </row>
    <row r="7358" spans="1:7" x14ac:dyDescent="0.25">
      <c r="A7358" s="2">
        <v>7357</v>
      </c>
      <c r="B7358" s="3" t="s">
        <v>41</v>
      </c>
      <c r="C7358" s="4" t="str">
        <f t="shared" si="609"/>
        <v>Bình Thuận</v>
      </c>
      <c r="D7358" s="3" t="s">
        <v>495</v>
      </c>
      <c r="E7358" s="4" t="str">
        <f t="shared" si="611"/>
        <v>Huyện Hàm Thuận Bắc</v>
      </c>
      <c r="F7358" s="3" t="s">
        <v>8118</v>
      </c>
      <c r="G7358" s="4" t="str">
        <f>HYPERLINK("https://diaocthongthai.com/xa-dong-giang-ham-thuan-bac/","Xã Đông Giang")</f>
        <v>Xã Đông Giang</v>
      </c>
    </row>
    <row r="7359" spans="1:7" x14ac:dyDescent="0.25">
      <c r="A7359" s="2">
        <v>7358</v>
      </c>
      <c r="B7359" s="3" t="s">
        <v>41</v>
      </c>
      <c r="C7359" s="4" t="str">
        <f t="shared" si="609"/>
        <v>Bình Thuận</v>
      </c>
      <c r="D7359" s="3" t="s">
        <v>495</v>
      </c>
      <c r="E7359" s="4" t="str">
        <f t="shared" si="611"/>
        <v>Huyện Hàm Thuận Bắc</v>
      </c>
      <c r="F7359" s="3" t="s">
        <v>8119</v>
      </c>
      <c r="G7359" s="4" t="str">
        <f>HYPERLINK("https://diaocthongthai.com/xa-ham-phu-ham-thuan-bac/","Xã Hàm Phú")</f>
        <v>Xã Hàm Phú</v>
      </c>
    </row>
    <row r="7360" spans="1:7" x14ac:dyDescent="0.25">
      <c r="A7360" s="2">
        <v>7359</v>
      </c>
      <c r="B7360" s="3" t="s">
        <v>41</v>
      </c>
      <c r="C7360" s="4" t="str">
        <f t="shared" si="609"/>
        <v>Bình Thuận</v>
      </c>
      <c r="D7360" s="3" t="s">
        <v>495</v>
      </c>
      <c r="E7360" s="4" t="str">
        <f t="shared" si="611"/>
        <v>Huyện Hàm Thuận Bắc</v>
      </c>
      <c r="F7360" s="3" t="s">
        <v>8120</v>
      </c>
      <c r="G7360" s="4" t="str">
        <f>HYPERLINK("https://diaocthongthai.com/xa-hong-liem-ham-thuan-bac/","Xã Hồng Liêm")</f>
        <v>Xã Hồng Liêm</v>
      </c>
    </row>
    <row r="7361" spans="1:7" x14ac:dyDescent="0.25">
      <c r="A7361" s="2">
        <v>7360</v>
      </c>
      <c r="B7361" s="3" t="s">
        <v>41</v>
      </c>
      <c r="C7361" s="4" t="str">
        <f t="shared" ref="C7361:C7392" si="612">HYPERLINK("https://diaocthongthai.com/ban-do-binh-thuan/","Bình Thuận")</f>
        <v>Bình Thuận</v>
      </c>
      <c r="D7361" s="3" t="s">
        <v>495</v>
      </c>
      <c r="E7361" s="4" t="str">
        <f t="shared" si="611"/>
        <v>Huyện Hàm Thuận Bắc</v>
      </c>
      <c r="F7361" s="3" t="s">
        <v>8121</v>
      </c>
      <c r="G7361" s="4" t="str">
        <f>HYPERLINK("https://diaocthongthai.com/xa-thuan-minh-ham-thuan-bac/","Xã Thuận Minh")</f>
        <v>Xã Thuận Minh</v>
      </c>
    </row>
    <row r="7362" spans="1:7" x14ac:dyDescent="0.25">
      <c r="A7362" s="2">
        <v>7361</v>
      </c>
      <c r="B7362" s="3" t="s">
        <v>41</v>
      </c>
      <c r="C7362" s="4" t="str">
        <f t="shared" si="612"/>
        <v>Bình Thuận</v>
      </c>
      <c r="D7362" s="3" t="s">
        <v>495</v>
      </c>
      <c r="E7362" s="4" t="str">
        <f t="shared" si="611"/>
        <v>Huyện Hàm Thuận Bắc</v>
      </c>
      <c r="F7362" s="3" t="s">
        <v>8122</v>
      </c>
      <c r="G7362" s="4" t="str">
        <f>HYPERLINK("https://diaocthongthai.com/xa-hong-son-ham-thuan-bac/","Xã Hồng Sơn")</f>
        <v>Xã Hồng Sơn</v>
      </c>
    </row>
    <row r="7363" spans="1:7" x14ac:dyDescent="0.25">
      <c r="A7363" s="2">
        <v>7362</v>
      </c>
      <c r="B7363" s="3" t="s">
        <v>41</v>
      </c>
      <c r="C7363" s="4" t="str">
        <f t="shared" si="612"/>
        <v>Bình Thuận</v>
      </c>
      <c r="D7363" s="3" t="s">
        <v>495</v>
      </c>
      <c r="E7363" s="4" t="str">
        <f t="shared" si="611"/>
        <v>Huyện Hàm Thuận Bắc</v>
      </c>
      <c r="F7363" s="3" t="s">
        <v>8123</v>
      </c>
      <c r="G7363" s="4" t="str">
        <f>HYPERLINK("https://diaocthongthai.com/xa-ham-tri-ham-thuan-bac/","Xã Hàm Trí")</f>
        <v>Xã Hàm Trí</v>
      </c>
    </row>
    <row r="7364" spans="1:7" x14ac:dyDescent="0.25">
      <c r="A7364" s="2">
        <v>7363</v>
      </c>
      <c r="B7364" s="3" t="s">
        <v>41</v>
      </c>
      <c r="C7364" s="4" t="str">
        <f t="shared" si="612"/>
        <v>Bình Thuận</v>
      </c>
      <c r="D7364" s="3" t="s">
        <v>495</v>
      </c>
      <c r="E7364" s="4" t="str">
        <f t="shared" si="611"/>
        <v>Huyện Hàm Thuận Bắc</v>
      </c>
      <c r="F7364" s="3" t="s">
        <v>8124</v>
      </c>
      <c r="G7364" s="4" t="str">
        <f>HYPERLINK("https://diaocthongthai.com/xa-ham-duc-ham-thuan-bac/","Xã Hàm Đức")</f>
        <v>Xã Hàm Đức</v>
      </c>
    </row>
    <row r="7365" spans="1:7" x14ac:dyDescent="0.25">
      <c r="A7365" s="2">
        <v>7364</v>
      </c>
      <c r="B7365" s="3" t="s">
        <v>41</v>
      </c>
      <c r="C7365" s="4" t="str">
        <f t="shared" si="612"/>
        <v>Bình Thuận</v>
      </c>
      <c r="D7365" s="3" t="s">
        <v>495</v>
      </c>
      <c r="E7365" s="4" t="str">
        <f t="shared" si="611"/>
        <v>Huyện Hàm Thuận Bắc</v>
      </c>
      <c r="F7365" s="3" t="s">
        <v>8125</v>
      </c>
      <c r="G7365" s="4" t="str">
        <f>HYPERLINK("https://diaocthongthai.com/xa-ham-liem-ham-thuan-bac/","Xã Hàm Liêm")</f>
        <v>Xã Hàm Liêm</v>
      </c>
    </row>
    <row r="7366" spans="1:7" x14ac:dyDescent="0.25">
      <c r="A7366" s="2">
        <v>7365</v>
      </c>
      <c r="B7366" s="3" t="s">
        <v>41</v>
      </c>
      <c r="C7366" s="4" t="str">
        <f t="shared" si="612"/>
        <v>Bình Thuận</v>
      </c>
      <c r="D7366" s="3" t="s">
        <v>495</v>
      </c>
      <c r="E7366" s="4" t="str">
        <f t="shared" si="611"/>
        <v>Huyện Hàm Thuận Bắc</v>
      </c>
      <c r="F7366" s="3" t="s">
        <v>8126</v>
      </c>
      <c r="G7366" s="4" t="str">
        <f>HYPERLINK("https://diaocthongthai.com/xa-ham-chinh-ham-thuan-bac/","Xã Hàm Chính")</f>
        <v>Xã Hàm Chính</v>
      </c>
    </row>
    <row r="7367" spans="1:7" x14ac:dyDescent="0.25">
      <c r="A7367" s="2">
        <v>7366</v>
      </c>
      <c r="B7367" s="3" t="s">
        <v>41</v>
      </c>
      <c r="C7367" s="4" t="str">
        <f t="shared" si="612"/>
        <v>Bình Thuận</v>
      </c>
      <c r="D7367" s="3" t="s">
        <v>495</v>
      </c>
      <c r="E7367" s="4" t="str">
        <f t="shared" si="611"/>
        <v>Huyện Hàm Thuận Bắc</v>
      </c>
      <c r="F7367" s="3" t="s">
        <v>8127</v>
      </c>
      <c r="G7367" s="4" t="str">
        <f>HYPERLINK("https://diaocthongthai.com/xa-ham-hiep-ham-thuan-bac/","Xã Hàm Hiệp")</f>
        <v>Xã Hàm Hiệp</v>
      </c>
    </row>
    <row r="7368" spans="1:7" x14ac:dyDescent="0.25">
      <c r="A7368" s="2">
        <v>7367</v>
      </c>
      <c r="B7368" s="3" t="s">
        <v>41</v>
      </c>
      <c r="C7368" s="4" t="str">
        <f t="shared" si="612"/>
        <v>Bình Thuận</v>
      </c>
      <c r="D7368" s="3" t="s">
        <v>495</v>
      </c>
      <c r="E7368" s="4" t="str">
        <f t="shared" si="611"/>
        <v>Huyện Hàm Thuận Bắc</v>
      </c>
      <c r="F7368" s="3" t="s">
        <v>8128</v>
      </c>
      <c r="G7368" s="4" t="str">
        <f>HYPERLINK("https://diaocthongthai.com/xa-ham-thang-ham-thuan-bac/","Xã Hàm Thắng")</f>
        <v>Xã Hàm Thắng</v>
      </c>
    </row>
    <row r="7369" spans="1:7" x14ac:dyDescent="0.25">
      <c r="A7369" s="2">
        <v>7368</v>
      </c>
      <c r="B7369" s="3" t="s">
        <v>41</v>
      </c>
      <c r="C7369" s="4" t="str">
        <f t="shared" si="612"/>
        <v>Bình Thuận</v>
      </c>
      <c r="D7369" s="3" t="s">
        <v>495</v>
      </c>
      <c r="E7369" s="4" t="str">
        <f t="shared" si="611"/>
        <v>Huyện Hàm Thuận Bắc</v>
      </c>
      <c r="F7369" s="3" t="s">
        <v>8129</v>
      </c>
      <c r="G7369" s="4" t="str">
        <f>HYPERLINK("https://diaocthongthai.com/xa-da-mi-ham-thuan-bac/","Xã Đa Mi")</f>
        <v>Xã Đa Mi</v>
      </c>
    </row>
    <row r="7370" spans="1:7" x14ac:dyDescent="0.25">
      <c r="A7370" s="2">
        <v>7369</v>
      </c>
      <c r="B7370" s="3" t="s">
        <v>41</v>
      </c>
      <c r="C7370" s="4" t="str">
        <f t="shared" si="612"/>
        <v>Bình Thuận</v>
      </c>
      <c r="D7370" s="3" t="s">
        <v>496</v>
      </c>
      <c r="E7370" s="4" t="str">
        <f t="shared" ref="E7370:E7382" si="613">HYPERLINK("https://diaocthongthai.com/ban-do-huyen-ham-thuan-nam-binh-thuan/","Huyện Hàm Thuận Nam")</f>
        <v>Huyện Hàm Thuận Nam</v>
      </c>
      <c r="F7370" s="3" t="s">
        <v>8130</v>
      </c>
      <c r="G7370" s="4" t="str">
        <f>HYPERLINK("https://diaocthongthai.com/thi-tran-thuan-nam-ham-thuan-nam/","Thị trấn Thuận Nam")</f>
        <v>Thị trấn Thuận Nam</v>
      </c>
    </row>
    <row r="7371" spans="1:7" x14ac:dyDescent="0.25">
      <c r="A7371" s="2">
        <v>7370</v>
      </c>
      <c r="B7371" s="3" t="s">
        <v>41</v>
      </c>
      <c r="C7371" s="4" t="str">
        <f t="shared" si="612"/>
        <v>Bình Thuận</v>
      </c>
      <c r="D7371" s="3" t="s">
        <v>496</v>
      </c>
      <c r="E7371" s="4" t="str">
        <f t="shared" si="613"/>
        <v>Huyện Hàm Thuận Nam</v>
      </c>
      <c r="F7371" s="3" t="s">
        <v>8131</v>
      </c>
      <c r="G7371" s="4" t="str">
        <f>HYPERLINK("https://diaocthongthai.com/xa-my-thanh-ham-thuan-nam/","Xã Mỹ Thạnh")</f>
        <v>Xã Mỹ Thạnh</v>
      </c>
    </row>
    <row r="7372" spans="1:7" x14ac:dyDescent="0.25">
      <c r="A7372" s="2">
        <v>7371</v>
      </c>
      <c r="B7372" s="3" t="s">
        <v>41</v>
      </c>
      <c r="C7372" s="4" t="str">
        <f t="shared" si="612"/>
        <v>Bình Thuận</v>
      </c>
      <c r="D7372" s="3" t="s">
        <v>496</v>
      </c>
      <c r="E7372" s="4" t="str">
        <f t="shared" si="613"/>
        <v>Huyện Hàm Thuận Nam</v>
      </c>
      <c r="F7372" s="3" t="s">
        <v>8132</v>
      </c>
      <c r="G7372" s="4" t="str">
        <f>HYPERLINK("https://diaocthongthai.com/xa-ham-can-ham-thuan-nam/","Xã Hàm Cần")</f>
        <v>Xã Hàm Cần</v>
      </c>
    </row>
    <row r="7373" spans="1:7" x14ac:dyDescent="0.25">
      <c r="A7373" s="2">
        <v>7372</v>
      </c>
      <c r="B7373" s="3" t="s">
        <v>41</v>
      </c>
      <c r="C7373" s="4" t="str">
        <f t="shared" si="612"/>
        <v>Bình Thuận</v>
      </c>
      <c r="D7373" s="3" t="s">
        <v>496</v>
      </c>
      <c r="E7373" s="4" t="str">
        <f t="shared" si="613"/>
        <v>Huyện Hàm Thuận Nam</v>
      </c>
      <c r="F7373" s="3" t="s">
        <v>8133</v>
      </c>
      <c r="G7373" s="4" t="str">
        <f>HYPERLINK("https://diaocthongthai.com/xa-muong-man-ham-thuan-nam/","Xã Mương Mán")</f>
        <v>Xã Mương Mán</v>
      </c>
    </row>
    <row r="7374" spans="1:7" x14ac:dyDescent="0.25">
      <c r="A7374" s="2">
        <v>7373</v>
      </c>
      <c r="B7374" s="3" t="s">
        <v>41</v>
      </c>
      <c r="C7374" s="4" t="str">
        <f t="shared" si="612"/>
        <v>Bình Thuận</v>
      </c>
      <c r="D7374" s="3" t="s">
        <v>496</v>
      </c>
      <c r="E7374" s="4" t="str">
        <f t="shared" si="613"/>
        <v>Huyện Hàm Thuận Nam</v>
      </c>
      <c r="F7374" s="3" t="s">
        <v>8134</v>
      </c>
      <c r="G7374" s="4" t="str">
        <f>HYPERLINK("https://diaocthongthai.com/xa-ham-thanh-ham-thuan-nam/","Xã Hàm Thạnh")</f>
        <v>Xã Hàm Thạnh</v>
      </c>
    </row>
    <row r="7375" spans="1:7" x14ac:dyDescent="0.25">
      <c r="A7375" s="2">
        <v>7374</v>
      </c>
      <c r="B7375" s="3" t="s">
        <v>41</v>
      </c>
      <c r="C7375" s="4" t="str">
        <f t="shared" si="612"/>
        <v>Bình Thuận</v>
      </c>
      <c r="D7375" s="3" t="s">
        <v>496</v>
      </c>
      <c r="E7375" s="4" t="str">
        <f t="shared" si="613"/>
        <v>Huyện Hàm Thuận Nam</v>
      </c>
      <c r="F7375" s="3" t="s">
        <v>8135</v>
      </c>
      <c r="G7375" s="4" t="str">
        <f>HYPERLINK("https://diaocthongthai.com/xa-ham-kiem-ham-thuan-nam/","Xã Hàm Kiệm")</f>
        <v>Xã Hàm Kiệm</v>
      </c>
    </row>
    <row r="7376" spans="1:7" x14ac:dyDescent="0.25">
      <c r="A7376" s="2">
        <v>7375</v>
      </c>
      <c r="B7376" s="3" t="s">
        <v>41</v>
      </c>
      <c r="C7376" s="4" t="str">
        <f t="shared" si="612"/>
        <v>Bình Thuận</v>
      </c>
      <c r="D7376" s="3" t="s">
        <v>496</v>
      </c>
      <c r="E7376" s="4" t="str">
        <f t="shared" si="613"/>
        <v>Huyện Hàm Thuận Nam</v>
      </c>
      <c r="F7376" s="3" t="s">
        <v>8136</v>
      </c>
      <c r="G7376" s="4" t="str">
        <f>HYPERLINK("https://diaocthongthai.com/xa-ham-cuong-ham-thuan-nam/","Xã Hàm Cường")</f>
        <v>Xã Hàm Cường</v>
      </c>
    </row>
    <row r="7377" spans="1:7" x14ac:dyDescent="0.25">
      <c r="A7377" s="2">
        <v>7376</v>
      </c>
      <c r="B7377" s="3" t="s">
        <v>41</v>
      </c>
      <c r="C7377" s="4" t="str">
        <f t="shared" si="612"/>
        <v>Bình Thuận</v>
      </c>
      <c r="D7377" s="3" t="s">
        <v>496</v>
      </c>
      <c r="E7377" s="4" t="str">
        <f t="shared" si="613"/>
        <v>Huyện Hàm Thuận Nam</v>
      </c>
      <c r="F7377" s="3" t="s">
        <v>8137</v>
      </c>
      <c r="G7377" s="4" t="str">
        <f>HYPERLINK("https://diaocthongthai.com/xa-ham-my-ham-thuan-nam/","Xã Hàm Mỹ")</f>
        <v>Xã Hàm Mỹ</v>
      </c>
    </row>
    <row r="7378" spans="1:7" x14ac:dyDescent="0.25">
      <c r="A7378" s="2">
        <v>7377</v>
      </c>
      <c r="B7378" s="3" t="s">
        <v>41</v>
      </c>
      <c r="C7378" s="4" t="str">
        <f t="shared" si="612"/>
        <v>Bình Thuận</v>
      </c>
      <c r="D7378" s="3" t="s">
        <v>496</v>
      </c>
      <c r="E7378" s="4" t="str">
        <f t="shared" si="613"/>
        <v>Huyện Hàm Thuận Nam</v>
      </c>
      <c r="F7378" s="3" t="s">
        <v>8138</v>
      </c>
      <c r="G7378" s="4" t="str">
        <f>HYPERLINK("https://diaocthongthai.com/xa-tan-lap-ham-thuan-nam/","Xã Tân Lập")</f>
        <v>Xã Tân Lập</v>
      </c>
    </row>
    <row r="7379" spans="1:7" x14ac:dyDescent="0.25">
      <c r="A7379" s="2">
        <v>7378</v>
      </c>
      <c r="B7379" s="3" t="s">
        <v>41</v>
      </c>
      <c r="C7379" s="4" t="str">
        <f t="shared" si="612"/>
        <v>Bình Thuận</v>
      </c>
      <c r="D7379" s="3" t="s">
        <v>496</v>
      </c>
      <c r="E7379" s="4" t="str">
        <f t="shared" si="613"/>
        <v>Huyện Hàm Thuận Nam</v>
      </c>
      <c r="F7379" s="3" t="s">
        <v>8139</v>
      </c>
      <c r="G7379" s="4" t="str">
        <f>HYPERLINK("https://diaocthongthai.com/xa-ham-minh-ham-thuan-nam/","Xã Hàm Minh")</f>
        <v>Xã Hàm Minh</v>
      </c>
    </row>
    <row r="7380" spans="1:7" x14ac:dyDescent="0.25">
      <c r="A7380" s="2">
        <v>7379</v>
      </c>
      <c r="B7380" s="3" t="s">
        <v>41</v>
      </c>
      <c r="C7380" s="4" t="str">
        <f t="shared" si="612"/>
        <v>Bình Thuận</v>
      </c>
      <c r="D7380" s="3" t="s">
        <v>496</v>
      </c>
      <c r="E7380" s="4" t="str">
        <f t="shared" si="613"/>
        <v>Huyện Hàm Thuận Nam</v>
      </c>
      <c r="F7380" s="3" t="s">
        <v>8140</v>
      </c>
      <c r="G7380" s="4" t="str">
        <f>HYPERLINK("https://diaocthongthai.com/xa-thuan-quy-ham-thuan-nam/","Xã Thuận Quí")</f>
        <v>Xã Thuận Quí</v>
      </c>
    </row>
    <row r="7381" spans="1:7" x14ac:dyDescent="0.25">
      <c r="A7381" s="2">
        <v>7380</v>
      </c>
      <c r="B7381" s="3" t="s">
        <v>41</v>
      </c>
      <c r="C7381" s="4" t="str">
        <f t="shared" si="612"/>
        <v>Bình Thuận</v>
      </c>
      <c r="D7381" s="3" t="s">
        <v>496</v>
      </c>
      <c r="E7381" s="4" t="str">
        <f t="shared" si="613"/>
        <v>Huyện Hàm Thuận Nam</v>
      </c>
      <c r="F7381" s="3" t="s">
        <v>8141</v>
      </c>
      <c r="G7381" s="4" t="str">
        <f>HYPERLINK("https://diaocthongthai.com/xa-tan-thuan-ham-thuan-nam/","Xã Tân Thuận")</f>
        <v>Xã Tân Thuận</v>
      </c>
    </row>
    <row r="7382" spans="1:7" x14ac:dyDescent="0.25">
      <c r="A7382" s="2">
        <v>7381</v>
      </c>
      <c r="B7382" s="3" t="s">
        <v>41</v>
      </c>
      <c r="C7382" s="4" t="str">
        <f t="shared" si="612"/>
        <v>Bình Thuận</v>
      </c>
      <c r="D7382" s="3" t="s">
        <v>496</v>
      </c>
      <c r="E7382" s="4" t="str">
        <f t="shared" si="613"/>
        <v>Huyện Hàm Thuận Nam</v>
      </c>
      <c r="F7382" s="3" t="s">
        <v>8142</v>
      </c>
      <c r="G7382" s="4" t="str">
        <f>HYPERLINK("https://diaocthongthai.com/xa-tan-thanh-ham-thuan-nam/","Xã Tân Thành")</f>
        <v>Xã Tân Thành</v>
      </c>
    </row>
    <row r="7383" spans="1:7" x14ac:dyDescent="0.25">
      <c r="A7383" s="2">
        <v>7382</v>
      </c>
      <c r="B7383" s="3" t="s">
        <v>41</v>
      </c>
      <c r="C7383" s="4" t="str">
        <f t="shared" si="612"/>
        <v>Bình Thuận</v>
      </c>
      <c r="D7383" s="3" t="s">
        <v>497</v>
      </c>
      <c r="E7383" s="4" t="str">
        <f t="shared" ref="E7383:E7395" si="614">HYPERLINK("https://diaocthongthai.com/ban-do-huyen-tanh-linh-binh-thuan/","Huyện Tánh Linh")</f>
        <v>Huyện Tánh Linh</v>
      </c>
      <c r="F7383" s="3" t="s">
        <v>8143</v>
      </c>
      <c r="G7383" s="4" t="str">
        <f>HYPERLINK("https://diaocthongthai.com/thi-tran-lac-tanh-tanh-linh/","Thị trấn Lạc Tánh")</f>
        <v>Thị trấn Lạc Tánh</v>
      </c>
    </row>
    <row r="7384" spans="1:7" x14ac:dyDescent="0.25">
      <c r="A7384" s="2">
        <v>7383</v>
      </c>
      <c r="B7384" s="3" t="s">
        <v>41</v>
      </c>
      <c r="C7384" s="4" t="str">
        <f t="shared" si="612"/>
        <v>Bình Thuận</v>
      </c>
      <c r="D7384" s="3" t="s">
        <v>497</v>
      </c>
      <c r="E7384" s="4" t="str">
        <f t="shared" si="614"/>
        <v>Huyện Tánh Linh</v>
      </c>
      <c r="F7384" s="3" t="s">
        <v>8144</v>
      </c>
      <c r="G7384" s="4" t="str">
        <f>HYPERLINK("https://diaocthongthai.com/xa-bac-ruong-tanh-linh/","Xã Bắc Ruộng")</f>
        <v>Xã Bắc Ruộng</v>
      </c>
    </row>
    <row r="7385" spans="1:7" x14ac:dyDescent="0.25">
      <c r="A7385" s="2">
        <v>7384</v>
      </c>
      <c r="B7385" s="3" t="s">
        <v>41</v>
      </c>
      <c r="C7385" s="4" t="str">
        <f t="shared" si="612"/>
        <v>Bình Thuận</v>
      </c>
      <c r="D7385" s="3" t="s">
        <v>497</v>
      </c>
      <c r="E7385" s="4" t="str">
        <f t="shared" si="614"/>
        <v>Huyện Tánh Linh</v>
      </c>
      <c r="F7385" s="3" t="s">
        <v>8145</v>
      </c>
      <c r="G7385" s="4" t="str">
        <f>HYPERLINK("https://diaocthongthai.com/xa-nghi-duc-tanh-linh/","Xã Nghị Đức")</f>
        <v>Xã Nghị Đức</v>
      </c>
    </row>
    <row r="7386" spans="1:7" x14ac:dyDescent="0.25">
      <c r="A7386" s="2">
        <v>7385</v>
      </c>
      <c r="B7386" s="3" t="s">
        <v>41</v>
      </c>
      <c r="C7386" s="4" t="str">
        <f t="shared" si="612"/>
        <v>Bình Thuận</v>
      </c>
      <c r="D7386" s="3" t="s">
        <v>497</v>
      </c>
      <c r="E7386" s="4" t="str">
        <f t="shared" si="614"/>
        <v>Huyện Tánh Linh</v>
      </c>
      <c r="F7386" s="3" t="s">
        <v>8146</v>
      </c>
      <c r="G7386" s="4" t="str">
        <f>HYPERLINK("https://diaocthongthai.com/xa-la-ngau-tanh-linh/","Xã La Ngâu")</f>
        <v>Xã La Ngâu</v>
      </c>
    </row>
    <row r="7387" spans="1:7" x14ac:dyDescent="0.25">
      <c r="A7387" s="2">
        <v>7386</v>
      </c>
      <c r="B7387" s="3" t="s">
        <v>41</v>
      </c>
      <c r="C7387" s="4" t="str">
        <f t="shared" si="612"/>
        <v>Bình Thuận</v>
      </c>
      <c r="D7387" s="3" t="s">
        <v>497</v>
      </c>
      <c r="E7387" s="4" t="str">
        <f t="shared" si="614"/>
        <v>Huyện Tánh Linh</v>
      </c>
      <c r="F7387" s="3" t="s">
        <v>8147</v>
      </c>
      <c r="G7387" s="4" t="str">
        <f>HYPERLINK("https://diaocthongthai.com/xa-huy-khiem-tanh-linh/","Xã Huy Khiêm")</f>
        <v>Xã Huy Khiêm</v>
      </c>
    </row>
    <row r="7388" spans="1:7" x14ac:dyDescent="0.25">
      <c r="A7388" s="2">
        <v>7387</v>
      </c>
      <c r="B7388" s="3" t="s">
        <v>41</v>
      </c>
      <c r="C7388" s="4" t="str">
        <f t="shared" si="612"/>
        <v>Bình Thuận</v>
      </c>
      <c r="D7388" s="3" t="s">
        <v>497</v>
      </c>
      <c r="E7388" s="4" t="str">
        <f t="shared" si="614"/>
        <v>Huyện Tánh Linh</v>
      </c>
      <c r="F7388" s="3" t="s">
        <v>8148</v>
      </c>
      <c r="G7388" s="4" t="str">
        <f>HYPERLINK("https://diaocthongthai.com/xa-mang-to-tanh-linh/","Xã Măng Tố")</f>
        <v>Xã Măng Tố</v>
      </c>
    </row>
    <row r="7389" spans="1:7" x14ac:dyDescent="0.25">
      <c r="A7389" s="2">
        <v>7388</v>
      </c>
      <c r="B7389" s="3" t="s">
        <v>41</v>
      </c>
      <c r="C7389" s="4" t="str">
        <f t="shared" si="612"/>
        <v>Bình Thuận</v>
      </c>
      <c r="D7389" s="3" t="s">
        <v>497</v>
      </c>
      <c r="E7389" s="4" t="str">
        <f t="shared" si="614"/>
        <v>Huyện Tánh Linh</v>
      </c>
      <c r="F7389" s="3" t="s">
        <v>8149</v>
      </c>
      <c r="G7389" s="4" t="str">
        <f>HYPERLINK("https://diaocthongthai.com/xa-duc-phu-tanh-linh/","Xã Đức Phú")</f>
        <v>Xã Đức Phú</v>
      </c>
    </row>
    <row r="7390" spans="1:7" x14ac:dyDescent="0.25">
      <c r="A7390" s="2">
        <v>7389</v>
      </c>
      <c r="B7390" s="3" t="s">
        <v>41</v>
      </c>
      <c r="C7390" s="4" t="str">
        <f t="shared" si="612"/>
        <v>Bình Thuận</v>
      </c>
      <c r="D7390" s="3" t="s">
        <v>497</v>
      </c>
      <c r="E7390" s="4" t="str">
        <f t="shared" si="614"/>
        <v>Huyện Tánh Linh</v>
      </c>
      <c r="F7390" s="3" t="s">
        <v>8150</v>
      </c>
      <c r="G7390" s="4" t="str">
        <f>HYPERLINK("https://diaocthongthai.com/xa-dong-kho-tanh-linh/","Xã Đồng Kho")</f>
        <v>Xã Đồng Kho</v>
      </c>
    </row>
    <row r="7391" spans="1:7" x14ac:dyDescent="0.25">
      <c r="A7391" s="2">
        <v>7390</v>
      </c>
      <c r="B7391" s="3" t="s">
        <v>41</v>
      </c>
      <c r="C7391" s="4" t="str">
        <f t="shared" si="612"/>
        <v>Bình Thuận</v>
      </c>
      <c r="D7391" s="3" t="s">
        <v>497</v>
      </c>
      <c r="E7391" s="4" t="str">
        <f t="shared" si="614"/>
        <v>Huyện Tánh Linh</v>
      </c>
      <c r="F7391" s="3" t="s">
        <v>8151</v>
      </c>
      <c r="G7391" s="4" t="str">
        <f>HYPERLINK("https://diaocthongthai.com/xa-gia-an-tanh-linh/","Xã Gia An")</f>
        <v>Xã Gia An</v>
      </c>
    </row>
    <row r="7392" spans="1:7" x14ac:dyDescent="0.25">
      <c r="A7392" s="2">
        <v>7391</v>
      </c>
      <c r="B7392" s="3" t="s">
        <v>41</v>
      </c>
      <c r="C7392" s="4" t="str">
        <f t="shared" si="612"/>
        <v>Bình Thuận</v>
      </c>
      <c r="D7392" s="3" t="s">
        <v>497</v>
      </c>
      <c r="E7392" s="4" t="str">
        <f t="shared" si="614"/>
        <v>Huyện Tánh Linh</v>
      </c>
      <c r="F7392" s="3" t="s">
        <v>8152</v>
      </c>
      <c r="G7392" s="4" t="str">
        <f>HYPERLINK("https://diaocthongthai.com/xa-duc-binh-tanh-linh/","Xã Đức Bình")</f>
        <v>Xã Đức Bình</v>
      </c>
    </row>
    <row r="7393" spans="1:7" x14ac:dyDescent="0.25">
      <c r="A7393" s="2">
        <v>7392</v>
      </c>
      <c r="B7393" s="3" t="s">
        <v>41</v>
      </c>
      <c r="C7393" s="4" t="str">
        <f t="shared" ref="C7393:C7420" si="615">HYPERLINK("https://diaocthongthai.com/ban-do-binh-thuan/","Bình Thuận")</f>
        <v>Bình Thuận</v>
      </c>
      <c r="D7393" s="3" t="s">
        <v>497</v>
      </c>
      <c r="E7393" s="4" t="str">
        <f t="shared" si="614"/>
        <v>Huyện Tánh Linh</v>
      </c>
      <c r="F7393" s="3" t="s">
        <v>8153</v>
      </c>
      <c r="G7393" s="4" t="str">
        <f>HYPERLINK("https://diaocthongthai.com/xa-gia-huynh-tanh-linh/","Xã Gia Huynh")</f>
        <v>Xã Gia Huynh</v>
      </c>
    </row>
    <row r="7394" spans="1:7" x14ac:dyDescent="0.25">
      <c r="A7394" s="2">
        <v>7393</v>
      </c>
      <c r="B7394" s="3" t="s">
        <v>41</v>
      </c>
      <c r="C7394" s="4" t="str">
        <f t="shared" si="615"/>
        <v>Bình Thuận</v>
      </c>
      <c r="D7394" s="3" t="s">
        <v>497</v>
      </c>
      <c r="E7394" s="4" t="str">
        <f t="shared" si="614"/>
        <v>Huyện Tánh Linh</v>
      </c>
      <c r="F7394" s="3" t="s">
        <v>8154</v>
      </c>
      <c r="G7394" s="4" t="str">
        <f>HYPERLINK("https://diaocthongthai.com/xa-duc-thuan-tanh-linh/","Xã Đức Thuận")</f>
        <v>Xã Đức Thuận</v>
      </c>
    </row>
    <row r="7395" spans="1:7" x14ac:dyDescent="0.25">
      <c r="A7395" s="2">
        <v>7394</v>
      </c>
      <c r="B7395" s="3" t="s">
        <v>41</v>
      </c>
      <c r="C7395" s="4" t="str">
        <f t="shared" si="615"/>
        <v>Bình Thuận</v>
      </c>
      <c r="D7395" s="3" t="s">
        <v>497</v>
      </c>
      <c r="E7395" s="4" t="str">
        <f t="shared" si="614"/>
        <v>Huyện Tánh Linh</v>
      </c>
      <c r="F7395" s="3" t="s">
        <v>8155</v>
      </c>
      <c r="G7395" s="4" t="str">
        <f>HYPERLINK("https://diaocthongthai.com/xa-suoi-kiet-tanh-linh/","Xã Suối Kiết")</f>
        <v>Xã Suối Kiết</v>
      </c>
    </row>
    <row r="7396" spans="1:7" x14ac:dyDescent="0.25">
      <c r="A7396" s="2">
        <v>7395</v>
      </c>
      <c r="B7396" s="3" t="s">
        <v>41</v>
      </c>
      <c r="C7396" s="4" t="str">
        <f t="shared" si="615"/>
        <v>Bình Thuận</v>
      </c>
      <c r="D7396" s="3" t="s">
        <v>498</v>
      </c>
      <c r="E7396" s="4" t="str">
        <f t="shared" ref="E7396:E7407" si="616">HYPERLINK("https://diaocthongthai.com/ban-do-huyen-duc-linh-binh-thuan/","Huyện Đức Linh")</f>
        <v>Huyện Đức Linh</v>
      </c>
      <c r="F7396" s="3" t="s">
        <v>8156</v>
      </c>
      <c r="G7396" s="4" t="str">
        <f>HYPERLINK("https://diaocthongthai.com/thi-tran-vo-xu-duc-linh/","Thị trấn Võ Xu")</f>
        <v>Thị trấn Võ Xu</v>
      </c>
    </row>
    <row r="7397" spans="1:7" x14ac:dyDescent="0.25">
      <c r="A7397" s="2">
        <v>7396</v>
      </c>
      <c r="B7397" s="3" t="s">
        <v>41</v>
      </c>
      <c r="C7397" s="4" t="str">
        <f t="shared" si="615"/>
        <v>Bình Thuận</v>
      </c>
      <c r="D7397" s="3" t="s">
        <v>498</v>
      </c>
      <c r="E7397" s="4" t="str">
        <f t="shared" si="616"/>
        <v>Huyện Đức Linh</v>
      </c>
      <c r="F7397" s="3" t="s">
        <v>8157</v>
      </c>
      <c r="G7397" s="4" t="str">
        <f>HYPERLINK("https://diaocthongthai.com/thi-tran-duc-tai-duc-linh/","Thị trấn Đức Tài")</f>
        <v>Thị trấn Đức Tài</v>
      </c>
    </row>
    <row r="7398" spans="1:7" x14ac:dyDescent="0.25">
      <c r="A7398" s="2">
        <v>7397</v>
      </c>
      <c r="B7398" s="3" t="s">
        <v>41</v>
      </c>
      <c r="C7398" s="4" t="str">
        <f t="shared" si="615"/>
        <v>Bình Thuận</v>
      </c>
      <c r="D7398" s="3" t="s">
        <v>498</v>
      </c>
      <c r="E7398" s="4" t="str">
        <f t="shared" si="616"/>
        <v>Huyện Đức Linh</v>
      </c>
      <c r="F7398" s="3" t="s">
        <v>8158</v>
      </c>
      <c r="G7398" s="4" t="str">
        <f>HYPERLINK("https://diaocthongthai.com/xa-da-kai-duc-linh/","Xã Đa Kai")</f>
        <v>Xã Đa Kai</v>
      </c>
    </row>
    <row r="7399" spans="1:7" x14ac:dyDescent="0.25">
      <c r="A7399" s="2">
        <v>7398</v>
      </c>
      <c r="B7399" s="3" t="s">
        <v>41</v>
      </c>
      <c r="C7399" s="4" t="str">
        <f t="shared" si="615"/>
        <v>Bình Thuận</v>
      </c>
      <c r="D7399" s="3" t="s">
        <v>498</v>
      </c>
      <c r="E7399" s="4" t="str">
        <f t="shared" si="616"/>
        <v>Huyện Đức Linh</v>
      </c>
      <c r="F7399" s="3" t="s">
        <v>8159</v>
      </c>
      <c r="G7399" s="4" t="str">
        <f>HYPERLINK("https://diaocthongthai.com/xa-sung-nhon-duc-linh/","Xã Sùng Nhơn")</f>
        <v>Xã Sùng Nhơn</v>
      </c>
    </row>
    <row r="7400" spans="1:7" x14ac:dyDescent="0.25">
      <c r="A7400" s="2">
        <v>7399</v>
      </c>
      <c r="B7400" s="3" t="s">
        <v>41</v>
      </c>
      <c r="C7400" s="4" t="str">
        <f t="shared" si="615"/>
        <v>Bình Thuận</v>
      </c>
      <c r="D7400" s="3" t="s">
        <v>498</v>
      </c>
      <c r="E7400" s="4" t="str">
        <f t="shared" si="616"/>
        <v>Huyện Đức Linh</v>
      </c>
      <c r="F7400" s="3" t="s">
        <v>8160</v>
      </c>
      <c r="G7400" s="4" t="str">
        <f>HYPERLINK("https://diaocthongthai.com/xa-me-pu-duc-linh/","Xã Mê Pu")</f>
        <v>Xã Mê Pu</v>
      </c>
    </row>
    <row r="7401" spans="1:7" x14ac:dyDescent="0.25">
      <c r="A7401" s="2">
        <v>7400</v>
      </c>
      <c r="B7401" s="3" t="s">
        <v>41</v>
      </c>
      <c r="C7401" s="4" t="str">
        <f t="shared" si="615"/>
        <v>Bình Thuận</v>
      </c>
      <c r="D7401" s="3" t="s">
        <v>498</v>
      </c>
      <c r="E7401" s="4" t="str">
        <f t="shared" si="616"/>
        <v>Huyện Đức Linh</v>
      </c>
      <c r="F7401" s="3" t="s">
        <v>8161</v>
      </c>
      <c r="G7401" s="4" t="str">
        <f>HYPERLINK("https://diaocthongthai.com/xa-nam-chinh-duc-linh/","Xã Nam Chính")</f>
        <v>Xã Nam Chính</v>
      </c>
    </row>
    <row r="7402" spans="1:7" x14ac:dyDescent="0.25">
      <c r="A7402" s="2">
        <v>7401</v>
      </c>
      <c r="B7402" s="3" t="s">
        <v>41</v>
      </c>
      <c r="C7402" s="4" t="str">
        <f t="shared" si="615"/>
        <v>Bình Thuận</v>
      </c>
      <c r="D7402" s="3" t="s">
        <v>498</v>
      </c>
      <c r="E7402" s="4" t="str">
        <f t="shared" si="616"/>
        <v>Huyện Đức Linh</v>
      </c>
      <c r="F7402" s="3" t="s">
        <v>8162</v>
      </c>
      <c r="G7402" s="4" t="str">
        <f>HYPERLINK("https://diaocthongthai.com/xa-duc-hanh-duc-linh/","Xã Đức Hạnh")</f>
        <v>Xã Đức Hạnh</v>
      </c>
    </row>
    <row r="7403" spans="1:7" x14ac:dyDescent="0.25">
      <c r="A7403" s="2">
        <v>7402</v>
      </c>
      <c r="B7403" s="3" t="s">
        <v>41</v>
      </c>
      <c r="C7403" s="4" t="str">
        <f t="shared" si="615"/>
        <v>Bình Thuận</v>
      </c>
      <c r="D7403" s="3" t="s">
        <v>498</v>
      </c>
      <c r="E7403" s="4" t="str">
        <f t="shared" si="616"/>
        <v>Huyện Đức Linh</v>
      </c>
      <c r="F7403" s="3" t="s">
        <v>8163</v>
      </c>
      <c r="G7403" s="4" t="str">
        <f>HYPERLINK("https://diaocthongthai.com/xa-duc-tin-duc-linh/","Xã Đức Tín")</f>
        <v>Xã Đức Tín</v>
      </c>
    </row>
    <row r="7404" spans="1:7" x14ac:dyDescent="0.25">
      <c r="A7404" s="2">
        <v>7403</v>
      </c>
      <c r="B7404" s="3" t="s">
        <v>41</v>
      </c>
      <c r="C7404" s="4" t="str">
        <f t="shared" si="615"/>
        <v>Bình Thuận</v>
      </c>
      <c r="D7404" s="3" t="s">
        <v>498</v>
      </c>
      <c r="E7404" s="4" t="str">
        <f t="shared" si="616"/>
        <v>Huyện Đức Linh</v>
      </c>
      <c r="F7404" s="3" t="s">
        <v>8164</v>
      </c>
      <c r="G7404" s="4" t="str">
        <f>HYPERLINK("https://diaocthongthai.com/xa-vu-hoa-duc-linh/","Xã Vũ Hoà")</f>
        <v>Xã Vũ Hoà</v>
      </c>
    </row>
    <row r="7405" spans="1:7" x14ac:dyDescent="0.25">
      <c r="A7405" s="2">
        <v>7404</v>
      </c>
      <c r="B7405" s="3" t="s">
        <v>41</v>
      </c>
      <c r="C7405" s="4" t="str">
        <f t="shared" si="615"/>
        <v>Bình Thuận</v>
      </c>
      <c r="D7405" s="3" t="s">
        <v>498</v>
      </c>
      <c r="E7405" s="4" t="str">
        <f t="shared" si="616"/>
        <v>Huyện Đức Linh</v>
      </c>
      <c r="F7405" s="3" t="s">
        <v>8165</v>
      </c>
      <c r="G7405" s="4" t="str">
        <f>HYPERLINK("https://diaocthongthai.com/xa-tan-ha-duc-linh/","Xã Tân Hà")</f>
        <v>Xã Tân Hà</v>
      </c>
    </row>
    <row r="7406" spans="1:7" x14ac:dyDescent="0.25">
      <c r="A7406" s="2">
        <v>7405</v>
      </c>
      <c r="B7406" s="3" t="s">
        <v>41</v>
      </c>
      <c r="C7406" s="4" t="str">
        <f t="shared" si="615"/>
        <v>Bình Thuận</v>
      </c>
      <c r="D7406" s="3" t="s">
        <v>498</v>
      </c>
      <c r="E7406" s="4" t="str">
        <f t="shared" si="616"/>
        <v>Huyện Đức Linh</v>
      </c>
      <c r="F7406" s="3" t="s">
        <v>8166</v>
      </c>
      <c r="G7406" s="4" t="str">
        <f>HYPERLINK("https://diaocthongthai.com/xa-dong-ha-duc-linh/","Xã Đông Hà")</f>
        <v>Xã Đông Hà</v>
      </c>
    </row>
    <row r="7407" spans="1:7" x14ac:dyDescent="0.25">
      <c r="A7407" s="2">
        <v>7406</v>
      </c>
      <c r="B7407" s="3" t="s">
        <v>41</v>
      </c>
      <c r="C7407" s="4" t="str">
        <f t="shared" si="615"/>
        <v>Bình Thuận</v>
      </c>
      <c r="D7407" s="3" t="s">
        <v>498</v>
      </c>
      <c r="E7407" s="4" t="str">
        <f t="shared" si="616"/>
        <v>Huyện Đức Linh</v>
      </c>
      <c r="F7407" s="3" t="s">
        <v>8167</v>
      </c>
      <c r="G7407" s="4" t="str">
        <f>HYPERLINK("https://diaocthongthai.com/xa-tra-tan-duc-linh/","Xã Trà Tân")</f>
        <v>Xã Trà Tân</v>
      </c>
    </row>
    <row r="7408" spans="1:7" x14ac:dyDescent="0.25">
      <c r="A7408" s="2">
        <v>7407</v>
      </c>
      <c r="B7408" s="3" t="s">
        <v>41</v>
      </c>
      <c r="C7408" s="4" t="str">
        <f t="shared" si="615"/>
        <v>Bình Thuận</v>
      </c>
      <c r="D7408" s="3" t="s">
        <v>499</v>
      </c>
      <c r="E7408" s="4" t="str">
        <f t="shared" ref="E7408:E7417" si="617">HYPERLINK("https://diaocthongthai.com/ban-do-huyen-ham-tan-binh-thuan/","Huyện Hàm Tân")</f>
        <v>Huyện Hàm Tân</v>
      </c>
      <c r="F7408" s="3" t="s">
        <v>8168</v>
      </c>
      <c r="G7408" s="4" t="str">
        <f>HYPERLINK("https://diaocthongthai.com/thi-tran-tan-minh-ham-tan/","Thị trấn Tân Minh")</f>
        <v>Thị trấn Tân Minh</v>
      </c>
    </row>
    <row r="7409" spans="1:7" x14ac:dyDescent="0.25">
      <c r="A7409" s="2">
        <v>7408</v>
      </c>
      <c r="B7409" s="3" t="s">
        <v>41</v>
      </c>
      <c r="C7409" s="4" t="str">
        <f t="shared" si="615"/>
        <v>Bình Thuận</v>
      </c>
      <c r="D7409" s="3" t="s">
        <v>499</v>
      </c>
      <c r="E7409" s="4" t="str">
        <f t="shared" si="617"/>
        <v>Huyện Hàm Tân</v>
      </c>
      <c r="F7409" s="3" t="s">
        <v>8169</v>
      </c>
      <c r="G7409" s="4" t="str">
        <f>HYPERLINK("https://diaocthongthai.com/thi-tran-tan-nghia-ham-tan/","Thị trấn Tân Nghĩa")</f>
        <v>Thị trấn Tân Nghĩa</v>
      </c>
    </row>
    <row r="7410" spans="1:7" x14ac:dyDescent="0.25">
      <c r="A7410" s="2">
        <v>7409</v>
      </c>
      <c r="B7410" s="3" t="s">
        <v>41</v>
      </c>
      <c r="C7410" s="4" t="str">
        <f t="shared" si="615"/>
        <v>Bình Thuận</v>
      </c>
      <c r="D7410" s="3" t="s">
        <v>499</v>
      </c>
      <c r="E7410" s="4" t="str">
        <f t="shared" si="617"/>
        <v>Huyện Hàm Tân</v>
      </c>
      <c r="F7410" s="3" t="s">
        <v>8170</v>
      </c>
      <c r="G7410" s="4" t="str">
        <f>HYPERLINK("https://diaocthongthai.com/xa-song-phan-ham-tan/","Xã Sông Phan")</f>
        <v>Xã Sông Phan</v>
      </c>
    </row>
    <row r="7411" spans="1:7" x14ac:dyDescent="0.25">
      <c r="A7411" s="2">
        <v>7410</v>
      </c>
      <c r="B7411" s="3" t="s">
        <v>41</v>
      </c>
      <c r="C7411" s="4" t="str">
        <f t="shared" si="615"/>
        <v>Bình Thuận</v>
      </c>
      <c r="D7411" s="3" t="s">
        <v>499</v>
      </c>
      <c r="E7411" s="4" t="str">
        <f t="shared" si="617"/>
        <v>Huyện Hàm Tân</v>
      </c>
      <c r="F7411" s="3" t="s">
        <v>8171</v>
      </c>
      <c r="G7411" s="4" t="str">
        <f>HYPERLINK("https://diaocthongthai.com/xa-tan-phuc-ham-tan/","Xã Tân Phúc")</f>
        <v>Xã Tân Phúc</v>
      </c>
    </row>
    <row r="7412" spans="1:7" x14ac:dyDescent="0.25">
      <c r="A7412" s="2">
        <v>7411</v>
      </c>
      <c r="B7412" s="3" t="s">
        <v>41</v>
      </c>
      <c r="C7412" s="4" t="str">
        <f t="shared" si="615"/>
        <v>Bình Thuận</v>
      </c>
      <c r="D7412" s="3" t="s">
        <v>499</v>
      </c>
      <c r="E7412" s="4" t="str">
        <f t="shared" si="617"/>
        <v>Huyện Hàm Tân</v>
      </c>
      <c r="F7412" s="3" t="s">
        <v>8172</v>
      </c>
      <c r="G7412" s="4" t="str">
        <f>HYPERLINK("https://diaocthongthai.com/xa-tan-duc-ham-tan/","Xã Tân Đức")</f>
        <v>Xã Tân Đức</v>
      </c>
    </row>
    <row r="7413" spans="1:7" x14ac:dyDescent="0.25">
      <c r="A7413" s="2">
        <v>7412</v>
      </c>
      <c r="B7413" s="3" t="s">
        <v>41</v>
      </c>
      <c r="C7413" s="4" t="str">
        <f t="shared" si="615"/>
        <v>Bình Thuận</v>
      </c>
      <c r="D7413" s="3" t="s">
        <v>499</v>
      </c>
      <c r="E7413" s="4" t="str">
        <f t="shared" si="617"/>
        <v>Huyện Hàm Tân</v>
      </c>
      <c r="F7413" s="3" t="s">
        <v>8173</v>
      </c>
      <c r="G7413" s="4" t="str">
        <f>HYPERLINK("https://diaocthongthai.com/xa-tan-thang-ham-tan/","Xã Tân Thắng")</f>
        <v>Xã Tân Thắng</v>
      </c>
    </row>
    <row r="7414" spans="1:7" x14ac:dyDescent="0.25">
      <c r="A7414" s="2">
        <v>7413</v>
      </c>
      <c r="B7414" s="3" t="s">
        <v>41</v>
      </c>
      <c r="C7414" s="4" t="str">
        <f t="shared" si="615"/>
        <v>Bình Thuận</v>
      </c>
      <c r="D7414" s="3" t="s">
        <v>499</v>
      </c>
      <c r="E7414" s="4" t="str">
        <f t="shared" si="617"/>
        <v>Huyện Hàm Tân</v>
      </c>
      <c r="F7414" s="3" t="s">
        <v>8174</v>
      </c>
      <c r="G7414" s="4" t="str">
        <f>HYPERLINK("https://diaocthongthai.com/xa-thang-hai-ham-tan/","Xã Thắng Hải")</f>
        <v>Xã Thắng Hải</v>
      </c>
    </row>
    <row r="7415" spans="1:7" x14ac:dyDescent="0.25">
      <c r="A7415" s="2">
        <v>7414</v>
      </c>
      <c r="B7415" s="3" t="s">
        <v>41</v>
      </c>
      <c r="C7415" s="4" t="str">
        <f t="shared" si="615"/>
        <v>Bình Thuận</v>
      </c>
      <c r="D7415" s="3" t="s">
        <v>499</v>
      </c>
      <c r="E7415" s="4" t="str">
        <f t="shared" si="617"/>
        <v>Huyện Hàm Tân</v>
      </c>
      <c r="F7415" s="3" t="s">
        <v>8175</v>
      </c>
      <c r="G7415" s="4" t="str">
        <f>HYPERLINK("https://diaocthongthai.com/xa-tan-ha-ham-tan/","Xã Tân Hà")</f>
        <v>Xã Tân Hà</v>
      </c>
    </row>
    <row r="7416" spans="1:7" x14ac:dyDescent="0.25">
      <c r="A7416" s="2">
        <v>7415</v>
      </c>
      <c r="B7416" s="3" t="s">
        <v>41</v>
      </c>
      <c r="C7416" s="4" t="str">
        <f t="shared" si="615"/>
        <v>Bình Thuận</v>
      </c>
      <c r="D7416" s="3" t="s">
        <v>499</v>
      </c>
      <c r="E7416" s="4" t="str">
        <f t="shared" si="617"/>
        <v>Huyện Hàm Tân</v>
      </c>
      <c r="F7416" s="3" t="s">
        <v>8176</v>
      </c>
      <c r="G7416" s="4" t="str">
        <f>HYPERLINK("https://diaocthongthai.com/xa-tan-xuan-ham-tan/","Xã Tân Xuân")</f>
        <v>Xã Tân Xuân</v>
      </c>
    </row>
    <row r="7417" spans="1:7" x14ac:dyDescent="0.25">
      <c r="A7417" s="2">
        <v>7416</v>
      </c>
      <c r="B7417" s="3" t="s">
        <v>41</v>
      </c>
      <c r="C7417" s="4" t="str">
        <f t="shared" si="615"/>
        <v>Bình Thuận</v>
      </c>
      <c r="D7417" s="3" t="s">
        <v>499</v>
      </c>
      <c r="E7417" s="4" t="str">
        <f t="shared" si="617"/>
        <v>Huyện Hàm Tân</v>
      </c>
      <c r="F7417" s="3" t="s">
        <v>8177</v>
      </c>
      <c r="G7417" s="4" t="str">
        <f>HYPERLINK("https://diaocthongthai.com/xa-son-my-ham-tan/","Xã Sơn Mỹ")</f>
        <v>Xã Sơn Mỹ</v>
      </c>
    </row>
    <row r="7418" spans="1:7" x14ac:dyDescent="0.25">
      <c r="A7418" s="2">
        <v>7417</v>
      </c>
      <c r="B7418" s="3" t="s">
        <v>41</v>
      </c>
      <c r="C7418" s="4" t="str">
        <f t="shared" si="615"/>
        <v>Bình Thuận</v>
      </c>
      <c r="D7418" s="3" t="s">
        <v>500</v>
      </c>
      <c r="E7418" s="4" t="str">
        <f>HYPERLINK("https://diaocthongthai.com/ban-do-huyen-phu-qui-binh-thuan/","Huyện Phú Quí")</f>
        <v>Huyện Phú Quí</v>
      </c>
      <c r="F7418" s="3" t="s">
        <v>8178</v>
      </c>
      <c r="G7418" s="4" t="str">
        <f>HYPERLINK("https://diaocthongthai.com/xa-ngu-phung-phu-quy/","Xã Ngũ Phụng")</f>
        <v>Xã Ngũ Phụng</v>
      </c>
    </row>
    <row r="7419" spans="1:7" x14ac:dyDescent="0.25">
      <c r="A7419" s="2">
        <v>7418</v>
      </c>
      <c r="B7419" s="3" t="s">
        <v>41</v>
      </c>
      <c r="C7419" s="4" t="str">
        <f t="shared" si="615"/>
        <v>Bình Thuận</v>
      </c>
      <c r="D7419" s="3" t="s">
        <v>500</v>
      </c>
      <c r="E7419" s="4" t="str">
        <f>HYPERLINK("https://diaocthongthai.com/ban-do-huyen-phu-qui-binh-thuan/","Huyện Phú Quí")</f>
        <v>Huyện Phú Quí</v>
      </c>
      <c r="F7419" s="3" t="s">
        <v>8179</v>
      </c>
      <c r="G7419" s="4" t="str">
        <f>HYPERLINK("https://diaocthongthai.com/xa-long-hai-phu-quy/","Xã Long Hải")</f>
        <v>Xã Long Hải</v>
      </c>
    </row>
    <row r="7420" spans="1:7" x14ac:dyDescent="0.25">
      <c r="A7420" s="2">
        <v>7419</v>
      </c>
      <c r="B7420" s="3" t="s">
        <v>41</v>
      </c>
      <c r="C7420" s="4" t="str">
        <f t="shared" si="615"/>
        <v>Bình Thuận</v>
      </c>
      <c r="D7420" s="3" t="s">
        <v>500</v>
      </c>
      <c r="E7420" s="4" t="str">
        <f>HYPERLINK("https://diaocthongthai.com/ban-do-huyen-phu-qui-binh-thuan/","Huyện Phú Quí")</f>
        <v>Huyện Phú Quí</v>
      </c>
      <c r="F7420" s="3" t="s">
        <v>8180</v>
      </c>
      <c r="G7420" s="4" t="str">
        <f>HYPERLINK("https://diaocthongthai.com/xa-tam-thanh-phu-quy/","Xã Tam Thanh")</f>
        <v>Xã Tam Thanh</v>
      </c>
    </row>
    <row r="7421" spans="1:7" x14ac:dyDescent="0.25">
      <c r="A7421" s="2">
        <v>7420</v>
      </c>
      <c r="B7421" s="3" t="s">
        <v>42</v>
      </c>
      <c r="C7421" s="4" t="str">
        <f t="shared" ref="C7421:C7452" si="618">HYPERLINK("https://diaocthongthai.com/ban-do-kon-tum/","Kon Tum")</f>
        <v>Kon Tum</v>
      </c>
      <c r="D7421" s="3" t="s">
        <v>501</v>
      </c>
      <c r="E7421" s="4" t="str">
        <f t="shared" ref="E7421:E7441" si="619">HYPERLINK("https://diaocthongthai.com/ban-do-tp-kon-tum-kon-tum/","Thành phố Kon Tum")</f>
        <v>Thành phố Kon Tum</v>
      </c>
      <c r="F7421" s="3" t="s">
        <v>8181</v>
      </c>
      <c r="G7421" s="4" t="str">
        <f>HYPERLINK("https://diaocthongthai.com/phuong-quang-trung-tp-kon-tum/","Phường Quang Trung")</f>
        <v>Phường Quang Trung</v>
      </c>
    </row>
    <row r="7422" spans="1:7" x14ac:dyDescent="0.25">
      <c r="A7422" s="2">
        <v>7421</v>
      </c>
      <c r="B7422" s="3" t="s">
        <v>42</v>
      </c>
      <c r="C7422" s="4" t="str">
        <f t="shared" si="618"/>
        <v>Kon Tum</v>
      </c>
      <c r="D7422" s="3" t="s">
        <v>501</v>
      </c>
      <c r="E7422" s="4" t="str">
        <f t="shared" si="619"/>
        <v>Thành phố Kon Tum</v>
      </c>
      <c r="F7422" s="3" t="s">
        <v>8182</v>
      </c>
      <c r="G7422" s="4" t="str">
        <f>HYPERLINK("https://diaocthongthai.com/phuong-duy-tan-tp-kon-tum/","Phường Duy Tân")</f>
        <v>Phường Duy Tân</v>
      </c>
    </row>
    <row r="7423" spans="1:7" x14ac:dyDescent="0.25">
      <c r="A7423" s="2">
        <v>7422</v>
      </c>
      <c r="B7423" s="3" t="s">
        <v>42</v>
      </c>
      <c r="C7423" s="4" t="str">
        <f t="shared" si="618"/>
        <v>Kon Tum</v>
      </c>
      <c r="D7423" s="3" t="s">
        <v>501</v>
      </c>
      <c r="E7423" s="4" t="str">
        <f t="shared" si="619"/>
        <v>Thành phố Kon Tum</v>
      </c>
      <c r="F7423" s="3" t="s">
        <v>8183</v>
      </c>
      <c r="G7423" s="4" t="str">
        <f>HYPERLINK("https://diaocthongthai.com/phuong-quyet-thang-tp-kon-tum/","Phường Quyết Thắng")</f>
        <v>Phường Quyết Thắng</v>
      </c>
    </row>
    <row r="7424" spans="1:7" x14ac:dyDescent="0.25">
      <c r="A7424" s="2">
        <v>7423</v>
      </c>
      <c r="B7424" s="3" t="s">
        <v>42</v>
      </c>
      <c r="C7424" s="4" t="str">
        <f t="shared" si="618"/>
        <v>Kon Tum</v>
      </c>
      <c r="D7424" s="3" t="s">
        <v>501</v>
      </c>
      <c r="E7424" s="4" t="str">
        <f t="shared" si="619"/>
        <v>Thành phố Kon Tum</v>
      </c>
      <c r="F7424" s="3" t="s">
        <v>8184</v>
      </c>
      <c r="G7424" s="4" t="str">
        <f>HYPERLINK("https://diaocthongthai.com/phuong-truong-chinh-tp-kon-tum/","Phường Trường Chinh")</f>
        <v>Phường Trường Chinh</v>
      </c>
    </row>
    <row r="7425" spans="1:7" x14ac:dyDescent="0.25">
      <c r="A7425" s="2">
        <v>7424</v>
      </c>
      <c r="B7425" s="3" t="s">
        <v>42</v>
      </c>
      <c r="C7425" s="4" t="str">
        <f t="shared" si="618"/>
        <v>Kon Tum</v>
      </c>
      <c r="D7425" s="3" t="s">
        <v>501</v>
      </c>
      <c r="E7425" s="4" t="str">
        <f t="shared" si="619"/>
        <v>Thành phố Kon Tum</v>
      </c>
      <c r="F7425" s="3" t="s">
        <v>8185</v>
      </c>
      <c r="G7425" s="4" t="str">
        <f>HYPERLINK("https://diaocthongthai.com/phuong-thang-loi-tp-kon-tum/","Phường Thắng Lợi")</f>
        <v>Phường Thắng Lợi</v>
      </c>
    </row>
    <row r="7426" spans="1:7" x14ac:dyDescent="0.25">
      <c r="A7426" s="2">
        <v>7425</v>
      </c>
      <c r="B7426" s="3" t="s">
        <v>42</v>
      </c>
      <c r="C7426" s="4" t="str">
        <f t="shared" si="618"/>
        <v>Kon Tum</v>
      </c>
      <c r="D7426" s="3" t="s">
        <v>501</v>
      </c>
      <c r="E7426" s="4" t="str">
        <f t="shared" si="619"/>
        <v>Thành phố Kon Tum</v>
      </c>
      <c r="F7426" s="3" t="s">
        <v>8186</v>
      </c>
      <c r="G7426" s="4" t="str">
        <f>HYPERLINK("https://diaocthongthai.com/phuong-ngo-may-tp-kon-tum/","Phường Ngô Mây")</f>
        <v>Phường Ngô Mây</v>
      </c>
    </row>
    <row r="7427" spans="1:7" x14ac:dyDescent="0.25">
      <c r="A7427" s="2">
        <v>7426</v>
      </c>
      <c r="B7427" s="3" t="s">
        <v>42</v>
      </c>
      <c r="C7427" s="4" t="str">
        <f t="shared" si="618"/>
        <v>Kon Tum</v>
      </c>
      <c r="D7427" s="3" t="s">
        <v>501</v>
      </c>
      <c r="E7427" s="4" t="str">
        <f t="shared" si="619"/>
        <v>Thành phố Kon Tum</v>
      </c>
      <c r="F7427" s="3" t="s">
        <v>8187</v>
      </c>
      <c r="G7427" s="4" t="str">
        <f>HYPERLINK("https://diaocthongthai.com/phuong-thong-nhat-tp-kon-tum/","Phường Thống Nhất")</f>
        <v>Phường Thống Nhất</v>
      </c>
    </row>
    <row r="7428" spans="1:7" x14ac:dyDescent="0.25">
      <c r="A7428" s="2">
        <v>7427</v>
      </c>
      <c r="B7428" s="3" t="s">
        <v>42</v>
      </c>
      <c r="C7428" s="4" t="str">
        <f t="shared" si="618"/>
        <v>Kon Tum</v>
      </c>
      <c r="D7428" s="3" t="s">
        <v>501</v>
      </c>
      <c r="E7428" s="4" t="str">
        <f t="shared" si="619"/>
        <v>Thành phố Kon Tum</v>
      </c>
      <c r="F7428" s="3" t="s">
        <v>8188</v>
      </c>
      <c r="G7428" s="4" t="str">
        <f>HYPERLINK("https://diaocthongthai.com/phuong-le-loi-tp-kon-tum/","Phường Lê Lợi")</f>
        <v>Phường Lê Lợi</v>
      </c>
    </row>
    <row r="7429" spans="1:7" x14ac:dyDescent="0.25">
      <c r="A7429" s="2">
        <v>7428</v>
      </c>
      <c r="B7429" s="3" t="s">
        <v>42</v>
      </c>
      <c r="C7429" s="4" t="str">
        <f t="shared" si="618"/>
        <v>Kon Tum</v>
      </c>
      <c r="D7429" s="3" t="s">
        <v>501</v>
      </c>
      <c r="E7429" s="4" t="str">
        <f t="shared" si="619"/>
        <v>Thành phố Kon Tum</v>
      </c>
      <c r="F7429" s="3" t="s">
        <v>8189</v>
      </c>
      <c r="G7429" s="4" t="str">
        <f>HYPERLINK("https://diaocthongthai.com/phuong-nguyen-trai-tp-kon-tum/","Phường Nguyễn Trãi")</f>
        <v>Phường Nguyễn Trãi</v>
      </c>
    </row>
    <row r="7430" spans="1:7" x14ac:dyDescent="0.25">
      <c r="A7430" s="2">
        <v>7429</v>
      </c>
      <c r="B7430" s="3" t="s">
        <v>42</v>
      </c>
      <c r="C7430" s="4" t="str">
        <f t="shared" si="618"/>
        <v>Kon Tum</v>
      </c>
      <c r="D7430" s="3" t="s">
        <v>501</v>
      </c>
      <c r="E7430" s="4" t="str">
        <f t="shared" si="619"/>
        <v>Thành phố Kon Tum</v>
      </c>
      <c r="F7430" s="3" t="s">
        <v>8190</v>
      </c>
      <c r="G7430" s="4" t="str">
        <f>HYPERLINK("https://diaocthongthai.com/phuong-tran-hung-dao-tp-kon-tum/","Phường Trần Hưng Đạo")</f>
        <v>Phường Trần Hưng Đạo</v>
      </c>
    </row>
    <row r="7431" spans="1:7" x14ac:dyDescent="0.25">
      <c r="A7431" s="2">
        <v>7430</v>
      </c>
      <c r="B7431" s="3" t="s">
        <v>42</v>
      </c>
      <c r="C7431" s="4" t="str">
        <f t="shared" si="618"/>
        <v>Kon Tum</v>
      </c>
      <c r="D7431" s="3" t="s">
        <v>501</v>
      </c>
      <c r="E7431" s="4" t="str">
        <f t="shared" si="619"/>
        <v>Thành phố Kon Tum</v>
      </c>
      <c r="F7431" s="3" t="s">
        <v>8191</v>
      </c>
      <c r="G7431" s="4" t="str">
        <f>HYPERLINK("https://diaocthongthai.com/xa-dak-cam-tp-kon-tum/","Xã Đắk Cấm")</f>
        <v>Xã Đắk Cấm</v>
      </c>
    </row>
    <row r="7432" spans="1:7" x14ac:dyDescent="0.25">
      <c r="A7432" s="2">
        <v>7431</v>
      </c>
      <c r="B7432" s="3" t="s">
        <v>42</v>
      </c>
      <c r="C7432" s="4" t="str">
        <f t="shared" si="618"/>
        <v>Kon Tum</v>
      </c>
      <c r="D7432" s="3" t="s">
        <v>501</v>
      </c>
      <c r="E7432" s="4" t="str">
        <f t="shared" si="619"/>
        <v>Thành phố Kon Tum</v>
      </c>
      <c r="F7432" s="3" t="s">
        <v>8192</v>
      </c>
      <c r="G7432" s="4" t="str">
        <f>HYPERLINK("https://diaocthongthai.com/xa-kroong-tp-kon-tum/","Xã Kroong")</f>
        <v>Xã Kroong</v>
      </c>
    </row>
    <row r="7433" spans="1:7" x14ac:dyDescent="0.25">
      <c r="A7433" s="2">
        <v>7432</v>
      </c>
      <c r="B7433" s="3" t="s">
        <v>42</v>
      </c>
      <c r="C7433" s="4" t="str">
        <f t="shared" si="618"/>
        <v>Kon Tum</v>
      </c>
      <c r="D7433" s="3" t="s">
        <v>501</v>
      </c>
      <c r="E7433" s="4" t="str">
        <f t="shared" si="619"/>
        <v>Thành phố Kon Tum</v>
      </c>
      <c r="F7433" s="3" t="s">
        <v>8193</v>
      </c>
      <c r="G7433" s="4" t="str">
        <f>HYPERLINK("https://diaocthongthai.com/xa-ngok-bay-tp-kon-tum/","Xã Ngọk Bay")</f>
        <v>Xã Ngọk Bay</v>
      </c>
    </row>
    <row r="7434" spans="1:7" x14ac:dyDescent="0.25">
      <c r="A7434" s="2">
        <v>7433</v>
      </c>
      <c r="B7434" s="3" t="s">
        <v>42</v>
      </c>
      <c r="C7434" s="4" t="str">
        <f t="shared" si="618"/>
        <v>Kon Tum</v>
      </c>
      <c r="D7434" s="3" t="s">
        <v>501</v>
      </c>
      <c r="E7434" s="4" t="str">
        <f t="shared" si="619"/>
        <v>Thành phố Kon Tum</v>
      </c>
      <c r="F7434" s="3" t="s">
        <v>8194</v>
      </c>
      <c r="G7434" s="4" t="str">
        <f>HYPERLINK("https://diaocthongthai.com/xa-vinh-quang-tp-kon-tum/","Xã Vinh Quang")</f>
        <v>Xã Vinh Quang</v>
      </c>
    </row>
    <row r="7435" spans="1:7" x14ac:dyDescent="0.25">
      <c r="A7435" s="2">
        <v>7434</v>
      </c>
      <c r="B7435" s="3" t="s">
        <v>42</v>
      </c>
      <c r="C7435" s="4" t="str">
        <f t="shared" si="618"/>
        <v>Kon Tum</v>
      </c>
      <c r="D7435" s="3" t="s">
        <v>501</v>
      </c>
      <c r="E7435" s="4" t="str">
        <f t="shared" si="619"/>
        <v>Thành phố Kon Tum</v>
      </c>
      <c r="F7435" s="3" t="s">
        <v>8195</v>
      </c>
      <c r="G7435" s="4" t="str">
        <f>HYPERLINK("https://diaocthongthai.com/xa-dak-bla-tp-kon-tum/","Xã Đắk Blà")</f>
        <v>Xã Đắk Blà</v>
      </c>
    </row>
    <row r="7436" spans="1:7" x14ac:dyDescent="0.25">
      <c r="A7436" s="2">
        <v>7435</v>
      </c>
      <c r="B7436" s="3" t="s">
        <v>42</v>
      </c>
      <c r="C7436" s="4" t="str">
        <f t="shared" si="618"/>
        <v>Kon Tum</v>
      </c>
      <c r="D7436" s="3" t="s">
        <v>501</v>
      </c>
      <c r="E7436" s="4" t="str">
        <f t="shared" si="619"/>
        <v>Thành phố Kon Tum</v>
      </c>
      <c r="F7436" s="3" t="s">
        <v>8196</v>
      </c>
      <c r="G7436" s="4" t="str">
        <f>HYPERLINK("https://diaocthongthai.com/xa-ia-chim-tp-kon-tum/","Xã Ia Chim")</f>
        <v>Xã Ia Chim</v>
      </c>
    </row>
    <row r="7437" spans="1:7" x14ac:dyDescent="0.25">
      <c r="A7437" s="2">
        <v>7436</v>
      </c>
      <c r="B7437" s="3" t="s">
        <v>42</v>
      </c>
      <c r="C7437" s="4" t="str">
        <f t="shared" si="618"/>
        <v>Kon Tum</v>
      </c>
      <c r="D7437" s="3" t="s">
        <v>501</v>
      </c>
      <c r="E7437" s="4" t="str">
        <f t="shared" si="619"/>
        <v>Thành phố Kon Tum</v>
      </c>
      <c r="F7437" s="3" t="s">
        <v>8197</v>
      </c>
      <c r="G7437" s="4" t="str">
        <f>HYPERLINK("https://diaocthongthai.com/xa-dak-nang-tp-kon-tum/","Xã Đăk Năng")</f>
        <v>Xã Đăk Năng</v>
      </c>
    </row>
    <row r="7438" spans="1:7" x14ac:dyDescent="0.25">
      <c r="A7438" s="2">
        <v>7437</v>
      </c>
      <c r="B7438" s="3" t="s">
        <v>42</v>
      </c>
      <c r="C7438" s="4" t="str">
        <f t="shared" si="618"/>
        <v>Kon Tum</v>
      </c>
      <c r="D7438" s="3" t="s">
        <v>501</v>
      </c>
      <c r="E7438" s="4" t="str">
        <f t="shared" si="619"/>
        <v>Thành phố Kon Tum</v>
      </c>
      <c r="F7438" s="3" t="s">
        <v>8198</v>
      </c>
      <c r="G7438" s="4" t="str">
        <f>HYPERLINK("https://diaocthongthai.com/xa-doan-ket-tp-kon-tum/","Xã Đoàn Kết")</f>
        <v>Xã Đoàn Kết</v>
      </c>
    </row>
    <row r="7439" spans="1:7" x14ac:dyDescent="0.25">
      <c r="A7439" s="2">
        <v>7438</v>
      </c>
      <c r="B7439" s="3" t="s">
        <v>42</v>
      </c>
      <c r="C7439" s="4" t="str">
        <f t="shared" si="618"/>
        <v>Kon Tum</v>
      </c>
      <c r="D7439" s="3" t="s">
        <v>501</v>
      </c>
      <c r="E7439" s="4" t="str">
        <f t="shared" si="619"/>
        <v>Thành phố Kon Tum</v>
      </c>
      <c r="F7439" s="3" t="s">
        <v>8199</v>
      </c>
      <c r="G7439" s="4" t="str">
        <f>HYPERLINK("https://diaocthongthai.com/xa-chu-hreng-tp-kon-tum/","Xã Chư Hreng")</f>
        <v>Xã Chư Hreng</v>
      </c>
    </row>
    <row r="7440" spans="1:7" x14ac:dyDescent="0.25">
      <c r="A7440" s="2">
        <v>7439</v>
      </c>
      <c r="B7440" s="3" t="s">
        <v>42</v>
      </c>
      <c r="C7440" s="4" t="str">
        <f t="shared" si="618"/>
        <v>Kon Tum</v>
      </c>
      <c r="D7440" s="3" t="s">
        <v>501</v>
      </c>
      <c r="E7440" s="4" t="str">
        <f t="shared" si="619"/>
        <v>Thành phố Kon Tum</v>
      </c>
      <c r="F7440" s="3" t="s">
        <v>8200</v>
      </c>
      <c r="G7440" s="4" t="str">
        <f>HYPERLINK("https://diaocthongthai.com/xa-dak-ro-wa-tp-kon-tum/","Xã Đắk Rơ Wa")</f>
        <v>Xã Đắk Rơ Wa</v>
      </c>
    </row>
    <row r="7441" spans="1:7" x14ac:dyDescent="0.25">
      <c r="A7441" s="2">
        <v>7440</v>
      </c>
      <c r="B7441" s="3" t="s">
        <v>42</v>
      </c>
      <c r="C7441" s="4" t="str">
        <f t="shared" si="618"/>
        <v>Kon Tum</v>
      </c>
      <c r="D7441" s="3" t="s">
        <v>501</v>
      </c>
      <c r="E7441" s="4" t="str">
        <f t="shared" si="619"/>
        <v>Thành phố Kon Tum</v>
      </c>
      <c r="F7441" s="3" t="s">
        <v>8201</v>
      </c>
      <c r="G7441" s="4" t="str">
        <f>HYPERLINK("https://diaocthongthai.com/xa-hoa-binh-tp-kon-tum/","Xã Hòa Bình")</f>
        <v>Xã Hòa Bình</v>
      </c>
    </row>
    <row r="7442" spans="1:7" x14ac:dyDescent="0.25">
      <c r="A7442" s="2">
        <v>7441</v>
      </c>
      <c r="B7442" s="3" t="s">
        <v>42</v>
      </c>
      <c r="C7442" s="4" t="str">
        <f t="shared" si="618"/>
        <v>Kon Tum</v>
      </c>
      <c r="D7442" s="3" t="s">
        <v>502</v>
      </c>
      <c r="E7442" s="4" t="str">
        <f t="shared" ref="E7442:E7453" si="620">HYPERLINK("https://diaocthongthai.com/ban-do-huyen-dak-glei-kon-tum/","Huyện Đắk Glei")</f>
        <v>Huyện Đắk Glei</v>
      </c>
      <c r="F7442" s="3" t="s">
        <v>8202</v>
      </c>
      <c r="G7442" s="4" t="str">
        <f>HYPERLINK("https://diaocthongthai.com/thi-tran-dak-glei-dak-glei/","Thị trấn Đắk Glei")</f>
        <v>Thị trấn Đắk Glei</v>
      </c>
    </row>
    <row r="7443" spans="1:7" x14ac:dyDescent="0.25">
      <c r="A7443" s="2">
        <v>7442</v>
      </c>
      <c r="B7443" s="3" t="s">
        <v>42</v>
      </c>
      <c r="C7443" s="4" t="str">
        <f t="shared" si="618"/>
        <v>Kon Tum</v>
      </c>
      <c r="D7443" s="3" t="s">
        <v>502</v>
      </c>
      <c r="E7443" s="4" t="str">
        <f t="shared" si="620"/>
        <v>Huyện Đắk Glei</v>
      </c>
      <c r="F7443" s="3" t="s">
        <v>8203</v>
      </c>
      <c r="G7443" s="4" t="str">
        <f>HYPERLINK("https://diaocthongthai.com/xa-dak-blo-dak-glei/","Xã Đắk Blô")</f>
        <v>Xã Đắk Blô</v>
      </c>
    </row>
    <row r="7444" spans="1:7" x14ac:dyDescent="0.25">
      <c r="A7444" s="2">
        <v>7443</v>
      </c>
      <c r="B7444" s="3" t="s">
        <v>42</v>
      </c>
      <c r="C7444" s="4" t="str">
        <f t="shared" si="618"/>
        <v>Kon Tum</v>
      </c>
      <c r="D7444" s="3" t="s">
        <v>502</v>
      </c>
      <c r="E7444" s="4" t="str">
        <f t="shared" si="620"/>
        <v>Huyện Đắk Glei</v>
      </c>
      <c r="F7444" s="3" t="s">
        <v>8204</v>
      </c>
      <c r="G7444" s="4" t="str">
        <f>HYPERLINK("https://diaocthongthai.com/xa-dak-man-dak-glei/","Xã Đắk Man")</f>
        <v>Xã Đắk Man</v>
      </c>
    </row>
    <row r="7445" spans="1:7" x14ac:dyDescent="0.25">
      <c r="A7445" s="2">
        <v>7444</v>
      </c>
      <c r="B7445" s="3" t="s">
        <v>42</v>
      </c>
      <c r="C7445" s="4" t="str">
        <f t="shared" si="618"/>
        <v>Kon Tum</v>
      </c>
      <c r="D7445" s="3" t="s">
        <v>502</v>
      </c>
      <c r="E7445" s="4" t="str">
        <f t="shared" si="620"/>
        <v>Huyện Đắk Glei</v>
      </c>
      <c r="F7445" s="3" t="s">
        <v>8205</v>
      </c>
      <c r="G7445" s="4" t="str">
        <f>HYPERLINK("https://diaocthongthai.com/xa-dak-nhoong-dak-glei/","Xã Đắk Nhoong")</f>
        <v>Xã Đắk Nhoong</v>
      </c>
    </row>
    <row r="7446" spans="1:7" x14ac:dyDescent="0.25">
      <c r="A7446" s="2">
        <v>7445</v>
      </c>
      <c r="B7446" s="3" t="s">
        <v>42</v>
      </c>
      <c r="C7446" s="4" t="str">
        <f t="shared" si="618"/>
        <v>Kon Tum</v>
      </c>
      <c r="D7446" s="3" t="s">
        <v>502</v>
      </c>
      <c r="E7446" s="4" t="str">
        <f t="shared" si="620"/>
        <v>Huyện Đắk Glei</v>
      </c>
      <c r="F7446" s="3" t="s">
        <v>8206</v>
      </c>
      <c r="G7446" s="4" t="str">
        <f>HYPERLINK("https://diaocthongthai.com/xa-dak-pek-dak-glei/","Xã Đắk Pék")</f>
        <v>Xã Đắk Pék</v>
      </c>
    </row>
    <row r="7447" spans="1:7" x14ac:dyDescent="0.25">
      <c r="A7447" s="2">
        <v>7446</v>
      </c>
      <c r="B7447" s="3" t="s">
        <v>42</v>
      </c>
      <c r="C7447" s="4" t="str">
        <f t="shared" si="618"/>
        <v>Kon Tum</v>
      </c>
      <c r="D7447" s="3" t="s">
        <v>502</v>
      </c>
      <c r="E7447" s="4" t="str">
        <f t="shared" si="620"/>
        <v>Huyện Đắk Glei</v>
      </c>
      <c r="F7447" s="3" t="s">
        <v>8207</v>
      </c>
      <c r="G7447" s="4" t="str">
        <f>HYPERLINK("https://diaocthongthai.com/xa-dak-choong-dak-glei/","Xã Đắk Choong")</f>
        <v>Xã Đắk Choong</v>
      </c>
    </row>
    <row r="7448" spans="1:7" x14ac:dyDescent="0.25">
      <c r="A7448" s="2">
        <v>7447</v>
      </c>
      <c r="B7448" s="3" t="s">
        <v>42</v>
      </c>
      <c r="C7448" s="4" t="str">
        <f t="shared" si="618"/>
        <v>Kon Tum</v>
      </c>
      <c r="D7448" s="3" t="s">
        <v>502</v>
      </c>
      <c r="E7448" s="4" t="str">
        <f t="shared" si="620"/>
        <v>Huyện Đắk Glei</v>
      </c>
      <c r="F7448" s="3" t="s">
        <v>8208</v>
      </c>
      <c r="G7448" s="4" t="str">
        <f>HYPERLINK("https://diaocthongthai.com/xa-xop-dak-glei/","Xã Xốp")</f>
        <v>Xã Xốp</v>
      </c>
    </row>
    <row r="7449" spans="1:7" x14ac:dyDescent="0.25">
      <c r="A7449" s="2">
        <v>7448</v>
      </c>
      <c r="B7449" s="3" t="s">
        <v>42</v>
      </c>
      <c r="C7449" s="4" t="str">
        <f t="shared" si="618"/>
        <v>Kon Tum</v>
      </c>
      <c r="D7449" s="3" t="s">
        <v>502</v>
      </c>
      <c r="E7449" s="4" t="str">
        <f t="shared" si="620"/>
        <v>Huyện Đắk Glei</v>
      </c>
      <c r="F7449" s="3" t="s">
        <v>8209</v>
      </c>
      <c r="G7449" s="4" t="str">
        <f>HYPERLINK("https://diaocthongthai.com/xa-muong-hoong-dak-glei/","Xã Mường Hoong")</f>
        <v>Xã Mường Hoong</v>
      </c>
    </row>
    <row r="7450" spans="1:7" x14ac:dyDescent="0.25">
      <c r="A7450" s="2">
        <v>7449</v>
      </c>
      <c r="B7450" s="3" t="s">
        <v>42</v>
      </c>
      <c r="C7450" s="4" t="str">
        <f t="shared" si="618"/>
        <v>Kon Tum</v>
      </c>
      <c r="D7450" s="3" t="s">
        <v>502</v>
      </c>
      <c r="E7450" s="4" t="str">
        <f t="shared" si="620"/>
        <v>Huyện Đắk Glei</v>
      </c>
      <c r="F7450" s="3" t="s">
        <v>8210</v>
      </c>
      <c r="G7450" s="4" t="str">
        <f>HYPERLINK("https://diaocthongthai.com/xa-ngoc-linh-dak-glei/","Xã Ngọc Linh")</f>
        <v>Xã Ngọc Linh</v>
      </c>
    </row>
    <row r="7451" spans="1:7" x14ac:dyDescent="0.25">
      <c r="A7451" s="2">
        <v>7450</v>
      </c>
      <c r="B7451" s="3" t="s">
        <v>42</v>
      </c>
      <c r="C7451" s="4" t="str">
        <f t="shared" si="618"/>
        <v>Kon Tum</v>
      </c>
      <c r="D7451" s="3" t="s">
        <v>502</v>
      </c>
      <c r="E7451" s="4" t="str">
        <f t="shared" si="620"/>
        <v>Huyện Đắk Glei</v>
      </c>
      <c r="F7451" s="3" t="s">
        <v>8211</v>
      </c>
      <c r="G7451" s="4" t="str">
        <f>HYPERLINK("https://diaocthongthai.com/xa-dak-long-dak-glei/","Xã Đắk Long")</f>
        <v>Xã Đắk Long</v>
      </c>
    </row>
    <row r="7452" spans="1:7" x14ac:dyDescent="0.25">
      <c r="A7452" s="2">
        <v>7451</v>
      </c>
      <c r="B7452" s="3" t="s">
        <v>42</v>
      </c>
      <c r="C7452" s="4" t="str">
        <f t="shared" si="618"/>
        <v>Kon Tum</v>
      </c>
      <c r="D7452" s="3" t="s">
        <v>502</v>
      </c>
      <c r="E7452" s="4" t="str">
        <f t="shared" si="620"/>
        <v>Huyện Đắk Glei</v>
      </c>
      <c r="F7452" s="3" t="s">
        <v>8212</v>
      </c>
      <c r="G7452" s="4" t="str">
        <f>HYPERLINK("https://diaocthongthai.com/xa-dak-kroong-dak-glei/","Xã Đắk KRoong")</f>
        <v>Xã Đắk KRoong</v>
      </c>
    </row>
    <row r="7453" spans="1:7" x14ac:dyDescent="0.25">
      <c r="A7453" s="2">
        <v>7452</v>
      </c>
      <c r="B7453" s="3" t="s">
        <v>42</v>
      </c>
      <c r="C7453" s="4" t="str">
        <f t="shared" ref="C7453:C7484" si="621">HYPERLINK("https://diaocthongthai.com/ban-do-kon-tum/","Kon Tum")</f>
        <v>Kon Tum</v>
      </c>
      <c r="D7453" s="3" t="s">
        <v>502</v>
      </c>
      <c r="E7453" s="4" t="str">
        <f t="shared" si="620"/>
        <v>Huyện Đắk Glei</v>
      </c>
      <c r="F7453" s="3" t="s">
        <v>8213</v>
      </c>
      <c r="G7453" s="4" t="str">
        <f>HYPERLINK("https://diaocthongthai.com/xa-dak-mon-dak-glei/","Xã Đắk Môn")</f>
        <v>Xã Đắk Môn</v>
      </c>
    </row>
    <row r="7454" spans="1:7" x14ac:dyDescent="0.25">
      <c r="A7454" s="2">
        <v>7453</v>
      </c>
      <c r="B7454" s="3" t="s">
        <v>42</v>
      </c>
      <c r="C7454" s="4" t="str">
        <f t="shared" si="621"/>
        <v>Kon Tum</v>
      </c>
      <c r="D7454" s="3" t="s">
        <v>503</v>
      </c>
      <c r="E7454" s="4" t="str">
        <f t="shared" ref="E7454:E7461" si="622">HYPERLINK("https://diaocthongthai.com/ban-do-huyen-ngoc-hoi-kon-tum/","Huyện Ngọc Hồi")</f>
        <v>Huyện Ngọc Hồi</v>
      </c>
      <c r="F7454" s="3" t="s">
        <v>8214</v>
      </c>
      <c r="G7454" s="4" t="str">
        <f>HYPERLINK("https://diaocthongthai.com/thi-tran-plei-kan-ngoc-hoi/","Thị trấn Plei Kần")</f>
        <v>Thị trấn Plei Kần</v>
      </c>
    </row>
    <row r="7455" spans="1:7" x14ac:dyDescent="0.25">
      <c r="A7455" s="2">
        <v>7454</v>
      </c>
      <c r="B7455" s="3" t="s">
        <v>42</v>
      </c>
      <c r="C7455" s="4" t="str">
        <f t="shared" si="621"/>
        <v>Kon Tum</v>
      </c>
      <c r="D7455" s="3" t="s">
        <v>503</v>
      </c>
      <c r="E7455" s="4" t="str">
        <f t="shared" si="622"/>
        <v>Huyện Ngọc Hồi</v>
      </c>
      <c r="F7455" s="3" t="s">
        <v>8215</v>
      </c>
      <c r="G7455" s="4" t="str">
        <f>HYPERLINK("https://diaocthongthai.com/xa-dak-ang-ngoc-hoi/","Xã Đắk Ang")</f>
        <v>Xã Đắk Ang</v>
      </c>
    </row>
    <row r="7456" spans="1:7" x14ac:dyDescent="0.25">
      <c r="A7456" s="2">
        <v>7455</v>
      </c>
      <c r="B7456" s="3" t="s">
        <v>42</v>
      </c>
      <c r="C7456" s="4" t="str">
        <f t="shared" si="621"/>
        <v>Kon Tum</v>
      </c>
      <c r="D7456" s="3" t="s">
        <v>503</v>
      </c>
      <c r="E7456" s="4" t="str">
        <f t="shared" si="622"/>
        <v>Huyện Ngọc Hồi</v>
      </c>
      <c r="F7456" s="3" t="s">
        <v>8216</v>
      </c>
      <c r="G7456" s="4" t="str">
        <f>HYPERLINK("https://diaocthongthai.com/xa-dak-duc-ngoc-hoi/","Xã Đắk Dục")</f>
        <v>Xã Đắk Dục</v>
      </c>
    </row>
    <row r="7457" spans="1:7" x14ac:dyDescent="0.25">
      <c r="A7457" s="2">
        <v>7456</v>
      </c>
      <c r="B7457" s="3" t="s">
        <v>42</v>
      </c>
      <c r="C7457" s="4" t="str">
        <f t="shared" si="621"/>
        <v>Kon Tum</v>
      </c>
      <c r="D7457" s="3" t="s">
        <v>503</v>
      </c>
      <c r="E7457" s="4" t="str">
        <f t="shared" si="622"/>
        <v>Huyện Ngọc Hồi</v>
      </c>
      <c r="F7457" s="3" t="s">
        <v>8217</v>
      </c>
      <c r="G7457" s="4" t="str">
        <f>HYPERLINK("https://diaocthongthai.com/xa-dak-nong-ngoc-hoi/","Xã Đắk Nông")</f>
        <v>Xã Đắk Nông</v>
      </c>
    </row>
    <row r="7458" spans="1:7" x14ac:dyDescent="0.25">
      <c r="A7458" s="2">
        <v>7457</v>
      </c>
      <c r="B7458" s="3" t="s">
        <v>42</v>
      </c>
      <c r="C7458" s="4" t="str">
        <f t="shared" si="621"/>
        <v>Kon Tum</v>
      </c>
      <c r="D7458" s="3" t="s">
        <v>503</v>
      </c>
      <c r="E7458" s="4" t="str">
        <f t="shared" si="622"/>
        <v>Huyện Ngọc Hồi</v>
      </c>
      <c r="F7458" s="3" t="s">
        <v>8218</v>
      </c>
      <c r="G7458" s="4" t="str">
        <f>HYPERLINK("https://diaocthongthai.com/xa-dak-xu-ngoc-hoi/","Xã Đắk Xú")</f>
        <v>Xã Đắk Xú</v>
      </c>
    </row>
    <row r="7459" spans="1:7" x14ac:dyDescent="0.25">
      <c r="A7459" s="2">
        <v>7458</v>
      </c>
      <c r="B7459" s="3" t="s">
        <v>42</v>
      </c>
      <c r="C7459" s="4" t="str">
        <f t="shared" si="621"/>
        <v>Kon Tum</v>
      </c>
      <c r="D7459" s="3" t="s">
        <v>503</v>
      </c>
      <c r="E7459" s="4" t="str">
        <f t="shared" si="622"/>
        <v>Huyện Ngọc Hồi</v>
      </c>
      <c r="F7459" s="3" t="s">
        <v>8219</v>
      </c>
      <c r="G7459" s="4" t="str">
        <f>HYPERLINK("https://diaocthongthai.com/xa-dak-kan-ngoc-hoi/","Xã Đắk Kan")</f>
        <v>Xã Đắk Kan</v>
      </c>
    </row>
    <row r="7460" spans="1:7" x14ac:dyDescent="0.25">
      <c r="A7460" s="2">
        <v>7459</v>
      </c>
      <c r="B7460" s="3" t="s">
        <v>42</v>
      </c>
      <c r="C7460" s="4" t="str">
        <f t="shared" si="621"/>
        <v>Kon Tum</v>
      </c>
      <c r="D7460" s="3" t="s">
        <v>503</v>
      </c>
      <c r="E7460" s="4" t="str">
        <f t="shared" si="622"/>
        <v>Huyện Ngọc Hồi</v>
      </c>
      <c r="F7460" s="3" t="s">
        <v>8220</v>
      </c>
      <c r="G7460" s="4" t="str">
        <f>HYPERLINK("https://diaocthongthai.com/xa-po-y-ngoc-hoi/","Xã Bờ Y")</f>
        <v>Xã Bờ Y</v>
      </c>
    </row>
    <row r="7461" spans="1:7" x14ac:dyDescent="0.25">
      <c r="A7461" s="2">
        <v>7460</v>
      </c>
      <c r="B7461" s="3" t="s">
        <v>42</v>
      </c>
      <c r="C7461" s="4" t="str">
        <f t="shared" si="621"/>
        <v>Kon Tum</v>
      </c>
      <c r="D7461" s="3" t="s">
        <v>503</v>
      </c>
      <c r="E7461" s="4" t="str">
        <f t="shared" si="622"/>
        <v>Huyện Ngọc Hồi</v>
      </c>
      <c r="F7461" s="3" t="s">
        <v>8221</v>
      </c>
      <c r="G7461" s="4" t="str">
        <f>HYPERLINK("https://diaocthongthai.com/xa-sa-loong-ngoc-hoi/","Xã Sa Loong")</f>
        <v>Xã Sa Loong</v>
      </c>
    </row>
    <row r="7462" spans="1:7" x14ac:dyDescent="0.25">
      <c r="A7462" s="2">
        <v>7461</v>
      </c>
      <c r="B7462" s="3" t="s">
        <v>42</v>
      </c>
      <c r="C7462" s="4" t="str">
        <f t="shared" si="621"/>
        <v>Kon Tum</v>
      </c>
      <c r="D7462" s="3" t="s">
        <v>504</v>
      </c>
      <c r="E7462" s="4" t="str">
        <f t="shared" ref="E7462:E7470" si="623">HYPERLINK("https://diaocthongthai.com/ban-do-huyen-dak-to-kon-tum/","Huyện Đắk Tô")</f>
        <v>Huyện Đắk Tô</v>
      </c>
      <c r="F7462" s="3" t="s">
        <v>8222</v>
      </c>
      <c r="G7462" s="4" t="str">
        <f>HYPERLINK("https://diaocthongthai.com/thi-tran-dak-to-dak-to/","Thị trấn Đắk Tô")</f>
        <v>Thị trấn Đắk Tô</v>
      </c>
    </row>
    <row r="7463" spans="1:7" x14ac:dyDescent="0.25">
      <c r="A7463" s="2">
        <v>7462</v>
      </c>
      <c r="B7463" s="3" t="s">
        <v>42</v>
      </c>
      <c r="C7463" s="4" t="str">
        <f t="shared" si="621"/>
        <v>Kon Tum</v>
      </c>
      <c r="D7463" s="3" t="s">
        <v>504</v>
      </c>
      <c r="E7463" s="4" t="str">
        <f t="shared" si="623"/>
        <v>Huyện Đắk Tô</v>
      </c>
      <c r="F7463" s="3" t="s">
        <v>8223</v>
      </c>
      <c r="G7463" s="4" t="str">
        <f>HYPERLINK("https://diaocthongthai.com/xa-dak-ro-nga-dak-to/","Xã Đắk Rơ Nga")</f>
        <v>Xã Đắk Rơ Nga</v>
      </c>
    </row>
    <row r="7464" spans="1:7" x14ac:dyDescent="0.25">
      <c r="A7464" s="2">
        <v>7463</v>
      </c>
      <c r="B7464" s="3" t="s">
        <v>42</v>
      </c>
      <c r="C7464" s="4" t="str">
        <f t="shared" si="621"/>
        <v>Kon Tum</v>
      </c>
      <c r="D7464" s="3" t="s">
        <v>504</v>
      </c>
      <c r="E7464" s="4" t="str">
        <f t="shared" si="623"/>
        <v>Huyện Đắk Tô</v>
      </c>
      <c r="F7464" s="3" t="s">
        <v>8224</v>
      </c>
      <c r="G7464" s="4" t="str">
        <f>HYPERLINK("https://diaocthongthai.com/xa-ngoc-tu-dak-to/","Xã Ngọk Tụ")</f>
        <v>Xã Ngọk Tụ</v>
      </c>
    </row>
    <row r="7465" spans="1:7" x14ac:dyDescent="0.25">
      <c r="A7465" s="2">
        <v>7464</v>
      </c>
      <c r="B7465" s="3" t="s">
        <v>42</v>
      </c>
      <c r="C7465" s="4" t="str">
        <f t="shared" si="621"/>
        <v>Kon Tum</v>
      </c>
      <c r="D7465" s="3" t="s">
        <v>504</v>
      </c>
      <c r="E7465" s="4" t="str">
        <f t="shared" si="623"/>
        <v>Huyện Đắk Tô</v>
      </c>
      <c r="F7465" s="3" t="s">
        <v>8225</v>
      </c>
      <c r="G7465" s="4" t="str">
        <f>HYPERLINK("https://diaocthongthai.com/xa-dak-tram-dak-to/","Xã Đắk Trăm")</f>
        <v>Xã Đắk Trăm</v>
      </c>
    </row>
    <row r="7466" spans="1:7" x14ac:dyDescent="0.25">
      <c r="A7466" s="2">
        <v>7465</v>
      </c>
      <c r="B7466" s="3" t="s">
        <v>42</v>
      </c>
      <c r="C7466" s="4" t="str">
        <f t="shared" si="621"/>
        <v>Kon Tum</v>
      </c>
      <c r="D7466" s="3" t="s">
        <v>504</v>
      </c>
      <c r="E7466" s="4" t="str">
        <f t="shared" si="623"/>
        <v>Huyện Đắk Tô</v>
      </c>
      <c r="F7466" s="3" t="s">
        <v>8226</v>
      </c>
      <c r="G7466" s="4" t="str">
        <f>HYPERLINK("https://diaocthongthai.com/xa-van-lem-dak-to/","Xã Văn Lem")</f>
        <v>Xã Văn Lem</v>
      </c>
    </row>
    <row r="7467" spans="1:7" x14ac:dyDescent="0.25">
      <c r="A7467" s="2">
        <v>7466</v>
      </c>
      <c r="B7467" s="3" t="s">
        <v>42</v>
      </c>
      <c r="C7467" s="4" t="str">
        <f t="shared" si="621"/>
        <v>Kon Tum</v>
      </c>
      <c r="D7467" s="3" t="s">
        <v>504</v>
      </c>
      <c r="E7467" s="4" t="str">
        <f t="shared" si="623"/>
        <v>Huyện Đắk Tô</v>
      </c>
      <c r="F7467" s="3" t="s">
        <v>8227</v>
      </c>
      <c r="G7467" s="4" t="str">
        <f>HYPERLINK("https://diaocthongthai.com/xa-kon-dao-dak-to/","Xã Kon Đào")</f>
        <v>Xã Kon Đào</v>
      </c>
    </row>
    <row r="7468" spans="1:7" x14ac:dyDescent="0.25">
      <c r="A7468" s="2">
        <v>7467</v>
      </c>
      <c r="B7468" s="3" t="s">
        <v>42</v>
      </c>
      <c r="C7468" s="4" t="str">
        <f t="shared" si="621"/>
        <v>Kon Tum</v>
      </c>
      <c r="D7468" s="3" t="s">
        <v>504</v>
      </c>
      <c r="E7468" s="4" t="str">
        <f t="shared" si="623"/>
        <v>Huyện Đắk Tô</v>
      </c>
      <c r="F7468" s="3" t="s">
        <v>8228</v>
      </c>
      <c r="G7468" s="4" t="str">
        <f>HYPERLINK("https://diaocthongthai.com/xa-tan-canh-dak-to/","Xã Tân Cảnh")</f>
        <v>Xã Tân Cảnh</v>
      </c>
    </row>
    <row r="7469" spans="1:7" x14ac:dyDescent="0.25">
      <c r="A7469" s="2">
        <v>7468</v>
      </c>
      <c r="B7469" s="3" t="s">
        <v>42</v>
      </c>
      <c r="C7469" s="4" t="str">
        <f t="shared" si="621"/>
        <v>Kon Tum</v>
      </c>
      <c r="D7469" s="3" t="s">
        <v>504</v>
      </c>
      <c r="E7469" s="4" t="str">
        <f t="shared" si="623"/>
        <v>Huyện Đắk Tô</v>
      </c>
      <c r="F7469" s="3" t="s">
        <v>8229</v>
      </c>
      <c r="G7469" s="4" t="str">
        <f>HYPERLINK("https://diaocthongthai.com/xa-dien-binh-dak-to/","Xã Diên Bình")</f>
        <v>Xã Diên Bình</v>
      </c>
    </row>
    <row r="7470" spans="1:7" x14ac:dyDescent="0.25">
      <c r="A7470" s="2">
        <v>7469</v>
      </c>
      <c r="B7470" s="3" t="s">
        <v>42</v>
      </c>
      <c r="C7470" s="4" t="str">
        <f t="shared" si="621"/>
        <v>Kon Tum</v>
      </c>
      <c r="D7470" s="3" t="s">
        <v>504</v>
      </c>
      <c r="E7470" s="4" t="str">
        <f t="shared" si="623"/>
        <v>Huyện Đắk Tô</v>
      </c>
      <c r="F7470" s="3" t="s">
        <v>8230</v>
      </c>
      <c r="G7470" s="4" t="str">
        <f>HYPERLINK("https://diaocthongthai.com/xa-po-ko-dak-to/","Xã Pô Kô")</f>
        <v>Xã Pô Kô</v>
      </c>
    </row>
    <row r="7471" spans="1:7" x14ac:dyDescent="0.25">
      <c r="A7471" s="2">
        <v>7470</v>
      </c>
      <c r="B7471" s="3" t="s">
        <v>42</v>
      </c>
      <c r="C7471" s="4" t="str">
        <f t="shared" si="621"/>
        <v>Kon Tum</v>
      </c>
      <c r="D7471" s="3" t="s">
        <v>505</v>
      </c>
      <c r="E7471" s="4" t="str">
        <f t="shared" ref="E7471:E7479" si="624">HYPERLINK("https://diaocthongthai.com/ban-do-huyen-kon-plong-kon-tum/","Huyện Kon Plông")</f>
        <v>Huyện Kon Plông</v>
      </c>
      <c r="F7471" s="3" t="s">
        <v>8231</v>
      </c>
      <c r="G7471" s="4" t="str">
        <f>HYPERLINK("https://diaocthongthai.com/xa-dak-nen-kon-plong/","Xã Đắk Nên")</f>
        <v>Xã Đắk Nên</v>
      </c>
    </row>
    <row r="7472" spans="1:7" x14ac:dyDescent="0.25">
      <c r="A7472" s="2">
        <v>7471</v>
      </c>
      <c r="B7472" s="3" t="s">
        <v>42</v>
      </c>
      <c r="C7472" s="4" t="str">
        <f t="shared" si="621"/>
        <v>Kon Tum</v>
      </c>
      <c r="D7472" s="3" t="s">
        <v>505</v>
      </c>
      <c r="E7472" s="4" t="str">
        <f t="shared" si="624"/>
        <v>Huyện Kon Plông</v>
      </c>
      <c r="F7472" s="3" t="s">
        <v>8232</v>
      </c>
      <c r="G7472" s="4" t="str">
        <f>HYPERLINK("https://diaocthongthai.com/xa-dak-ring-kon-plong/","Xã Đắk Ring")</f>
        <v>Xã Đắk Ring</v>
      </c>
    </row>
    <row r="7473" spans="1:7" x14ac:dyDescent="0.25">
      <c r="A7473" s="2">
        <v>7472</v>
      </c>
      <c r="B7473" s="3" t="s">
        <v>42</v>
      </c>
      <c r="C7473" s="4" t="str">
        <f t="shared" si="621"/>
        <v>Kon Tum</v>
      </c>
      <c r="D7473" s="3" t="s">
        <v>505</v>
      </c>
      <c r="E7473" s="4" t="str">
        <f t="shared" si="624"/>
        <v>Huyện Kon Plông</v>
      </c>
      <c r="F7473" s="3" t="s">
        <v>8233</v>
      </c>
      <c r="G7473" s="4" t="str">
        <f>HYPERLINK("https://diaocthongthai.com/xa-mang-but-kon-plong/","Xã Măng Buk")</f>
        <v>Xã Măng Buk</v>
      </c>
    </row>
    <row r="7474" spans="1:7" x14ac:dyDescent="0.25">
      <c r="A7474" s="2">
        <v>7473</v>
      </c>
      <c r="B7474" s="3" t="s">
        <v>42</v>
      </c>
      <c r="C7474" s="4" t="str">
        <f t="shared" si="621"/>
        <v>Kon Tum</v>
      </c>
      <c r="D7474" s="3" t="s">
        <v>505</v>
      </c>
      <c r="E7474" s="4" t="str">
        <f t="shared" si="624"/>
        <v>Huyện Kon Plông</v>
      </c>
      <c r="F7474" s="3" t="s">
        <v>8234</v>
      </c>
      <c r="G7474" s="4" t="str">
        <f>HYPERLINK("https://diaocthongthai.com/xa-dak-tang-kon-plong/","Xã Đắk Tăng")</f>
        <v>Xã Đắk Tăng</v>
      </c>
    </row>
    <row r="7475" spans="1:7" x14ac:dyDescent="0.25">
      <c r="A7475" s="2">
        <v>7474</v>
      </c>
      <c r="B7475" s="3" t="s">
        <v>42</v>
      </c>
      <c r="C7475" s="4" t="str">
        <f t="shared" si="621"/>
        <v>Kon Tum</v>
      </c>
      <c r="D7475" s="3" t="s">
        <v>505</v>
      </c>
      <c r="E7475" s="4" t="str">
        <f t="shared" si="624"/>
        <v>Huyện Kon Plông</v>
      </c>
      <c r="F7475" s="3" t="s">
        <v>8235</v>
      </c>
      <c r="G7475" s="4" t="str">
        <f>HYPERLINK("https://diaocthongthai.com/xa-ngoc-tem-kon-plong/","Xã Ngok Tem")</f>
        <v>Xã Ngok Tem</v>
      </c>
    </row>
    <row r="7476" spans="1:7" x14ac:dyDescent="0.25">
      <c r="A7476" s="2">
        <v>7475</v>
      </c>
      <c r="B7476" s="3" t="s">
        <v>42</v>
      </c>
      <c r="C7476" s="4" t="str">
        <f t="shared" si="621"/>
        <v>Kon Tum</v>
      </c>
      <c r="D7476" s="3" t="s">
        <v>505</v>
      </c>
      <c r="E7476" s="4" t="str">
        <f t="shared" si="624"/>
        <v>Huyện Kon Plông</v>
      </c>
      <c r="F7476" s="3" t="s">
        <v>8236</v>
      </c>
      <c r="G7476" s="4" t="str">
        <f>HYPERLINK("https://diaocthongthai.com/xa-po-e-kon-plong/","Xã Pờ Ê")</f>
        <v>Xã Pờ Ê</v>
      </c>
    </row>
    <row r="7477" spans="1:7" x14ac:dyDescent="0.25">
      <c r="A7477" s="2">
        <v>7476</v>
      </c>
      <c r="B7477" s="3" t="s">
        <v>42</v>
      </c>
      <c r="C7477" s="4" t="str">
        <f t="shared" si="621"/>
        <v>Kon Tum</v>
      </c>
      <c r="D7477" s="3" t="s">
        <v>505</v>
      </c>
      <c r="E7477" s="4" t="str">
        <f t="shared" si="624"/>
        <v>Huyện Kon Plông</v>
      </c>
      <c r="F7477" s="3" t="s">
        <v>8237</v>
      </c>
      <c r="G7477" s="4" t="str">
        <f>HYPERLINK("https://diaocthongthai.com/xa-mang-canh-kon-plong/","Xã Măng Cành")</f>
        <v>Xã Măng Cành</v>
      </c>
    </row>
    <row r="7478" spans="1:7" x14ac:dyDescent="0.25">
      <c r="A7478" s="2">
        <v>7477</v>
      </c>
      <c r="B7478" s="3" t="s">
        <v>42</v>
      </c>
      <c r="C7478" s="4" t="str">
        <f t="shared" si="621"/>
        <v>Kon Tum</v>
      </c>
      <c r="D7478" s="3" t="s">
        <v>505</v>
      </c>
      <c r="E7478" s="4" t="str">
        <f t="shared" si="624"/>
        <v>Huyện Kon Plông</v>
      </c>
      <c r="F7478" s="3" t="s">
        <v>8238</v>
      </c>
      <c r="G7478" s="4" t="str">
        <f>HYPERLINK("https://diaocthongthai.com/thi-tran-mang-den-kon-plong/","Thị trấn Măng Đen")</f>
        <v>Thị trấn Măng Đen</v>
      </c>
    </row>
    <row r="7479" spans="1:7" x14ac:dyDescent="0.25">
      <c r="A7479" s="2">
        <v>7478</v>
      </c>
      <c r="B7479" s="3" t="s">
        <v>42</v>
      </c>
      <c r="C7479" s="4" t="str">
        <f t="shared" si="621"/>
        <v>Kon Tum</v>
      </c>
      <c r="D7479" s="3" t="s">
        <v>505</v>
      </c>
      <c r="E7479" s="4" t="str">
        <f t="shared" si="624"/>
        <v>Huyện Kon Plông</v>
      </c>
      <c r="F7479" s="3" t="s">
        <v>8239</v>
      </c>
      <c r="G7479" s="4" t="str">
        <f>HYPERLINK("https://diaocthongthai.com/xa-hieu-kon-plong/","Xã Hiếu")</f>
        <v>Xã Hiếu</v>
      </c>
    </row>
    <row r="7480" spans="1:7" x14ac:dyDescent="0.25">
      <c r="A7480" s="2">
        <v>7479</v>
      </c>
      <c r="B7480" s="3" t="s">
        <v>42</v>
      </c>
      <c r="C7480" s="4" t="str">
        <f t="shared" si="621"/>
        <v>Kon Tum</v>
      </c>
      <c r="D7480" s="3" t="s">
        <v>506</v>
      </c>
      <c r="E7480" s="4" t="str">
        <f t="shared" ref="E7480:E7486" si="625">HYPERLINK("https://diaocthongthai.com/ban-do-huyen-kon-ray-kon-tum/","Huyện Kon Rẫy")</f>
        <v>Huyện Kon Rẫy</v>
      </c>
      <c r="F7480" s="3" t="s">
        <v>8240</v>
      </c>
      <c r="G7480" s="4" t="str">
        <f>HYPERLINK("https://diaocthongthai.com/thi-tran-dak-rve-kon-ray/","Thị trấn Đắk Rve")</f>
        <v>Thị trấn Đắk Rve</v>
      </c>
    </row>
    <row r="7481" spans="1:7" x14ac:dyDescent="0.25">
      <c r="A7481" s="2">
        <v>7480</v>
      </c>
      <c r="B7481" s="3" t="s">
        <v>42</v>
      </c>
      <c r="C7481" s="4" t="str">
        <f t="shared" si="621"/>
        <v>Kon Tum</v>
      </c>
      <c r="D7481" s="3" t="s">
        <v>506</v>
      </c>
      <c r="E7481" s="4" t="str">
        <f t="shared" si="625"/>
        <v>Huyện Kon Rẫy</v>
      </c>
      <c r="F7481" s="3" t="s">
        <v>8241</v>
      </c>
      <c r="G7481" s="4" t="str">
        <f>HYPERLINK("https://diaocthongthai.com/xa-dak-koi-kon-ray/","Xã Đắk Kôi")</f>
        <v>Xã Đắk Kôi</v>
      </c>
    </row>
    <row r="7482" spans="1:7" x14ac:dyDescent="0.25">
      <c r="A7482" s="2">
        <v>7481</v>
      </c>
      <c r="B7482" s="3" t="s">
        <v>42</v>
      </c>
      <c r="C7482" s="4" t="str">
        <f t="shared" si="621"/>
        <v>Kon Tum</v>
      </c>
      <c r="D7482" s="3" t="s">
        <v>506</v>
      </c>
      <c r="E7482" s="4" t="str">
        <f t="shared" si="625"/>
        <v>Huyện Kon Rẫy</v>
      </c>
      <c r="F7482" s="3" t="s">
        <v>8242</v>
      </c>
      <c r="G7482" s="4" t="str">
        <f>HYPERLINK("https://diaocthongthai.com/xa-dak-to-lung-kon-ray/","Xã Đắk Tơ Lung")</f>
        <v>Xã Đắk Tơ Lung</v>
      </c>
    </row>
    <row r="7483" spans="1:7" x14ac:dyDescent="0.25">
      <c r="A7483" s="2">
        <v>7482</v>
      </c>
      <c r="B7483" s="3" t="s">
        <v>42</v>
      </c>
      <c r="C7483" s="4" t="str">
        <f t="shared" si="621"/>
        <v>Kon Tum</v>
      </c>
      <c r="D7483" s="3" t="s">
        <v>506</v>
      </c>
      <c r="E7483" s="4" t="str">
        <f t="shared" si="625"/>
        <v>Huyện Kon Rẫy</v>
      </c>
      <c r="F7483" s="3" t="s">
        <v>8243</v>
      </c>
      <c r="G7483" s="4" t="str">
        <f>HYPERLINK("https://diaocthongthai.com/xa-dak-ruong-kon-ray/","Xã Đắk Ruồng")</f>
        <v>Xã Đắk Ruồng</v>
      </c>
    </row>
    <row r="7484" spans="1:7" x14ac:dyDescent="0.25">
      <c r="A7484" s="2">
        <v>7483</v>
      </c>
      <c r="B7484" s="3" t="s">
        <v>42</v>
      </c>
      <c r="C7484" s="4" t="str">
        <f t="shared" si="621"/>
        <v>Kon Tum</v>
      </c>
      <c r="D7484" s="3" t="s">
        <v>506</v>
      </c>
      <c r="E7484" s="4" t="str">
        <f t="shared" si="625"/>
        <v>Huyện Kon Rẫy</v>
      </c>
      <c r="F7484" s="3" t="s">
        <v>8244</v>
      </c>
      <c r="G7484" s="4" t="str">
        <f>HYPERLINK("https://diaocthongthai.com/xa-dak-pne-kon-ray/","Xã Đắk Pne")</f>
        <v>Xã Đắk Pne</v>
      </c>
    </row>
    <row r="7485" spans="1:7" x14ac:dyDescent="0.25">
      <c r="A7485" s="2">
        <v>7484</v>
      </c>
      <c r="B7485" s="3" t="s">
        <v>42</v>
      </c>
      <c r="C7485" s="4" t="str">
        <f t="shared" ref="C7485:C7516" si="626">HYPERLINK("https://diaocthongthai.com/ban-do-kon-tum/","Kon Tum")</f>
        <v>Kon Tum</v>
      </c>
      <c r="D7485" s="3" t="s">
        <v>506</v>
      </c>
      <c r="E7485" s="4" t="str">
        <f t="shared" si="625"/>
        <v>Huyện Kon Rẫy</v>
      </c>
      <c r="F7485" s="3" t="s">
        <v>8245</v>
      </c>
      <c r="G7485" s="4" t="str">
        <f>HYPERLINK("https://diaocthongthai.com/xa-dak-to-re-kon-ray/","Xã Đắk Tờ Re")</f>
        <v>Xã Đắk Tờ Re</v>
      </c>
    </row>
    <row r="7486" spans="1:7" x14ac:dyDescent="0.25">
      <c r="A7486" s="2">
        <v>7485</v>
      </c>
      <c r="B7486" s="3" t="s">
        <v>42</v>
      </c>
      <c r="C7486" s="4" t="str">
        <f t="shared" si="626"/>
        <v>Kon Tum</v>
      </c>
      <c r="D7486" s="3" t="s">
        <v>506</v>
      </c>
      <c r="E7486" s="4" t="str">
        <f t="shared" si="625"/>
        <v>Huyện Kon Rẫy</v>
      </c>
      <c r="F7486" s="3" t="s">
        <v>8246</v>
      </c>
      <c r="G7486" s="4" t="str">
        <f>HYPERLINK("https://diaocthongthai.com/xa-tan-lap-kon-ray/","Xã Tân Lập")</f>
        <v>Xã Tân Lập</v>
      </c>
    </row>
    <row r="7487" spans="1:7" x14ac:dyDescent="0.25">
      <c r="A7487" s="2">
        <v>7486</v>
      </c>
      <c r="B7487" s="3" t="s">
        <v>42</v>
      </c>
      <c r="C7487" s="4" t="str">
        <f t="shared" si="626"/>
        <v>Kon Tum</v>
      </c>
      <c r="D7487" s="3" t="s">
        <v>507</v>
      </c>
      <c r="E7487" s="4" t="str">
        <f t="shared" ref="E7487:E7497" si="627">HYPERLINK("https://diaocthongthai.com/ban-do-huyen-dak-ha-kon-tum/","Huyện Đắk Hà")</f>
        <v>Huyện Đắk Hà</v>
      </c>
      <c r="F7487" s="3" t="s">
        <v>8247</v>
      </c>
      <c r="G7487" s="4" t="str">
        <f>HYPERLINK("https://diaocthongthai.com/thi-tran-dak-ha-dak-ha/","Thị trấn Đắk Hà")</f>
        <v>Thị trấn Đắk Hà</v>
      </c>
    </row>
    <row r="7488" spans="1:7" x14ac:dyDescent="0.25">
      <c r="A7488" s="2">
        <v>7487</v>
      </c>
      <c r="B7488" s="3" t="s">
        <v>42</v>
      </c>
      <c r="C7488" s="4" t="str">
        <f t="shared" si="626"/>
        <v>Kon Tum</v>
      </c>
      <c r="D7488" s="3" t="s">
        <v>507</v>
      </c>
      <c r="E7488" s="4" t="str">
        <f t="shared" si="627"/>
        <v>Huyện Đắk Hà</v>
      </c>
      <c r="F7488" s="3" t="s">
        <v>8248</v>
      </c>
      <c r="G7488" s="4" t="str">
        <f>HYPERLINK("https://diaocthongthai.com/xa-dak-pxi-dak-ha/","Xã Đắk PXi")</f>
        <v>Xã Đắk PXi</v>
      </c>
    </row>
    <row r="7489" spans="1:7" x14ac:dyDescent="0.25">
      <c r="A7489" s="2">
        <v>7488</v>
      </c>
      <c r="B7489" s="3" t="s">
        <v>42</v>
      </c>
      <c r="C7489" s="4" t="str">
        <f t="shared" si="626"/>
        <v>Kon Tum</v>
      </c>
      <c r="D7489" s="3" t="s">
        <v>507</v>
      </c>
      <c r="E7489" s="4" t="str">
        <f t="shared" si="627"/>
        <v>Huyện Đắk Hà</v>
      </c>
      <c r="F7489" s="3" t="s">
        <v>8249</v>
      </c>
      <c r="G7489" s="4" t="str">
        <f>HYPERLINK("https://diaocthongthai.com/xa-dak-long-dak-ha/","Xã Đăk Long")</f>
        <v>Xã Đăk Long</v>
      </c>
    </row>
    <row r="7490" spans="1:7" x14ac:dyDescent="0.25">
      <c r="A7490" s="2">
        <v>7489</v>
      </c>
      <c r="B7490" s="3" t="s">
        <v>42</v>
      </c>
      <c r="C7490" s="4" t="str">
        <f t="shared" si="626"/>
        <v>Kon Tum</v>
      </c>
      <c r="D7490" s="3" t="s">
        <v>507</v>
      </c>
      <c r="E7490" s="4" t="str">
        <f t="shared" si="627"/>
        <v>Huyện Đắk Hà</v>
      </c>
      <c r="F7490" s="3" t="s">
        <v>8250</v>
      </c>
      <c r="G7490" s="4" t="str">
        <f>HYPERLINK("https://diaocthongthai.com/xa-dak-hring-dak-ha/","Xã Đắk HRing")</f>
        <v>Xã Đắk HRing</v>
      </c>
    </row>
    <row r="7491" spans="1:7" x14ac:dyDescent="0.25">
      <c r="A7491" s="2">
        <v>7490</v>
      </c>
      <c r="B7491" s="3" t="s">
        <v>42</v>
      </c>
      <c r="C7491" s="4" t="str">
        <f t="shared" si="626"/>
        <v>Kon Tum</v>
      </c>
      <c r="D7491" s="3" t="s">
        <v>507</v>
      </c>
      <c r="E7491" s="4" t="str">
        <f t="shared" si="627"/>
        <v>Huyện Đắk Hà</v>
      </c>
      <c r="F7491" s="3" t="s">
        <v>8251</v>
      </c>
      <c r="G7491" s="4" t="str">
        <f>HYPERLINK("https://diaocthongthai.com/xa-dak-ui-dak-ha/","Xã Đắk Ui")</f>
        <v>Xã Đắk Ui</v>
      </c>
    </row>
    <row r="7492" spans="1:7" x14ac:dyDescent="0.25">
      <c r="A7492" s="2">
        <v>7491</v>
      </c>
      <c r="B7492" s="3" t="s">
        <v>42</v>
      </c>
      <c r="C7492" s="4" t="str">
        <f t="shared" si="626"/>
        <v>Kon Tum</v>
      </c>
      <c r="D7492" s="3" t="s">
        <v>507</v>
      </c>
      <c r="E7492" s="4" t="str">
        <f t="shared" si="627"/>
        <v>Huyện Đắk Hà</v>
      </c>
      <c r="F7492" s="3" t="s">
        <v>8252</v>
      </c>
      <c r="G7492" s="4" t="str">
        <f>HYPERLINK("https://diaocthongthai.com/xa-dak-ngok-dak-ha/","Xã Đăk Ngọk")</f>
        <v>Xã Đăk Ngọk</v>
      </c>
    </row>
    <row r="7493" spans="1:7" x14ac:dyDescent="0.25">
      <c r="A7493" s="2">
        <v>7492</v>
      </c>
      <c r="B7493" s="3" t="s">
        <v>42</v>
      </c>
      <c r="C7493" s="4" t="str">
        <f t="shared" si="626"/>
        <v>Kon Tum</v>
      </c>
      <c r="D7493" s="3" t="s">
        <v>507</v>
      </c>
      <c r="E7493" s="4" t="str">
        <f t="shared" si="627"/>
        <v>Huyện Đắk Hà</v>
      </c>
      <c r="F7493" s="3" t="s">
        <v>8253</v>
      </c>
      <c r="G7493" s="4" t="str">
        <f>HYPERLINK("https://diaocthongthai.com/xa-dak-mar-dak-ha/","Xã Đắk Mar")</f>
        <v>Xã Đắk Mar</v>
      </c>
    </row>
    <row r="7494" spans="1:7" x14ac:dyDescent="0.25">
      <c r="A7494" s="2">
        <v>7493</v>
      </c>
      <c r="B7494" s="3" t="s">
        <v>42</v>
      </c>
      <c r="C7494" s="4" t="str">
        <f t="shared" si="626"/>
        <v>Kon Tum</v>
      </c>
      <c r="D7494" s="3" t="s">
        <v>507</v>
      </c>
      <c r="E7494" s="4" t="str">
        <f t="shared" si="627"/>
        <v>Huyện Đắk Hà</v>
      </c>
      <c r="F7494" s="3" t="s">
        <v>8254</v>
      </c>
      <c r="G7494" s="4" t="str">
        <f>HYPERLINK("https://diaocthongthai.com/xa-ngoc-wang-dak-ha/","Xã Ngok Wang")</f>
        <v>Xã Ngok Wang</v>
      </c>
    </row>
    <row r="7495" spans="1:7" x14ac:dyDescent="0.25">
      <c r="A7495" s="2">
        <v>7494</v>
      </c>
      <c r="B7495" s="3" t="s">
        <v>42</v>
      </c>
      <c r="C7495" s="4" t="str">
        <f t="shared" si="626"/>
        <v>Kon Tum</v>
      </c>
      <c r="D7495" s="3" t="s">
        <v>507</v>
      </c>
      <c r="E7495" s="4" t="str">
        <f t="shared" si="627"/>
        <v>Huyện Đắk Hà</v>
      </c>
      <c r="F7495" s="3" t="s">
        <v>8255</v>
      </c>
      <c r="G7495" s="4" t="str">
        <f>HYPERLINK("https://diaocthongthai.com/xa-ngoc-reo-dak-ha/","Xã Ngok Réo")</f>
        <v>Xã Ngok Réo</v>
      </c>
    </row>
    <row r="7496" spans="1:7" x14ac:dyDescent="0.25">
      <c r="A7496" s="2">
        <v>7495</v>
      </c>
      <c r="B7496" s="3" t="s">
        <v>42</v>
      </c>
      <c r="C7496" s="4" t="str">
        <f t="shared" si="626"/>
        <v>Kon Tum</v>
      </c>
      <c r="D7496" s="3" t="s">
        <v>507</v>
      </c>
      <c r="E7496" s="4" t="str">
        <f t="shared" si="627"/>
        <v>Huyện Đắk Hà</v>
      </c>
      <c r="F7496" s="3" t="s">
        <v>8256</v>
      </c>
      <c r="G7496" s="4" t="str">
        <f>HYPERLINK("https://diaocthongthai.com/xa-ha-mon-dak-ha/","Xã Hà Mòn")</f>
        <v>Xã Hà Mòn</v>
      </c>
    </row>
    <row r="7497" spans="1:7" x14ac:dyDescent="0.25">
      <c r="A7497" s="2">
        <v>7496</v>
      </c>
      <c r="B7497" s="3" t="s">
        <v>42</v>
      </c>
      <c r="C7497" s="4" t="str">
        <f t="shared" si="626"/>
        <v>Kon Tum</v>
      </c>
      <c r="D7497" s="3" t="s">
        <v>507</v>
      </c>
      <c r="E7497" s="4" t="str">
        <f t="shared" si="627"/>
        <v>Huyện Đắk Hà</v>
      </c>
      <c r="F7497" s="3" t="s">
        <v>8257</v>
      </c>
      <c r="G7497" s="4" t="str">
        <f>HYPERLINK("https://diaocthongthai.com/xa-dak-la-dak-ha/","Xã Đắk La")</f>
        <v>Xã Đắk La</v>
      </c>
    </row>
    <row r="7498" spans="1:7" x14ac:dyDescent="0.25">
      <c r="A7498" s="2">
        <v>7497</v>
      </c>
      <c r="B7498" s="3" t="s">
        <v>42</v>
      </c>
      <c r="C7498" s="4" t="str">
        <f t="shared" si="626"/>
        <v>Kon Tum</v>
      </c>
      <c r="D7498" s="3" t="s">
        <v>508</v>
      </c>
      <c r="E7498" s="4" t="str">
        <f t="shared" ref="E7498:E7508" si="628">HYPERLINK("https://diaocthongthai.com/ban-do-huyen-sa-thay-kon-tum/","Huyện Sa Thầy")</f>
        <v>Huyện Sa Thầy</v>
      </c>
      <c r="F7498" s="3" t="s">
        <v>8258</v>
      </c>
      <c r="G7498" s="4" t="str">
        <f>HYPERLINK("https://diaocthongthai.com/thi-tran-sa-thay-sa-thay/","Thị trấn Sa Thầy")</f>
        <v>Thị trấn Sa Thầy</v>
      </c>
    </row>
    <row r="7499" spans="1:7" x14ac:dyDescent="0.25">
      <c r="A7499" s="2">
        <v>7498</v>
      </c>
      <c r="B7499" s="3" t="s">
        <v>42</v>
      </c>
      <c r="C7499" s="4" t="str">
        <f t="shared" si="626"/>
        <v>Kon Tum</v>
      </c>
      <c r="D7499" s="3" t="s">
        <v>508</v>
      </c>
      <c r="E7499" s="4" t="str">
        <f t="shared" si="628"/>
        <v>Huyện Sa Thầy</v>
      </c>
      <c r="F7499" s="3" t="s">
        <v>8259</v>
      </c>
      <c r="G7499" s="4" t="str">
        <f>HYPERLINK("https://diaocthongthai.com/xa-ro-koi-sa-thay/","Xã Rơ Kơi")</f>
        <v>Xã Rơ Kơi</v>
      </c>
    </row>
    <row r="7500" spans="1:7" x14ac:dyDescent="0.25">
      <c r="A7500" s="2">
        <v>7499</v>
      </c>
      <c r="B7500" s="3" t="s">
        <v>42</v>
      </c>
      <c r="C7500" s="4" t="str">
        <f t="shared" si="626"/>
        <v>Kon Tum</v>
      </c>
      <c r="D7500" s="3" t="s">
        <v>508</v>
      </c>
      <c r="E7500" s="4" t="str">
        <f t="shared" si="628"/>
        <v>Huyện Sa Thầy</v>
      </c>
      <c r="F7500" s="3" t="s">
        <v>8260</v>
      </c>
      <c r="G7500" s="4" t="str">
        <f>HYPERLINK("https://diaocthongthai.com/xa-sa-nhon-sa-thay/","Xã Sa Nhơn")</f>
        <v>Xã Sa Nhơn</v>
      </c>
    </row>
    <row r="7501" spans="1:7" x14ac:dyDescent="0.25">
      <c r="A7501" s="2">
        <v>7500</v>
      </c>
      <c r="B7501" s="3" t="s">
        <v>42</v>
      </c>
      <c r="C7501" s="4" t="str">
        <f t="shared" si="626"/>
        <v>Kon Tum</v>
      </c>
      <c r="D7501" s="3" t="s">
        <v>508</v>
      </c>
      <c r="E7501" s="4" t="str">
        <f t="shared" si="628"/>
        <v>Huyện Sa Thầy</v>
      </c>
      <c r="F7501" s="3" t="s">
        <v>8261</v>
      </c>
      <c r="G7501" s="4" t="str">
        <f>HYPERLINK("https://diaocthongthai.com/xa-ho-moong-sa-thay/","Xã Hơ Moong")</f>
        <v>Xã Hơ Moong</v>
      </c>
    </row>
    <row r="7502" spans="1:7" x14ac:dyDescent="0.25">
      <c r="A7502" s="2">
        <v>7501</v>
      </c>
      <c r="B7502" s="3" t="s">
        <v>42</v>
      </c>
      <c r="C7502" s="4" t="str">
        <f t="shared" si="626"/>
        <v>Kon Tum</v>
      </c>
      <c r="D7502" s="3" t="s">
        <v>508</v>
      </c>
      <c r="E7502" s="4" t="str">
        <f t="shared" si="628"/>
        <v>Huyện Sa Thầy</v>
      </c>
      <c r="F7502" s="3" t="s">
        <v>8262</v>
      </c>
      <c r="G7502" s="4" t="str">
        <f>HYPERLINK("https://diaocthongthai.com/xa-mo-rai-sa-thay/","Xã Mô Rai")</f>
        <v>Xã Mô Rai</v>
      </c>
    </row>
    <row r="7503" spans="1:7" x14ac:dyDescent="0.25">
      <c r="A7503" s="2">
        <v>7502</v>
      </c>
      <c r="B7503" s="3" t="s">
        <v>42</v>
      </c>
      <c r="C7503" s="4" t="str">
        <f t="shared" si="626"/>
        <v>Kon Tum</v>
      </c>
      <c r="D7503" s="3" t="s">
        <v>508</v>
      </c>
      <c r="E7503" s="4" t="str">
        <f t="shared" si="628"/>
        <v>Huyện Sa Thầy</v>
      </c>
      <c r="F7503" s="3" t="s">
        <v>8263</v>
      </c>
      <c r="G7503" s="4" t="str">
        <f>HYPERLINK("https://diaocthongthai.com/xa-sa-son-sa-thay/","Xã Sa Sơn")</f>
        <v>Xã Sa Sơn</v>
      </c>
    </row>
    <row r="7504" spans="1:7" x14ac:dyDescent="0.25">
      <c r="A7504" s="2">
        <v>7503</v>
      </c>
      <c r="B7504" s="3" t="s">
        <v>42</v>
      </c>
      <c r="C7504" s="4" t="str">
        <f t="shared" si="626"/>
        <v>Kon Tum</v>
      </c>
      <c r="D7504" s="3" t="s">
        <v>508</v>
      </c>
      <c r="E7504" s="4" t="str">
        <f t="shared" si="628"/>
        <v>Huyện Sa Thầy</v>
      </c>
      <c r="F7504" s="3" t="s">
        <v>8264</v>
      </c>
      <c r="G7504" s="4" t="str">
        <f>HYPERLINK("https://diaocthongthai.com/xa-sa-nghia-sa-thay/","Xã Sa Nghĩa")</f>
        <v>Xã Sa Nghĩa</v>
      </c>
    </row>
    <row r="7505" spans="1:7" x14ac:dyDescent="0.25">
      <c r="A7505" s="2">
        <v>7504</v>
      </c>
      <c r="B7505" s="3" t="s">
        <v>42</v>
      </c>
      <c r="C7505" s="4" t="str">
        <f t="shared" si="626"/>
        <v>Kon Tum</v>
      </c>
      <c r="D7505" s="3" t="s">
        <v>508</v>
      </c>
      <c r="E7505" s="4" t="str">
        <f t="shared" si="628"/>
        <v>Huyện Sa Thầy</v>
      </c>
      <c r="F7505" s="3" t="s">
        <v>8265</v>
      </c>
      <c r="G7505" s="4" t="str">
        <f>HYPERLINK("https://diaocthongthai.com/xa-sa-binh-sa-thay/","Xã Sa Bình")</f>
        <v>Xã Sa Bình</v>
      </c>
    </row>
    <row r="7506" spans="1:7" x14ac:dyDescent="0.25">
      <c r="A7506" s="2">
        <v>7505</v>
      </c>
      <c r="B7506" s="3" t="s">
        <v>42</v>
      </c>
      <c r="C7506" s="4" t="str">
        <f t="shared" si="626"/>
        <v>Kon Tum</v>
      </c>
      <c r="D7506" s="3" t="s">
        <v>508</v>
      </c>
      <c r="E7506" s="4" t="str">
        <f t="shared" si="628"/>
        <v>Huyện Sa Thầy</v>
      </c>
      <c r="F7506" s="3" t="s">
        <v>8266</v>
      </c>
      <c r="G7506" s="4" t="str">
        <f>HYPERLINK("https://diaocthongthai.com/xa-ya-xier-sa-thay/","Xã Ya Xiêr")</f>
        <v>Xã Ya Xiêr</v>
      </c>
    </row>
    <row r="7507" spans="1:7" x14ac:dyDescent="0.25">
      <c r="A7507" s="2">
        <v>7506</v>
      </c>
      <c r="B7507" s="3" t="s">
        <v>42</v>
      </c>
      <c r="C7507" s="4" t="str">
        <f t="shared" si="626"/>
        <v>Kon Tum</v>
      </c>
      <c r="D7507" s="3" t="s">
        <v>508</v>
      </c>
      <c r="E7507" s="4" t="str">
        <f t="shared" si="628"/>
        <v>Huyện Sa Thầy</v>
      </c>
      <c r="F7507" s="3" t="s">
        <v>8267</v>
      </c>
      <c r="G7507" s="4" t="str">
        <f>HYPERLINK("https://diaocthongthai.com/xa-ya-tang-sa-thay/","Xã Ya Tăng")</f>
        <v>Xã Ya Tăng</v>
      </c>
    </row>
    <row r="7508" spans="1:7" x14ac:dyDescent="0.25">
      <c r="A7508" s="2">
        <v>7507</v>
      </c>
      <c r="B7508" s="3" t="s">
        <v>42</v>
      </c>
      <c r="C7508" s="4" t="str">
        <f t="shared" si="626"/>
        <v>Kon Tum</v>
      </c>
      <c r="D7508" s="3" t="s">
        <v>508</v>
      </c>
      <c r="E7508" s="4" t="str">
        <f t="shared" si="628"/>
        <v>Huyện Sa Thầy</v>
      </c>
      <c r="F7508" s="3" t="s">
        <v>8268</v>
      </c>
      <c r="G7508" s="4" t="str">
        <f>HYPERLINK("https://diaocthongthai.com/xa-ya-ly-sa-thay/","Xã Ya ly")</f>
        <v>Xã Ya ly</v>
      </c>
    </row>
    <row r="7509" spans="1:7" x14ac:dyDescent="0.25">
      <c r="A7509" s="2">
        <v>7508</v>
      </c>
      <c r="B7509" s="3" t="s">
        <v>42</v>
      </c>
      <c r="C7509" s="4" t="str">
        <f t="shared" si="626"/>
        <v>Kon Tum</v>
      </c>
      <c r="D7509" s="3" t="s">
        <v>509</v>
      </c>
      <c r="E7509" s="4" t="str">
        <f t="shared" ref="E7509:E7519" si="629">HYPERLINK("https://diaocthongthai.com/ban-do-huyen-tu-mo-rong-kon-tum/","Huyện Tu Mơ Rông")</f>
        <v>Huyện Tu Mơ Rông</v>
      </c>
      <c r="F7509" s="3" t="s">
        <v>8269</v>
      </c>
      <c r="G7509" s="4" t="str">
        <f>HYPERLINK("https://diaocthongthai.com/xa-ngok-lay-tu-mo-rong/","Xã Ngọc Lây")</f>
        <v>Xã Ngọc Lây</v>
      </c>
    </row>
    <row r="7510" spans="1:7" x14ac:dyDescent="0.25">
      <c r="A7510" s="2">
        <v>7509</v>
      </c>
      <c r="B7510" s="3" t="s">
        <v>42</v>
      </c>
      <c r="C7510" s="4" t="str">
        <f t="shared" si="626"/>
        <v>Kon Tum</v>
      </c>
      <c r="D7510" s="3" t="s">
        <v>509</v>
      </c>
      <c r="E7510" s="4" t="str">
        <f t="shared" si="629"/>
        <v>Huyện Tu Mơ Rông</v>
      </c>
      <c r="F7510" s="3" t="s">
        <v>8270</v>
      </c>
      <c r="G7510" s="4" t="str">
        <f>HYPERLINK("https://diaocthongthai.com/xa-dak-na-tu-mo-rong/","Xã Đắk Na")</f>
        <v>Xã Đắk Na</v>
      </c>
    </row>
    <row r="7511" spans="1:7" x14ac:dyDescent="0.25">
      <c r="A7511" s="2">
        <v>7510</v>
      </c>
      <c r="B7511" s="3" t="s">
        <v>42</v>
      </c>
      <c r="C7511" s="4" t="str">
        <f t="shared" si="626"/>
        <v>Kon Tum</v>
      </c>
      <c r="D7511" s="3" t="s">
        <v>509</v>
      </c>
      <c r="E7511" s="4" t="str">
        <f t="shared" si="629"/>
        <v>Huyện Tu Mơ Rông</v>
      </c>
      <c r="F7511" s="3" t="s">
        <v>8271</v>
      </c>
      <c r="G7511" s="4" t="str">
        <f>HYPERLINK("https://diaocthongthai.com/xa-mang-ri-tu-mo-rong/","Xã Măng Ri")</f>
        <v>Xã Măng Ri</v>
      </c>
    </row>
    <row r="7512" spans="1:7" x14ac:dyDescent="0.25">
      <c r="A7512" s="2">
        <v>7511</v>
      </c>
      <c r="B7512" s="3" t="s">
        <v>42</v>
      </c>
      <c r="C7512" s="4" t="str">
        <f t="shared" si="626"/>
        <v>Kon Tum</v>
      </c>
      <c r="D7512" s="3" t="s">
        <v>509</v>
      </c>
      <c r="E7512" s="4" t="str">
        <f t="shared" si="629"/>
        <v>Huyện Tu Mơ Rông</v>
      </c>
      <c r="F7512" s="3" t="s">
        <v>8272</v>
      </c>
      <c r="G7512" s="4" t="str">
        <f>HYPERLINK("https://diaocthongthai.com/xa-ngok-yeu-tu-mo-rong/","Xã Ngọc Yêu")</f>
        <v>Xã Ngọc Yêu</v>
      </c>
    </row>
    <row r="7513" spans="1:7" x14ac:dyDescent="0.25">
      <c r="A7513" s="2">
        <v>7512</v>
      </c>
      <c r="B7513" s="3" t="s">
        <v>42</v>
      </c>
      <c r="C7513" s="4" t="str">
        <f t="shared" si="626"/>
        <v>Kon Tum</v>
      </c>
      <c r="D7513" s="3" t="s">
        <v>509</v>
      </c>
      <c r="E7513" s="4" t="str">
        <f t="shared" si="629"/>
        <v>Huyện Tu Mơ Rông</v>
      </c>
      <c r="F7513" s="3" t="s">
        <v>8273</v>
      </c>
      <c r="G7513" s="4" t="str">
        <f>HYPERLINK("https://diaocthongthai.com/xa-dak-sao-tu-mo-rong/","Xã Đắk Sao")</f>
        <v>Xã Đắk Sao</v>
      </c>
    </row>
    <row r="7514" spans="1:7" x14ac:dyDescent="0.25">
      <c r="A7514" s="2">
        <v>7513</v>
      </c>
      <c r="B7514" s="3" t="s">
        <v>42</v>
      </c>
      <c r="C7514" s="4" t="str">
        <f t="shared" si="626"/>
        <v>Kon Tum</v>
      </c>
      <c r="D7514" s="3" t="s">
        <v>509</v>
      </c>
      <c r="E7514" s="4" t="str">
        <f t="shared" si="629"/>
        <v>Huyện Tu Mơ Rông</v>
      </c>
      <c r="F7514" s="3" t="s">
        <v>8274</v>
      </c>
      <c r="G7514" s="4" t="str">
        <f>HYPERLINK("https://diaocthongthai.com/xa-dak-ro-ong-tu-mo-rong/","Xã Đắk Rơ Ông")</f>
        <v>Xã Đắk Rơ Ông</v>
      </c>
    </row>
    <row r="7515" spans="1:7" x14ac:dyDescent="0.25">
      <c r="A7515" s="2">
        <v>7514</v>
      </c>
      <c r="B7515" s="3" t="s">
        <v>42</v>
      </c>
      <c r="C7515" s="4" t="str">
        <f t="shared" si="626"/>
        <v>Kon Tum</v>
      </c>
      <c r="D7515" s="3" t="s">
        <v>509</v>
      </c>
      <c r="E7515" s="4" t="str">
        <f t="shared" si="629"/>
        <v>Huyện Tu Mơ Rông</v>
      </c>
      <c r="F7515" s="3" t="s">
        <v>8275</v>
      </c>
      <c r="G7515" s="4" t="str">
        <f>HYPERLINK("https://diaocthongthai.com/xa-dak-to-kan-tu-mo-rong/","Xã Đắk Tờ Kan")</f>
        <v>Xã Đắk Tờ Kan</v>
      </c>
    </row>
    <row r="7516" spans="1:7" x14ac:dyDescent="0.25">
      <c r="A7516" s="2">
        <v>7515</v>
      </c>
      <c r="B7516" s="3" t="s">
        <v>42</v>
      </c>
      <c r="C7516" s="4" t="str">
        <f t="shared" si="626"/>
        <v>Kon Tum</v>
      </c>
      <c r="D7516" s="3" t="s">
        <v>509</v>
      </c>
      <c r="E7516" s="4" t="str">
        <f t="shared" si="629"/>
        <v>Huyện Tu Mơ Rông</v>
      </c>
      <c r="F7516" s="3" t="s">
        <v>8276</v>
      </c>
      <c r="G7516" s="4" t="str">
        <f>HYPERLINK("https://diaocthongthai.com/xa-tu-mo-rong-tu-mo-rong/","Xã Tu Mơ Rông")</f>
        <v>Xã Tu Mơ Rông</v>
      </c>
    </row>
    <row r="7517" spans="1:7" x14ac:dyDescent="0.25">
      <c r="A7517" s="2">
        <v>7516</v>
      </c>
      <c r="B7517" s="3" t="s">
        <v>42</v>
      </c>
      <c r="C7517" s="4" t="str">
        <f t="shared" ref="C7517:C7522" si="630">HYPERLINK("https://diaocthongthai.com/ban-do-kon-tum/","Kon Tum")</f>
        <v>Kon Tum</v>
      </c>
      <c r="D7517" s="3" t="s">
        <v>509</v>
      </c>
      <c r="E7517" s="4" t="str">
        <f t="shared" si="629"/>
        <v>Huyện Tu Mơ Rông</v>
      </c>
      <c r="F7517" s="3" t="s">
        <v>8277</v>
      </c>
      <c r="G7517" s="4" t="str">
        <f>HYPERLINK("https://diaocthongthai.com/xa-dak-ha-tu-mo-rong/","Xã Đắk Hà")</f>
        <v>Xã Đắk Hà</v>
      </c>
    </row>
    <row r="7518" spans="1:7" x14ac:dyDescent="0.25">
      <c r="A7518" s="2">
        <v>7517</v>
      </c>
      <c r="B7518" s="3" t="s">
        <v>42</v>
      </c>
      <c r="C7518" s="4" t="str">
        <f t="shared" si="630"/>
        <v>Kon Tum</v>
      </c>
      <c r="D7518" s="3" t="s">
        <v>509</v>
      </c>
      <c r="E7518" s="4" t="str">
        <f t="shared" si="629"/>
        <v>Huyện Tu Mơ Rông</v>
      </c>
      <c r="F7518" s="3" t="s">
        <v>8278</v>
      </c>
      <c r="G7518" s="4" t="str">
        <f>HYPERLINK("https://diaocthongthai.com/xa-te-xang-tu-mo-rong/","Xã Tê Xăng")</f>
        <v>Xã Tê Xăng</v>
      </c>
    </row>
    <row r="7519" spans="1:7" x14ac:dyDescent="0.25">
      <c r="A7519" s="2">
        <v>7518</v>
      </c>
      <c r="B7519" s="3" t="s">
        <v>42</v>
      </c>
      <c r="C7519" s="4" t="str">
        <f t="shared" si="630"/>
        <v>Kon Tum</v>
      </c>
      <c r="D7519" s="3" t="s">
        <v>509</v>
      </c>
      <c r="E7519" s="4" t="str">
        <f t="shared" si="629"/>
        <v>Huyện Tu Mơ Rông</v>
      </c>
      <c r="F7519" s="3" t="s">
        <v>8279</v>
      </c>
      <c r="G7519" s="4" t="str">
        <f>HYPERLINK("https://diaocthongthai.com/xa-van-xuoi-tu-mo-rong/","Xã Văn Xuôi")</f>
        <v>Xã Văn Xuôi</v>
      </c>
    </row>
    <row r="7520" spans="1:7" x14ac:dyDescent="0.25">
      <c r="A7520" s="2">
        <v>7519</v>
      </c>
      <c r="B7520" s="3" t="s">
        <v>42</v>
      </c>
      <c r="C7520" s="4" t="str">
        <f t="shared" si="630"/>
        <v>Kon Tum</v>
      </c>
      <c r="D7520" s="3" t="s">
        <v>510</v>
      </c>
      <c r="E7520" s="4" t="str">
        <f>HYPERLINK("https://diaocthongthai.com/ban-do-huyen-ia-h'-drai-kon-tum/","Huyện Ia H' Drai")</f>
        <v>Huyện Ia H' Drai</v>
      </c>
      <c r="F7520" s="3" t="s">
        <v>8280</v>
      </c>
      <c r="G7520" s="4" t="str">
        <f>HYPERLINK("https://diaocthongthai.com/xa-ia-dal-ia-hdrai/","Xã Ia Đal")</f>
        <v>Xã Ia Đal</v>
      </c>
    </row>
    <row r="7521" spans="1:7" x14ac:dyDescent="0.25">
      <c r="A7521" s="2">
        <v>7520</v>
      </c>
      <c r="B7521" s="3" t="s">
        <v>42</v>
      </c>
      <c r="C7521" s="4" t="str">
        <f t="shared" si="630"/>
        <v>Kon Tum</v>
      </c>
      <c r="D7521" s="3" t="s">
        <v>510</v>
      </c>
      <c r="E7521" s="4" t="str">
        <f>HYPERLINK("https://diaocthongthai.com/ban-do-huyen-ia-h'-drai-kon-tum/","Huyện Ia H' Drai")</f>
        <v>Huyện Ia H' Drai</v>
      </c>
      <c r="F7521" s="3" t="s">
        <v>8281</v>
      </c>
      <c r="G7521" s="4" t="str">
        <f>HYPERLINK("https://diaocthongthai.com/xa-ia-dom-ia-hdrai/","Xã Ia Dom")</f>
        <v>Xã Ia Dom</v>
      </c>
    </row>
    <row r="7522" spans="1:7" x14ac:dyDescent="0.25">
      <c r="A7522" s="2">
        <v>7521</v>
      </c>
      <c r="B7522" s="3" t="s">
        <v>42</v>
      </c>
      <c r="C7522" s="4" t="str">
        <f t="shared" si="630"/>
        <v>Kon Tum</v>
      </c>
      <c r="D7522" s="3" t="s">
        <v>510</v>
      </c>
      <c r="E7522" s="4" t="str">
        <f>HYPERLINK("https://diaocthongthai.com/ban-do-huyen-ia-h'-drai-kon-tum/","Huyện Ia H' Drai")</f>
        <v>Huyện Ia H' Drai</v>
      </c>
      <c r="F7522" s="3" t="s">
        <v>8282</v>
      </c>
      <c r="G7522" s="4" t="str">
        <f>HYPERLINK("https://diaocthongthai.com/xa-ia-toi-ia-hdrai/","Xã Ia Tơi")</f>
        <v>Xã Ia Tơi</v>
      </c>
    </row>
    <row r="7523" spans="1:7" x14ac:dyDescent="0.25">
      <c r="A7523" s="2">
        <v>7522</v>
      </c>
      <c r="B7523" s="3" t="s">
        <v>43</v>
      </c>
      <c r="C7523" s="4" t="str">
        <f t="shared" ref="C7523:C7586" si="631">HYPERLINK("https://diaocthongthai.com/ban-do-gia-lai/","Gia Lai")</f>
        <v>Gia Lai</v>
      </c>
      <c r="D7523" s="3" t="s">
        <v>511</v>
      </c>
      <c r="E7523" s="4" t="str">
        <f t="shared" ref="E7523:E7544" si="632">HYPERLINK("https://diaocthongthai.com/ban-do-tp-pleiku-gia-lai/","Thành phố Pleiku")</f>
        <v>Thành phố Pleiku</v>
      </c>
      <c r="F7523" s="3" t="s">
        <v>8283</v>
      </c>
      <c r="G7523" s="4" t="str">
        <f>HYPERLINK("https://diaocthongthai.com/phuong-yen-do-tp-pleiku/","Phường Yên Đỗ")</f>
        <v>Phường Yên Đỗ</v>
      </c>
    </row>
    <row r="7524" spans="1:7" x14ac:dyDescent="0.25">
      <c r="A7524" s="2">
        <v>7523</v>
      </c>
      <c r="B7524" s="3" t="s">
        <v>43</v>
      </c>
      <c r="C7524" s="4" t="str">
        <f t="shared" si="631"/>
        <v>Gia Lai</v>
      </c>
      <c r="D7524" s="3" t="s">
        <v>511</v>
      </c>
      <c r="E7524" s="4" t="str">
        <f t="shared" si="632"/>
        <v>Thành phố Pleiku</v>
      </c>
      <c r="F7524" s="3" t="s">
        <v>8284</v>
      </c>
      <c r="G7524" s="4" t="str">
        <f>HYPERLINK("https://diaocthongthai.com/phuong-dien-hong-tp-pleiku/","Phường Diên Hồng")</f>
        <v>Phường Diên Hồng</v>
      </c>
    </row>
    <row r="7525" spans="1:7" x14ac:dyDescent="0.25">
      <c r="A7525" s="2">
        <v>7524</v>
      </c>
      <c r="B7525" s="3" t="s">
        <v>43</v>
      </c>
      <c r="C7525" s="4" t="str">
        <f t="shared" si="631"/>
        <v>Gia Lai</v>
      </c>
      <c r="D7525" s="3" t="s">
        <v>511</v>
      </c>
      <c r="E7525" s="4" t="str">
        <f t="shared" si="632"/>
        <v>Thành phố Pleiku</v>
      </c>
      <c r="F7525" s="3" t="s">
        <v>8285</v>
      </c>
      <c r="G7525" s="4" t="str">
        <f>HYPERLINK("https://diaocthongthai.com/phuong-ia-kring-tp-pleiku/","Phường Ia Kring")</f>
        <v>Phường Ia Kring</v>
      </c>
    </row>
    <row r="7526" spans="1:7" x14ac:dyDescent="0.25">
      <c r="A7526" s="2">
        <v>7525</v>
      </c>
      <c r="B7526" s="3" t="s">
        <v>43</v>
      </c>
      <c r="C7526" s="4" t="str">
        <f t="shared" si="631"/>
        <v>Gia Lai</v>
      </c>
      <c r="D7526" s="3" t="s">
        <v>511</v>
      </c>
      <c r="E7526" s="4" t="str">
        <f t="shared" si="632"/>
        <v>Thành phố Pleiku</v>
      </c>
      <c r="F7526" s="3" t="s">
        <v>8286</v>
      </c>
      <c r="G7526" s="4" t="str">
        <f>HYPERLINK("https://diaocthongthai.com/phuong-hoi-thuong-tp-pleiku/","Phường Hội Thương")</f>
        <v>Phường Hội Thương</v>
      </c>
    </row>
    <row r="7527" spans="1:7" x14ac:dyDescent="0.25">
      <c r="A7527" s="2">
        <v>7526</v>
      </c>
      <c r="B7527" s="3" t="s">
        <v>43</v>
      </c>
      <c r="C7527" s="4" t="str">
        <f t="shared" si="631"/>
        <v>Gia Lai</v>
      </c>
      <c r="D7527" s="3" t="s">
        <v>511</v>
      </c>
      <c r="E7527" s="4" t="str">
        <f t="shared" si="632"/>
        <v>Thành phố Pleiku</v>
      </c>
      <c r="F7527" s="3" t="s">
        <v>8287</v>
      </c>
      <c r="G7527" s="4" t="str">
        <f>HYPERLINK("https://diaocthongthai.com/phuong-hoi-phu-tp-pleiku/","Phường Hội Phú")</f>
        <v>Phường Hội Phú</v>
      </c>
    </row>
    <row r="7528" spans="1:7" x14ac:dyDescent="0.25">
      <c r="A7528" s="2">
        <v>7527</v>
      </c>
      <c r="B7528" s="3" t="s">
        <v>43</v>
      </c>
      <c r="C7528" s="4" t="str">
        <f t="shared" si="631"/>
        <v>Gia Lai</v>
      </c>
      <c r="D7528" s="3" t="s">
        <v>511</v>
      </c>
      <c r="E7528" s="4" t="str">
        <f t="shared" si="632"/>
        <v>Thành phố Pleiku</v>
      </c>
      <c r="F7528" s="3" t="s">
        <v>8288</v>
      </c>
      <c r="G7528" s="4" t="str">
        <f>HYPERLINK("https://diaocthongthai.com/phuong-phu-dong-tp-pleiku/","Phường Phù Đổng")</f>
        <v>Phường Phù Đổng</v>
      </c>
    </row>
    <row r="7529" spans="1:7" x14ac:dyDescent="0.25">
      <c r="A7529" s="2">
        <v>7528</v>
      </c>
      <c r="B7529" s="3" t="s">
        <v>43</v>
      </c>
      <c r="C7529" s="4" t="str">
        <f t="shared" si="631"/>
        <v>Gia Lai</v>
      </c>
      <c r="D7529" s="3" t="s">
        <v>511</v>
      </c>
      <c r="E7529" s="4" t="str">
        <f t="shared" si="632"/>
        <v>Thành phố Pleiku</v>
      </c>
      <c r="F7529" s="3" t="s">
        <v>8289</v>
      </c>
      <c r="G7529" s="4" t="str">
        <f>HYPERLINK("https://diaocthongthai.com/phuong-hoa-lu-tp-pleiku/","Phường Hoa Lư")</f>
        <v>Phường Hoa Lư</v>
      </c>
    </row>
    <row r="7530" spans="1:7" x14ac:dyDescent="0.25">
      <c r="A7530" s="2">
        <v>7529</v>
      </c>
      <c r="B7530" s="3" t="s">
        <v>43</v>
      </c>
      <c r="C7530" s="4" t="str">
        <f t="shared" si="631"/>
        <v>Gia Lai</v>
      </c>
      <c r="D7530" s="3" t="s">
        <v>511</v>
      </c>
      <c r="E7530" s="4" t="str">
        <f t="shared" si="632"/>
        <v>Thành phố Pleiku</v>
      </c>
      <c r="F7530" s="3" t="s">
        <v>8290</v>
      </c>
      <c r="G7530" s="4" t="str">
        <f>HYPERLINK("https://diaocthongthai.com/phuong-tay-son-tp-pleiku/","Phường Tây Sơn")</f>
        <v>Phường Tây Sơn</v>
      </c>
    </row>
    <row r="7531" spans="1:7" x14ac:dyDescent="0.25">
      <c r="A7531" s="2">
        <v>7530</v>
      </c>
      <c r="B7531" s="3" t="s">
        <v>43</v>
      </c>
      <c r="C7531" s="4" t="str">
        <f t="shared" si="631"/>
        <v>Gia Lai</v>
      </c>
      <c r="D7531" s="3" t="s">
        <v>511</v>
      </c>
      <c r="E7531" s="4" t="str">
        <f t="shared" si="632"/>
        <v>Thành phố Pleiku</v>
      </c>
      <c r="F7531" s="3" t="s">
        <v>8291</v>
      </c>
      <c r="G7531" s="4" t="str">
        <f>HYPERLINK("https://diaocthongthai.com/phuong-thong-nhat-tp-pleiku/","Phường Thống Nhất")</f>
        <v>Phường Thống Nhất</v>
      </c>
    </row>
    <row r="7532" spans="1:7" x14ac:dyDescent="0.25">
      <c r="A7532" s="2">
        <v>7531</v>
      </c>
      <c r="B7532" s="3" t="s">
        <v>43</v>
      </c>
      <c r="C7532" s="4" t="str">
        <f t="shared" si="631"/>
        <v>Gia Lai</v>
      </c>
      <c r="D7532" s="3" t="s">
        <v>511</v>
      </c>
      <c r="E7532" s="4" t="str">
        <f t="shared" si="632"/>
        <v>Thành phố Pleiku</v>
      </c>
      <c r="F7532" s="3" t="s">
        <v>8292</v>
      </c>
      <c r="G7532" s="4" t="str">
        <f>HYPERLINK("https://diaocthongthai.com/phuong-dong-da-tp-pleiku/","Phường Đống Đa")</f>
        <v>Phường Đống Đa</v>
      </c>
    </row>
    <row r="7533" spans="1:7" x14ac:dyDescent="0.25">
      <c r="A7533" s="2">
        <v>7532</v>
      </c>
      <c r="B7533" s="3" t="s">
        <v>43</v>
      </c>
      <c r="C7533" s="4" t="str">
        <f t="shared" si="631"/>
        <v>Gia Lai</v>
      </c>
      <c r="D7533" s="3" t="s">
        <v>511</v>
      </c>
      <c r="E7533" s="4" t="str">
        <f t="shared" si="632"/>
        <v>Thành phố Pleiku</v>
      </c>
      <c r="F7533" s="3" t="s">
        <v>8293</v>
      </c>
      <c r="G7533" s="4" t="str">
        <f>HYPERLINK("https://diaocthongthai.com/phuong-tra-ba-tp-pleiku/","Phường Trà Bá")</f>
        <v>Phường Trà Bá</v>
      </c>
    </row>
    <row r="7534" spans="1:7" x14ac:dyDescent="0.25">
      <c r="A7534" s="2">
        <v>7533</v>
      </c>
      <c r="B7534" s="3" t="s">
        <v>43</v>
      </c>
      <c r="C7534" s="4" t="str">
        <f t="shared" si="631"/>
        <v>Gia Lai</v>
      </c>
      <c r="D7534" s="3" t="s">
        <v>511</v>
      </c>
      <c r="E7534" s="4" t="str">
        <f t="shared" si="632"/>
        <v>Thành phố Pleiku</v>
      </c>
      <c r="F7534" s="3" t="s">
        <v>8294</v>
      </c>
      <c r="G7534" s="4" t="str">
        <f>HYPERLINK("https://diaocthongthai.com/phuong-thang-loi-tp-pleiku/","Phường Thắng Lợi")</f>
        <v>Phường Thắng Lợi</v>
      </c>
    </row>
    <row r="7535" spans="1:7" x14ac:dyDescent="0.25">
      <c r="A7535" s="2">
        <v>7534</v>
      </c>
      <c r="B7535" s="3" t="s">
        <v>43</v>
      </c>
      <c r="C7535" s="4" t="str">
        <f t="shared" si="631"/>
        <v>Gia Lai</v>
      </c>
      <c r="D7535" s="3" t="s">
        <v>511</v>
      </c>
      <c r="E7535" s="4" t="str">
        <f t="shared" si="632"/>
        <v>Thành phố Pleiku</v>
      </c>
      <c r="F7535" s="3" t="s">
        <v>8295</v>
      </c>
      <c r="G7535" s="4" t="str">
        <f>HYPERLINK("https://diaocthongthai.com/phuong-yen-the-tp-pleiku/","Phường Yên Thế")</f>
        <v>Phường Yên Thế</v>
      </c>
    </row>
    <row r="7536" spans="1:7" x14ac:dyDescent="0.25">
      <c r="A7536" s="2">
        <v>7535</v>
      </c>
      <c r="B7536" s="3" t="s">
        <v>43</v>
      </c>
      <c r="C7536" s="4" t="str">
        <f t="shared" si="631"/>
        <v>Gia Lai</v>
      </c>
      <c r="D7536" s="3" t="s">
        <v>511</v>
      </c>
      <c r="E7536" s="4" t="str">
        <f t="shared" si="632"/>
        <v>Thành phố Pleiku</v>
      </c>
      <c r="F7536" s="3" t="s">
        <v>8296</v>
      </c>
      <c r="G7536" s="4" t="str">
        <f>HYPERLINK("https://diaocthongthai.com/phuong-chi-lang-tp-pleiku/","Phường Chi Lăng")</f>
        <v>Phường Chi Lăng</v>
      </c>
    </row>
    <row r="7537" spans="1:7" x14ac:dyDescent="0.25">
      <c r="A7537" s="2">
        <v>7536</v>
      </c>
      <c r="B7537" s="3" t="s">
        <v>43</v>
      </c>
      <c r="C7537" s="4" t="str">
        <f t="shared" si="631"/>
        <v>Gia Lai</v>
      </c>
      <c r="D7537" s="3" t="s">
        <v>511</v>
      </c>
      <c r="E7537" s="4" t="str">
        <f t="shared" si="632"/>
        <v>Thành phố Pleiku</v>
      </c>
      <c r="F7537" s="3" t="s">
        <v>8297</v>
      </c>
      <c r="G7537" s="4" t="str">
        <f>HYPERLINK("https://diaocthongthai.com/xa-bien-ho-tp-pleiku/","Xã Biển Hồ")</f>
        <v>Xã Biển Hồ</v>
      </c>
    </row>
    <row r="7538" spans="1:7" x14ac:dyDescent="0.25">
      <c r="A7538" s="2">
        <v>7537</v>
      </c>
      <c r="B7538" s="3" t="s">
        <v>43</v>
      </c>
      <c r="C7538" s="4" t="str">
        <f t="shared" si="631"/>
        <v>Gia Lai</v>
      </c>
      <c r="D7538" s="3" t="s">
        <v>511</v>
      </c>
      <c r="E7538" s="4" t="str">
        <f t="shared" si="632"/>
        <v>Thành phố Pleiku</v>
      </c>
      <c r="F7538" s="3" t="s">
        <v>8298</v>
      </c>
      <c r="G7538" s="4" t="str">
        <f>HYPERLINK("https://diaocthongthai.com/xa-tan-son-tp-pleiku/","Xã Tân Sơn")</f>
        <v>Xã Tân Sơn</v>
      </c>
    </row>
    <row r="7539" spans="1:7" x14ac:dyDescent="0.25">
      <c r="A7539" s="2">
        <v>7538</v>
      </c>
      <c r="B7539" s="3" t="s">
        <v>43</v>
      </c>
      <c r="C7539" s="4" t="str">
        <f t="shared" si="631"/>
        <v>Gia Lai</v>
      </c>
      <c r="D7539" s="3" t="s">
        <v>511</v>
      </c>
      <c r="E7539" s="4" t="str">
        <f t="shared" si="632"/>
        <v>Thành phố Pleiku</v>
      </c>
      <c r="F7539" s="3" t="s">
        <v>8299</v>
      </c>
      <c r="G7539" s="4" t="str">
        <f>HYPERLINK("https://diaocthongthai.com/xa-tra-da-tp-pleiku/","Xã Trà Đa")</f>
        <v>Xã Trà Đa</v>
      </c>
    </row>
    <row r="7540" spans="1:7" x14ac:dyDescent="0.25">
      <c r="A7540" s="2">
        <v>7539</v>
      </c>
      <c r="B7540" s="3" t="s">
        <v>43</v>
      </c>
      <c r="C7540" s="4" t="str">
        <f t="shared" si="631"/>
        <v>Gia Lai</v>
      </c>
      <c r="D7540" s="3" t="s">
        <v>511</v>
      </c>
      <c r="E7540" s="4" t="str">
        <f t="shared" si="632"/>
        <v>Thành phố Pleiku</v>
      </c>
      <c r="F7540" s="3" t="s">
        <v>8300</v>
      </c>
      <c r="G7540" s="4" t="str">
        <f>HYPERLINK("https://diaocthongthai.com/xa-chu-a-tp-pleiku/","Xã Chư Á")</f>
        <v>Xã Chư Á</v>
      </c>
    </row>
    <row r="7541" spans="1:7" x14ac:dyDescent="0.25">
      <c r="A7541" s="2">
        <v>7540</v>
      </c>
      <c r="B7541" s="3" t="s">
        <v>43</v>
      </c>
      <c r="C7541" s="4" t="str">
        <f t="shared" si="631"/>
        <v>Gia Lai</v>
      </c>
      <c r="D7541" s="3" t="s">
        <v>511</v>
      </c>
      <c r="E7541" s="4" t="str">
        <f t="shared" si="632"/>
        <v>Thành phố Pleiku</v>
      </c>
      <c r="F7541" s="3" t="s">
        <v>8301</v>
      </c>
      <c r="G7541" s="4" t="str">
        <f>HYPERLINK("https://diaocthongthai.com/xa-an-phu-tp-pleiku/","Xã An Phú")</f>
        <v>Xã An Phú</v>
      </c>
    </row>
    <row r="7542" spans="1:7" x14ac:dyDescent="0.25">
      <c r="A7542" s="2">
        <v>7541</v>
      </c>
      <c r="B7542" s="3" t="s">
        <v>43</v>
      </c>
      <c r="C7542" s="4" t="str">
        <f t="shared" si="631"/>
        <v>Gia Lai</v>
      </c>
      <c r="D7542" s="3" t="s">
        <v>511</v>
      </c>
      <c r="E7542" s="4" t="str">
        <f t="shared" si="632"/>
        <v>Thành phố Pleiku</v>
      </c>
      <c r="F7542" s="3" t="s">
        <v>8302</v>
      </c>
      <c r="G7542" s="4" t="str">
        <f>HYPERLINK("https://diaocthongthai.com/xa-dien-phu-tp-pleiku/","Xã Diên Phú")</f>
        <v>Xã Diên Phú</v>
      </c>
    </row>
    <row r="7543" spans="1:7" x14ac:dyDescent="0.25">
      <c r="A7543" s="2">
        <v>7542</v>
      </c>
      <c r="B7543" s="3" t="s">
        <v>43</v>
      </c>
      <c r="C7543" s="4" t="str">
        <f t="shared" si="631"/>
        <v>Gia Lai</v>
      </c>
      <c r="D7543" s="3" t="s">
        <v>511</v>
      </c>
      <c r="E7543" s="4" t="str">
        <f t="shared" si="632"/>
        <v>Thành phố Pleiku</v>
      </c>
      <c r="F7543" s="3" t="s">
        <v>8303</v>
      </c>
      <c r="G7543" s="4" t="str">
        <f>HYPERLINK("https://diaocthongthai.com/xa-ia-kenh-tp-pleiku/","Xã Ia Kênh")</f>
        <v>Xã Ia Kênh</v>
      </c>
    </row>
    <row r="7544" spans="1:7" x14ac:dyDescent="0.25">
      <c r="A7544" s="2">
        <v>7543</v>
      </c>
      <c r="B7544" s="3" t="s">
        <v>43</v>
      </c>
      <c r="C7544" s="4" t="str">
        <f t="shared" si="631"/>
        <v>Gia Lai</v>
      </c>
      <c r="D7544" s="3" t="s">
        <v>511</v>
      </c>
      <c r="E7544" s="4" t="str">
        <f t="shared" si="632"/>
        <v>Thành phố Pleiku</v>
      </c>
      <c r="F7544" s="3" t="s">
        <v>8304</v>
      </c>
      <c r="G7544" s="4" t="str">
        <f>HYPERLINK("https://diaocthongthai.com/xa-gao-tp-pleiku/","Xã Gào")</f>
        <v>Xã Gào</v>
      </c>
    </row>
    <row r="7545" spans="1:7" x14ac:dyDescent="0.25">
      <c r="A7545" s="2">
        <v>7544</v>
      </c>
      <c r="B7545" s="3" t="s">
        <v>43</v>
      </c>
      <c r="C7545" s="4" t="str">
        <f t="shared" si="631"/>
        <v>Gia Lai</v>
      </c>
      <c r="D7545" s="3" t="s">
        <v>512</v>
      </c>
      <c r="E7545" s="4" t="str">
        <f t="shared" ref="E7545:E7555" si="633">HYPERLINK("https://diaocthongthai.com/ban-do-thi-xa-an-khe-gia-lai/","Thị xã An Khê")</f>
        <v>Thị xã An Khê</v>
      </c>
      <c r="F7545" s="3" t="s">
        <v>8305</v>
      </c>
      <c r="G7545" s="4" t="str">
        <f>HYPERLINK("https://diaocthongthai.com/phuong-an-binh-an-khe/","Phường An Bình")</f>
        <v>Phường An Bình</v>
      </c>
    </row>
    <row r="7546" spans="1:7" x14ac:dyDescent="0.25">
      <c r="A7546" s="2">
        <v>7545</v>
      </c>
      <c r="B7546" s="3" t="s">
        <v>43</v>
      </c>
      <c r="C7546" s="4" t="str">
        <f t="shared" si="631"/>
        <v>Gia Lai</v>
      </c>
      <c r="D7546" s="3" t="s">
        <v>512</v>
      </c>
      <c r="E7546" s="4" t="str">
        <f t="shared" si="633"/>
        <v>Thị xã An Khê</v>
      </c>
      <c r="F7546" s="3" t="s">
        <v>8306</v>
      </c>
      <c r="G7546" s="4" t="str">
        <f>HYPERLINK("https://diaocthongthai.com/phuong-tay-son-an-khe/","Phường Tây Sơn")</f>
        <v>Phường Tây Sơn</v>
      </c>
    </row>
    <row r="7547" spans="1:7" x14ac:dyDescent="0.25">
      <c r="A7547" s="2">
        <v>7546</v>
      </c>
      <c r="B7547" s="3" t="s">
        <v>43</v>
      </c>
      <c r="C7547" s="4" t="str">
        <f t="shared" si="631"/>
        <v>Gia Lai</v>
      </c>
      <c r="D7547" s="3" t="s">
        <v>512</v>
      </c>
      <c r="E7547" s="4" t="str">
        <f t="shared" si="633"/>
        <v>Thị xã An Khê</v>
      </c>
      <c r="F7547" s="3" t="s">
        <v>8307</v>
      </c>
      <c r="G7547" s="4" t="str">
        <f>HYPERLINK("https://diaocthongthai.com/phuong-an-phu-an-khe/","Phường An Phú")</f>
        <v>Phường An Phú</v>
      </c>
    </row>
    <row r="7548" spans="1:7" x14ac:dyDescent="0.25">
      <c r="A7548" s="2">
        <v>7547</v>
      </c>
      <c r="B7548" s="3" t="s">
        <v>43</v>
      </c>
      <c r="C7548" s="4" t="str">
        <f t="shared" si="631"/>
        <v>Gia Lai</v>
      </c>
      <c r="D7548" s="3" t="s">
        <v>512</v>
      </c>
      <c r="E7548" s="4" t="str">
        <f t="shared" si="633"/>
        <v>Thị xã An Khê</v>
      </c>
      <c r="F7548" s="3" t="s">
        <v>8308</v>
      </c>
      <c r="G7548" s="4" t="str">
        <f>HYPERLINK("https://diaocthongthai.com/phuong-an-tan-an-khe/","Phường An Tân")</f>
        <v>Phường An Tân</v>
      </c>
    </row>
    <row r="7549" spans="1:7" x14ac:dyDescent="0.25">
      <c r="A7549" s="2">
        <v>7548</v>
      </c>
      <c r="B7549" s="3" t="s">
        <v>43</v>
      </c>
      <c r="C7549" s="4" t="str">
        <f t="shared" si="631"/>
        <v>Gia Lai</v>
      </c>
      <c r="D7549" s="3" t="s">
        <v>512</v>
      </c>
      <c r="E7549" s="4" t="str">
        <f t="shared" si="633"/>
        <v>Thị xã An Khê</v>
      </c>
      <c r="F7549" s="3" t="s">
        <v>8309</v>
      </c>
      <c r="G7549" s="4" t="str">
        <f>HYPERLINK("https://diaocthongthai.com/xa-tu-an-an-khe/","Xã Tú An")</f>
        <v>Xã Tú An</v>
      </c>
    </row>
    <row r="7550" spans="1:7" x14ac:dyDescent="0.25">
      <c r="A7550" s="2">
        <v>7549</v>
      </c>
      <c r="B7550" s="3" t="s">
        <v>43</v>
      </c>
      <c r="C7550" s="4" t="str">
        <f t="shared" si="631"/>
        <v>Gia Lai</v>
      </c>
      <c r="D7550" s="3" t="s">
        <v>512</v>
      </c>
      <c r="E7550" s="4" t="str">
        <f t="shared" si="633"/>
        <v>Thị xã An Khê</v>
      </c>
      <c r="F7550" s="3" t="s">
        <v>8310</v>
      </c>
      <c r="G7550" s="4" t="str">
        <f>HYPERLINK("https://diaocthongthai.com/xa-xuan-an-an-khe/","Xã Xuân An")</f>
        <v>Xã Xuân An</v>
      </c>
    </row>
    <row r="7551" spans="1:7" x14ac:dyDescent="0.25">
      <c r="A7551" s="2">
        <v>7550</v>
      </c>
      <c r="B7551" s="3" t="s">
        <v>43</v>
      </c>
      <c r="C7551" s="4" t="str">
        <f t="shared" si="631"/>
        <v>Gia Lai</v>
      </c>
      <c r="D7551" s="3" t="s">
        <v>512</v>
      </c>
      <c r="E7551" s="4" t="str">
        <f t="shared" si="633"/>
        <v>Thị xã An Khê</v>
      </c>
      <c r="F7551" s="3" t="s">
        <v>8311</v>
      </c>
      <c r="G7551" s="4" t="str">
        <f>HYPERLINK("https://diaocthongthai.com/xa-cuu-an-an-khe/","Xã Cửu An")</f>
        <v>Xã Cửu An</v>
      </c>
    </row>
    <row r="7552" spans="1:7" x14ac:dyDescent="0.25">
      <c r="A7552" s="2">
        <v>7551</v>
      </c>
      <c r="B7552" s="3" t="s">
        <v>43</v>
      </c>
      <c r="C7552" s="4" t="str">
        <f t="shared" si="631"/>
        <v>Gia Lai</v>
      </c>
      <c r="D7552" s="3" t="s">
        <v>512</v>
      </c>
      <c r="E7552" s="4" t="str">
        <f t="shared" si="633"/>
        <v>Thị xã An Khê</v>
      </c>
      <c r="F7552" s="3" t="s">
        <v>8312</v>
      </c>
      <c r="G7552" s="4" t="str">
        <f>HYPERLINK("https://diaocthongthai.com/phuong-an-phuoc-an-khe/","Phường An Phước")</f>
        <v>Phường An Phước</v>
      </c>
    </row>
    <row r="7553" spans="1:7" x14ac:dyDescent="0.25">
      <c r="A7553" s="2">
        <v>7552</v>
      </c>
      <c r="B7553" s="3" t="s">
        <v>43</v>
      </c>
      <c r="C7553" s="4" t="str">
        <f t="shared" si="631"/>
        <v>Gia Lai</v>
      </c>
      <c r="D7553" s="3" t="s">
        <v>512</v>
      </c>
      <c r="E7553" s="4" t="str">
        <f t="shared" si="633"/>
        <v>Thị xã An Khê</v>
      </c>
      <c r="F7553" s="3" t="s">
        <v>8313</v>
      </c>
      <c r="G7553" s="4" t="str">
        <f>HYPERLINK("https://diaocthongthai.com/xa-song-an-an-khe/","Xã Song An")</f>
        <v>Xã Song An</v>
      </c>
    </row>
    <row r="7554" spans="1:7" x14ac:dyDescent="0.25">
      <c r="A7554" s="2">
        <v>7553</v>
      </c>
      <c r="B7554" s="3" t="s">
        <v>43</v>
      </c>
      <c r="C7554" s="4" t="str">
        <f t="shared" si="631"/>
        <v>Gia Lai</v>
      </c>
      <c r="D7554" s="3" t="s">
        <v>512</v>
      </c>
      <c r="E7554" s="4" t="str">
        <f t="shared" si="633"/>
        <v>Thị xã An Khê</v>
      </c>
      <c r="F7554" s="3" t="s">
        <v>8314</v>
      </c>
      <c r="G7554" s="4" t="str">
        <f>HYPERLINK("https://diaocthongthai.com/phuong-ngo-may-an-khe/","Phường Ngô Mây")</f>
        <v>Phường Ngô Mây</v>
      </c>
    </row>
    <row r="7555" spans="1:7" x14ac:dyDescent="0.25">
      <c r="A7555" s="2">
        <v>7554</v>
      </c>
      <c r="B7555" s="3" t="s">
        <v>43</v>
      </c>
      <c r="C7555" s="4" t="str">
        <f t="shared" si="631"/>
        <v>Gia Lai</v>
      </c>
      <c r="D7555" s="3" t="s">
        <v>512</v>
      </c>
      <c r="E7555" s="4" t="str">
        <f t="shared" si="633"/>
        <v>Thị xã An Khê</v>
      </c>
      <c r="F7555" s="3" t="s">
        <v>8315</v>
      </c>
      <c r="G7555" s="4" t="str">
        <f>HYPERLINK("https://diaocthongthai.com/xa-thanh-an-an-khe/","Xã Thành An")</f>
        <v>Xã Thành An</v>
      </c>
    </row>
    <row r="7556" spans="1:7" x14ac:dyDescent="0.25">
      <c r="A7556" s="2">
        <v>7555</v>
      </c>
      <c r="B7556" s="3" t="s">
        <v>43</v>
      </c>
      <c r="C7556" s="4" t="str">
        <f t="shared" si="631"/>
        <v>Gia Lai</v>
      </c>
      <c r="D7556" s="3" t="s">
        <v>513</v>
      </c>
      <c r="E7556" s="4" t="str">
        <f t="shared" ref="E7556:E7563" si="634">HYPERLINK("https://diaocthongthai.com/ban-do-thi-xa-ayun-pa-gia-lai/","Thị xã Ayun Pa")</f>
        <v>Thị xã Ayun Pa</v>
      </c>
      <c r="F7556" s="3" t="s">
        <v>8316</v>
      </c>
      <c r="G7556" s="4" t="str">
        <f>HYPERLINK("https://diaocthongthai.com/phuong-cheo-reo-ayun-pa/","Phường Cheo Reo")</f>
        <v>Phường Cheo Reo</v>
      </c>
    </row>
    <row r="7557" spans="1:7" x14ac:dyDescent="0.25">
      <c r="A7557" s="2">
        <v>7556</v>
      </c>
      <c r="B7557" s="3" t="s">
        <v>43</v>
      </c>
      <c r="C7557" s="4" t="str">
        <f t="shared" si="631"/>
        <v>Gia Lai</v>
      </c>
      <c r="D7557" s="3" t="s">
        <v>513</v>
      </c>
      <c r="E7557" s="4" t="str">
        <f t="shared" si="634"/>
        <v>Thị xã Ayun Pa</v>
      </c>
      <c r="F7557" s="3" t="s">
        <v>8317</v>
      </c>
      <c r="G7557" s="4" t="str">
        <f>HYPERLINK("https://diaocthongthai.com/phuong-hoa-binh-ayun-pa/","Phường Hòa Bình")</f>
        <v>Phường Hòa Bình</v>
      </c>
    </row>
    <row r="7558" spans="1:7" x14ac:dyDescent="0.25">
      <c r="A7558" s="2">
        <v>7557</v>
      </c>
      <c r="B7558" s="3" t="s">
        <v>43</v>
      </c>
      <c r="C7558" s="4" t="str">
        <f t="shared" si="631"/>
        <v>Gia Lai</v>
      </c>
      <c r="D7558" s="3" t="s">
        <v>513</v>
      </c>
      <c r="E7558" s="4" t="str">
        <f t="shared" si="634"/>
        <v>Thị xã Ayun Pa</v>
      </c>
      <c r="F7558" s="3" t="s">
        <v>8318</v>
      </c>
      <c r="G7558" s="4" t="str">
        <f>HYPERLINK("https://diaocthongthai.com/phuong-doan-ket-ayun-pa/","Phường Đoàn Kết")</f>
        <v>Phường Đoàn Kết</v>
      </c>
    </row>
    <row r="7559" spans="1:7" x14ac:dyDescent="0.25">
      <c r="A7559" s="2">
        <v>7558</v>
      </c>
      <c r="B7559" s="3" t="s">
        <v>43</v>
      </c>
      <c r="C7559" s="4" t="str">
        <f t="shared" si="631"/>
        <v>Gia Lai</v>
      </c>
      <c r="D7559" s="3" t="s">
        <v>513</v>
      </c>
      <c r="E7559" s="4" t="str">
        <f t="shared" si="634"/>
        <v>Thị xã Ayun Pa</v>
      </c>
      <c r="F7559" s="3" t="s">
        <v>8319</v>
      </c>
      <c r="G7559" s="4" t="str">
        <f>HYPERLINK("https://diaocthongthai.com/phuong-song-bo-ayun-pa/","Phường Sông Bờ")</f>
        <v>Phường Sông Bờ</v>
      </c>
    </row>
    <row r="7560" spans="1:7" x14ac:dyDescent="0.25">
      <c r="A7560" s="2">
        <v>7559</v>
      </c>
      <c r="B7560" s="3" t="s">
        <v>43</v>
      </c>
      <c r="C7560" s="4" t="str">
        <f t="shared" si="631"/>
        <v>Gia Lai</v>
      </c>
      <c r="D7560" s="3" t="s">
        <v>513</v>
      </c>
      <c r="E7560" s="4" t="str">
        <f t="shared" si="634"/>
        <v>Thị xã Ayun Pa</v>
      </c>
      <c r="F7560" s="3" t="s">
        <v>8320</v>
      </c>
      <c r="G7560" s="4" t="str">
        <f>HYPERLINK("https://diaocthongthai.com/xa-ia-rbol-ayun-pa/","Xã Ia RBol")</f>
        <v>Xã Ia RBol</v>
      </c>
    </row>
    <row r="7561" spans="1:7" x14ac:dyDescent="0.25">
      <c r="A7561" s="2">
        <v>7560</v>
      </c>
      <c r="B7561" s="3" t="s">
        <v>43</v>
      </c>
      <c r="C7561" s="4" t="str">
        <f t="shared" si="631"/>
        <v>Gia Lai</v>
      </c>
      <c r="D7561" s="3" t="s">
        <v>513</v>
      </c>
      <c r="E7561" s="4" t="str">
        <f t="shared" si="634"/>
        <v>Thị xã Ayun Pa</v>
      </c>
      <c r="F7561" s="3" t="s">
        <v>8321</v>
      </c>
      <c r="G7561" s="4" t="str">
        <f>HYPERLINK("https://diaocthongthai.com/xa-chu-bah-ayun-pa/","Xã Chư Băh")</f>
        <v>Xã Chư Băh</v>
      </c>
    </row>
    <row r="7562" spans="1:7" x14ac:dyDescent="0.25">
      <c r="A7562" s="2">
        <v>7561</v>
      </c>
      <c r="B7562" s="3" t="s">
        <v>43</v>
      </c>
      <c r="C7562" s="4" t="str">
        <f t="shared" si="631"/>
        <v>Gia Lai</v>
      </c>
      <c r="D7562" s="3" t="s">
        <v>513</v>
      </c>
      <c r="E7562" s="4" t="str">
        <f t="shared" si="634"/>
        <v>Thị xã Ayun Pa</v>
      </c>
      <c r="F7562" s="3" t="s">
        <v>8322</v>
      </c>
      <c r="G7562" s="4" t="str">
        <f>HYPERLINK("https://diaocthongthai.com/xa-ia-r-to-ayun-pa/","Xã Ia RTô")</f>
        <v>Xã Ia RTô</v>
      </c>
    </row>
    <row r="7563" spans="1:7" x14ac:dyDescent="0.25">
      <c r="A7563" s="2">
        <v>7562</v>
      </c>
      <c r="B7563" s="3" t="s">
        <v>43</v>
      </c>
      <c r="C7563" s="4" t="str">
        <f t="shared" si="631"/>
        <v>Gia Lai</v>
      </c>
      <c r="D7563" s="3" t="s">
        <v>513</v>
      </c>
      <c r="E7563" s="4" t="str">
        <f t="shared" si="634"/>
        <v>Thị xã Ayun Pa</v>
      </c>
      <c r="F7563" s="3" t="s">
        <v>8323</v>
      </c>
      <c r="G7563" s="4" t="str">
        <f>HYPERLINK("https://diaocthongthai.com/xa-ia-sao-ayun-pa/","Xã Ia Sao")</f>
        <v>Xã Ia Sao</v>
      </c>
    </row>
    <row r="7564" spans="1:7" x14ac:dyDescent="0.25">
      <c r="A7564" s="2">
        <v>7563</v>
      </c>
      <c r="B7564" s="3" t="s">
        <v>43</v>
      </c>
      <c r="C7564" s="4" t="str">
        <f t="shared" si="631"/>
        <v>Gia Lai</v>
      </c>
      <c r="D7564" s="3" t="s">
        <v>514</v>
      </c>
      <c r="E7564" s="4" t="str">
        <f t="shared" ref="E7564:E7577" si="635">HYPERLINK("https://diaocthongthai.com/ban-do-huyen-kbang-gia-lai/","Huyện KBang")</f>
        <v>Huyện KBang</v>
      </c>
      <c r="F7564" s="3" t="s">
        <v>8324</v>
      </c>
      <c r="G7564" s="4" t="str">
        <f>HYPERLINK("https://diaocthongthai.com/thi-tran-kbang-kbang/","Thị trấn KBang")</f>
        <v>Thị trấn KBang</v>
      </c>
    </row>
    <row r="7565" spans="1:7" x14ac:dyDescent="0.25">
      <c r="A7565" s="2">
        <v>7564</v>
      </c>
      <c r="B7565" s="3" t="s">
        <v>43</v>
      </c>
      <c r="C7565" s="4" t="str">
        <f t="shared" si="631"/>
        <v>Gia Lai</v>
      </c>
      <c r="D7565" s="3" t="s">
        <v>514</v>
      </c>
      <c r="E7565" s="4" t="str">
        <f t="shared" si="635"/>
        <v>Huyện KBang</v>
      </c>
      <c r="F7565" s="3" t="s">
        <v>8325</v>
      </c>
      <c r="G7565" s="4" t="str">
        <f>HYPERLINK("https://diaocthongthai.com/xa-kon-pne-kbang/","Xã Kon Pne")</f>
        <v>Xã Kon Pne</v>
      </c>
    </row>
    <row r="7566" spans="1:7" x14ac:dyDescent="0.25">
      <c r="A7566" s="2">
        <v>7565</v>
      </c>
      <c r="B7566" s="3" t="s">
        <v>43</v>
      </c>
      <c r="C7566" s="4" t="str">
        <f t="shared" si="631"/>
        <v>Gia Lai</v>
      </c>
      <c r="D7566" s="3" t="s">
        <v>514</v>
      </c>
      <c r="E7566" s="4" t="str">
        <f t="shared" si="635"/>
        <v>Huyện KBang</v>
      </c>
      <c r="F7566" s="3" t="s">
        <v>8326</v>
      </c>
      <c r="G7566" s="4" t="str">
        <f>HYPERLINK("https://diaocthongthai.com/xa-dak-rong-kbang/","Xã Đăk Roong")</f>
        <v>Xã Đăk Roong</v>
      </c>
    </row>
    <row r="7567" spans="1:7" x14ac:dyDescent="0.25">
      <c r="A7567" s="2">
        <v>7566</v>
      </c>
      <c r="B7567" s="3" t="s">
        <v>43</v>
      </c>
      <c r="C7567" s="4" t="str">
        <f t="shared" si="631"/>
        <v>Gia Lai</v>
      </c>
      <c r="D7567" s="3" t="s">
        <v>514</v>
      </c>
      <c r="E7567" s="4" t="str">
        <f t="shared" si="635"/>
        <v>Huyện KBang</v>
      </c>
      <c r="F7567" s="3" t="s">
        <v>8327</v>
      </c>
      <c r="G7567" s="4" t="str">
        <f>HYPERLINK("https://diaocthongthai.com/xa-son-lang-kbang/","Xã Sơn Lang")</f>
        <v>Xã Sơn Lang</v>
      </c>
    </row>
    <row r="7568" spans="1:7" x14ac:dyDescent="0.25">
      <c r="A7568" s="2">
        <v>7567</v>
      </c>
      <c r="B7568" s="3" t="s">
        <v>43</v>
      </c>
      <c r="C7568" s="4" t="str">
        <f t="shared" si="631"/>
        <v>Gia Lai</v>
      </c>
      <c r="D7568" s="3" t="s">
        <v>514</v>
      </c>
      <c r="E7568" s="4" t="str">
        <f t="shared" si="635"/>
        <v>Huyện KBang</v>
      </c>
      <c r="F7568" s="3" t="s">
        <v>8328</v>
      </c>
      <c r="G7568" s="4" t="str">
        <f>HYPERLINK("https://diaocthongthai.com/xa-krong-kbang/","Xã KRong")</f>
        <v>Xã KRong</v>
      </c>
    </row>
    <row r="7569" spans="1:7" x14ac:dyDescent="0.25">
      <c r="A7569" s="2">
        <v>7568</v>
      </c>
      <c r="B7569" s="3" t="s">
        <v>43</v>
      </c>
      <c r="C7569" s="4" t="str">
        <f t="shared" si="631"/>
        <v>Gia Lai</v>
      </c>
      <c r="D7569" s="3" t="s">
        <v>514</v>
      </c>
      <c r="E7569" s="4" t="str">
        <f t="shared" si="635"/>
        <v>Huyện KBang</v>
      </c>
      <c r="F7569" s="3" t="s">
        <v>8329</v>
      </c>
      <c r="G7569" s="4" t="str">
        <f>HYPERLINK("https://diaocthongthai.com/xa-so-pai-kbang/","Xã Sơ Pai")</f>
        <v>Xã Sơ Pai</v>
      </c>
    </row>
    <row r="7570" spans="1:7" x14ac:dyDescent="0.25">
      <c r="A7570" s="2">
        <v>7569</v>
      </c>
      <c r="B7570" s="3" t="s">
        <v>43</v>
      </c>
      <c r="C7570" s="4" t="str">
        <f t="shared" si="631"/>
        <v>Gia Lai</v>
      </c>
      <c r="D7570" s="3" t="s">
        <v>514</v>
      </c>
      <c r="E7570" s="4" t="str">
        <f t="shared" si="635"/>
        <v>Huyện KBang</v>
      </c>
      <c r="F7570" s="3" t="s">
        <v>8330</v>
      </c>
      <c r="G7570" s="4" t="str">
        <f>HYPERLINK("https://diaocthongthai.com/xa-lo-ku-kbang/","Xã Lơ Ku")</f>
        <v>Xã Lơ Ku</v>
      </c>
    </row>
    <row r="7571" spans="1:7" x14ac:dyDescent="0.25">
      <c r="A7571" s="2">
        <v>7570</v>
      </c>
      <c r="B7571" s="3" t="s">
        <v>43</v>
      </c>
      <c r="C7571" s="4" t="str">
        <f t="shared" si="631"/>
        <v>Gia Lai</v>
      </c>
      <c r="D7571" s="3" t="s">
        <v>514</v>
      </c>
      <c r="E7571" s="4" t="str">
        <f t="shared" si="635"/>
        <v>Huyện KBang</v>
      </c>
      <c r="F7571" s="3" t="s">
        <v>8331</v>
      </c>
      <c r="G7571" s="4" t="str">
        <f>HYPERLINK("https://diaocthongthai.com/xa-dong-kbang/","Xã Đông")</f>
        <v>Xã Đông</v>
      </c>
    </row>
    <row r="7572" spans="1:7" x14ac:dyDescent="0.25">
      <c r="A7572" s="2">
        <v>7571</v>
      </c>
      <c r="B7572" s="3" t="s">
        <v>43</v>
      </c>
      <c r="C7572" s="4" t="str">
        <f t="shared" si="631"/>
        <v>Gia Lai</v>
      </c>
      <c r="D7572" s="3" t="s">
        <v>514</v>
      </c>
      <c r="E7572" s="4" t="str">
        <f t="shared" si="635"/>
        <v>Huyện KBang</v>
      </c>
      <c r="F7572" s="3" t="s">
        <v>8332</v>
      </c>
      <c r="G7572" s="4" t="str">
        <f>HYPERLINK("https://diaocthongthai.com/xa-dak-smar-kbang/","Xã Đak SMar")</f>
        <v>Xã Đak SMar</v>
      </c>
    </row>
    <row r="7573" spans="1:7" x14ac:dyDescent="0.25">
      <c r="A7573" s="2">
        <v>7572</v>
      </c>
      <c r="B7573" s="3" t="s">
        <v>43</v>
      </c>
      <c r="C7573" s="4" t="str">
        <f t="shared" si="631"/>
        <v>Gia Lai</v>
      </c>
      <c r="D7573" s="3" t="s">
        <v>514</v>
      </c>
      <c r="E7573" s="4" t="str">
        <f t="shared" si="635"/>
        <v>Huyện KBang</v>
      </c>
      <c r="F7573" s="3" t="s">
        <v>8333</v>
      </c>
      <c r="G7573" s="4" t="str">
        <f>HYPERLINK("https://diaocthongthai.com/xa-nghia-an-kbang/","Xã Nghĩa An")</f>
        <v>Xã Nghĩa An</v>
      </c>
    </row>
    <row r="7574" spans="1:7" x14ac:dyDescent="0.25">
      <c r="A7574" s="2">
        <v>7573</v>
      </c>
      <c r="B7574" s="3" t="s">
        <v>43</v>
      </c>
      <c r="C7574" s="4" t="str">
        <f t="shared" si="631"/>
        <v>Gia Lai</v>
      </c>
      <c r="D7574" s="3" t="s">
        <v>514</v>
      </c>
      <c r="E7574" s="4" t="str">
        <f t="shared" si="635"/>
        <v>Huyện KBang</v>
      </c>
      <c r="F7574" s="3" t="s">
        <v>8334</v>
      </c>
      <c r="G7574" s="4" t="str">
        <f>HYPERLINK("https://diaocthongthai.com/xa-to-tung-kbang/","Xã Tơ Tung")</f>
        <v>Xã Tơ Tung</v>
      </c>
    </row>
    <row r="7575" spans="1:7" x14ac:dyDescent="0.25">
      <c r="A7575" s="2">
        <v>7574</v>
      </c>
      <c r="B7575" s="3" t="s">
        <v>43</v>
      </c>
      <c r="C7575" s="4" t="str">
        <f t="shared" si="631"/>
        <v>Gia Lai</v>
      </c>
      <c r="D7575" s="3" t="s">
        <v>514</v>
      </c>
      <c r="E7575" s="4" t="str">
        <f t="shared" si="635"/>
        <v>Huyện KBang</v>
      </c>
      <c r="F7575" s="3" t="s">
        <v>8335</v>
      </c>
      <c r="G7575" s="4" t="str">
        <f>HYPERLINK("https://diaocthongthai.com/xa-kong-long-khong-kbang/","Xã Kông Lơng Khơng")</f>
        <v>Xã Kông Lơng Khơng</v>
      </c>
    </row>
    <row r="7576" spans="1:7" x14ac:dyDescent="0.25">
      <c r="A7576" s="2">
        <v>7575</v>
      </c>
      <c r="B7576" s="3" t="s">
        <v>43</v>
      </c>
      <c r="C7576" s="4" t="str">
        <f t="shared" si="631"/>
        <v>Gia Lai</v>
      </c>
      <c r="D7576" s="3" t="s">
        <v>514</v>
      </c>
      <c r="E7576" s="4" t="str">
        <f t="shared" si="635"/>
        <v>Huyện KBang</v>
      </c>
      <c r="F7576" s="3" t="s">
        <v>8336</v>
      </c>
      <c r="G7576" s="4" t="str">
        <f>HYPERLINK("https://diaocthongthai.com/xa-kong-bo-la-kbang/","Xã Kông Pla")</f>
        <v>Xã Kông Pla</v>
      </c>
    </row>
    <row r="7577" spans="1:7" x14ac:dyDescent="0.25">
      <c r="A7577" s="2">
        <v>7576</v>
      </c>
      <c r="B7577" s="3" t="s">
        <v>43</v>
      </c>
      <c r="C7577" s="4" t="str">
        <f t="shared" si="631"/>
        <v>Gia Lai</v>
      </c>
      <c r="D7577" s="3" t="s">
        <v>514</v>
      </c>
      <c r="E7577" s="4" t="str">
        <f t="shared" si="635"/>
        <v>Huyện KBang</v>
      </c>
      <c r="F7577" s="3" t="s">
        <v>8337</v>
      </c>
      <c r="G7577" s="4" t="str">
        <f>HYPERLINK("https://diaocthongthai.com/xa-dak-hlo-kbang/","Xã Đăk HLơ")</f>
        <v>Xã Đăk HLơ</v>
      </c>
    </row>
    <row r="7578" spans="1:7" x14ac:dyDescent="0.25">
      <c r="A7578" s="2">
        <v>7577</v>
      </c>
      <c r="B7578" s="3" t="s">
        <v>43</v>
      </c>
      <c r="C7578" s="4" t="str">
        <f t="shared" si="631"/>
        <v>Gia Lai</v>
      </c>
      <c r="D7578" s="3" t="s">
        <v>515</v>
      </c>
      <c r="E7578" s="4" t="str">
        <f t="shared" ref="E7578:E7594" si="636">HYPERLINK("https://diaocthongthai.com/ban-do-huyen-dak-doa-gia-lai/","Huyện Đăk Đoa")</f>
        <v>Huyện Đăk Đoa</v>
      </c>
      <c r="F7578" s="3" t="s">
        <v>8338</v>
      </c>
      <c r="G7578" s="4" t="str">
        <f>HYPERLINK("https://diaocthongthai.com/thi-tran-dak-doa-dak-doa/","Thị trấn Đăk Đoa")</f>
        <v>Thị trấn Đăk Đoa</v>
      </c>
    </row>
    <row r="7579" spans="1:7" x14ac:dyDescent="0.25">
      <c r="A7579" s="2">
        <v>7578</v>
      </c>
      <c r="B7579" s="3" t="s">
        <v>43</v>
      </c>
      <c r="C7579" s="4" t="str">
        <f t="shared" si="631"/>
        <v>Gia Lai</v>
      </c>
      <c r="D7579" s="3" t="s">
        <v>515</v>
      </c>
      <c r="E7579" s="4" t="str">
        <f t="shared" si="636"/>
        <v>Huyện Đăk Đoa</v>
      </c>
      <c r="F7579" s="3" t="s">
        <v>8339</v>
      </c>
      <c r="G7579" s="4" t="str">
        <f>HYPERLINK("https://diaocthongthai.com/xa-ha-dong-dak-doa/","Xã Hà Đông")</f>
        <v>Xã Hà Đông</v>
      </c>
    </row>
    <row r="7580" spans="1:7" x14ac:dyDescent="0.25">
      <c r="A7580" s="2">
        <v>7579</v>
      </c>
      <c r="B7580" s="3" t="s">
        <v>43</v>
      </c>
      <c r="C7580" s="4" t="str">
        <f t="shared" si="631"/>
        <v>Gia Lai</v>
      </c>
      <c r="D7580" s="3" t="s">
        <v>515</v>
      </c>
      <c r="E7580" s="4" t="str">
        <f t="shared" si="636"/>
        <v>Huyện Đăk Đoa</v>
      </c>
      <c r="F7580" s="3" t="s">
        <v>8340</v>
      </c>
      <c r="G7580" s="4" t="str">
        <f>HYPERLINK("https://diaocthongthai.com/xa-dak-so-mei-dak-doa/","Xã Đăk Sơmei")</f>
        <v>Xã Đăk Sơmei</v>
      </c>
    </row>
    <row r="7581" spans="1:7" x14ac:dyDescent="0.25">
      <c r="A7581" s="2">
        <v>7580</v>
      </c>
      <c r="B7581" s="3" t="s">
        <v>43</v>
      </c>
      <c r="C7581" s="4" t="str">
        <f t="shared" si="631"/>
        <v>Gia Lai</v>
      </c>
      <c r="D7581" s="3" t="s">
        <v>515</v>
      </c>
      <c r="E7581" s="4" t="str">
        <f t="shared" si="636"/>
        <v>Huyện Đăk Đoa</v>
      </c>
      <c r="F7581" s="3" t="s">
        <v>8341</v>
      </c>
      <c r="G7581" s="4" t="str">
        <f>HYPERLINK("https://diaocthongthai.com/xa-dak-krong-dak-doa/","Xã Đăk Krong")</f>
        <v>Xã Đăk Krong</v>
      </c>
    </row>
    <row r="7582" spans="1:7" x14ac:dyDescent="0.25">
      <c r="A7582" s="2">
        <v>7581</v>
      </c>
      <c r="B7582" s="3" t="s">
        <v>43</v>
      </c>
      <c r="C7582" s="4" t="str">
        <f t="shared" si="631"/>
        <v>Gia Lai</v>
      </c>
      <c r="D7582" s="3" t="s">
        <v>515</v>
      </c>
      <c r="E7582" s="4" t="str">
        <f t="shared" si="636"/>
        <v>Huyện Đăk Đoa</v>
      </c>
      <c r="F7582" s="3" t="s">
        <v>8342</v>
      </c>
      <c r="G7582" s="4" t="str">
        <f>HYPERLINK("https://diaocthongthai.com/xa-hai-yang-dak-doa/","Xã Hải Yang")</f>
        <v>Xã Hải Yang</v>
      </c>
    </row>
    <row r="7583" spans="1:7" x14ac:dyDescent="0.25">
      <c r="A7583" s="2">
        <v>7582</v>
      </c>
      <c r="B7583" s="3" t="s">
        <v>43</v>
      </c>
      <c r="C7583" s="4" t="str">
        <f t="shared" si="631"/>
        <v>Gia Lai</v>
      </c>
      <c r="D7583" s="3" t="s">
        <v>515</v>
      </c>
      <c r="E7583" s="4" t="str">
        <f t="shared" si="636"/>
        <v>Huyện Đăk Đoa</v>
      </c>
      <c r="F7583" s="3" t="s">
        <v>8343</v>
      </c>
      <c r="G7583" s="4" t="str">
        <f>HYPERLINK("https://diaocthongthai.com/xa-kon-gang-dak-doa/","Xã Kon Gang")</f>
        <v>Xã Kon Gang</v>
      </c>
    </row>
    <row r="7584" spans="1:7" x14ac:dyDescent="0.25">
      <c r="A7584" s="2">
        <v>7583</v>
      </c>
      <c r="B7584" s="3" t="s">
        <v>43</v>
      </c>
      <c r="C7584" s="4" t="str">
        <f t="shared" si="631"/>
        <v>Gia Lai</v>
      </c>
      <c r="D7584" s="3" t="s">
        <v>515</v>
      </c>
      <c r="E7584" s="4" t="str">
        <f t="shared" si="636"/>
        <v>Huyện Đăk Đoa</v>
      </c>
      <c r="F7584" s="3" t="s">
        <v>8344</v>
      </c>
      <c r="G7584" s="4" t="str">
        <f>HYPERLINK("https://diaocthongthai.com/xa-ha-bau-dak-doa/","Xã Hà Bầu")</f>
        <v>Xã Hà Bầu</v>
      </c>
    </row>
    <row r="7585" spans="1:7" x14ac:dyDescent="0.25">
      <c r="A7585" s="2">
        <v>7584</v>
      </c>
      <c r="B7585" s="3" t="s">
        <v>43</v>
      </c>
      <c r="C7585" s="4" t="str">
        <f t="shared" si="631"/>
        <v>Gia Lai</v>
      </c>
      <c r="D7585" s="3" t="s">
        <v>515</v>
      </c>
      <c r="E7585" s="4" t="str">
        <f t="shared" si="636"/>
        <v>Huyện Đăk Đoa</v>
      </c>
      <c r="F7585" s="3" t="s">
        <v>8345</v>
      </c>
      <c r="G7585" s="4" t="str">
        <f>HYPERLINK("https://diaocthongthai.com/xa-nam-yang-dak-doa/","Xã Nam Yang")</f>
        <v>Xã Nam Yang</v>
      </c>
    </row>
    <row r="7586" spans="1:7" x14ac:dyDescent="0.25">
      <c r="A7586" s="2">
        <v>7585</v>
      </c>
      <c r="B7586" s="3" t="s">
        <v>43</v>
      </c>
      <c r="C7586" s="4" t="str">
        <f t="shared" si="631"/>
        <v>Gia Lai</v>
      </c>
      <c r="D7586" s="3" t="s">
        <v>515</v>
      </c>
      <c r="E7586" s="4" t="str">
        <f t="shared" si="636"/>
        <v>Huyện Đăk Đoa</v>
      </c>
      <c r="F7586" s="3" t="s">
        <v>8346</v>
      </c>
      <c r="G7586" s="4" t="str">
        <f>HYPERLINK("https://diaocthongthai.com/xa-k-dang-dak-doa/","Xã K' Dang")</f>
        <v>Xã K' Dang</v>
      </c>
    </row>
    <row r="7587" spans="1:7" x14ac:dyDescent="0.25">
      <c r="A7587" s="2">
        <v>7586</v>
      </c>
      <c r="B7587" s="3" t="s">
        <v>43</v>
      </c>
      <c r="C7587" s="4" t="str">
        <f t="shared" ref="C7587:C7650" si="637">HYPERLINK("https://diaocthongthai.com/ban-do-gia-lai/","Gia Lai")</f>
        <v>Gia Lai</v>
      </c>
      <c r="D7587" s="3" t="s">
        <v>515</v>
      </c>
      <c r="E7587" s="4" t="str">
        <f t="shared" si="636"/>
        <v>Huyện Đăk Đoa</v>
      </c>
      <c r="F7587" s="3" t="s">
        <v>8347</v>
      </c>
      <c r="G7587" s="4" t="str">
        <f>HYPERLINK("https://diaocthongthai.com/xa-hneng-dak-doa/","Xã H' Neng")</f>
        <v>Xã H' Neng</v>
      </c>
    </row>
    <row r="7588" spans="1:7" x14ac:dyDescent="0.25">
      <c r="A7588" s="2">
        <v>7587</v>
      </c>
      <c r="B7588" s="3" t="s">
        <v>43</v>
      </c>
      <c r="C7588" s="4" t="str">
        <f t="shared" si="637"/>
        <v>Gia Lai</v>
      </c>
      <c r="D7588" s="3" t="s">
        <v>515</v>
      </c>
      <c r="E7588" s="4" t="str">
        <f t="shared" si="636"/>
        <v>Huyện Đăk Đoa</v>
      </c>
      <c r="F7588" s="3" t="s">
        <v>8348</v>
      </c>
      <c r="G7588" s="4" t="str">
        <f>HYPERLINK("https://diaocthongthai.com/xa-tan-binh-dak-doa/","Xã Tân Bình")</f>
        <v>Xã Tân Bình</v>
      </c>
    </row>
    <row r="7589" spans="1:7" x14ac:dyDescent="0.25">
      <c r="A7589" s="2">
        <v>7588</v>
      </c>
      <c r="B7589" s="3" t="s">
        <v>43</v>
      </c>
      <c r="C7589" s="4" t="str">
        <f t="shared" si="637"/>
        <v>Gia Lai</v>
      </c>
      <c r="D7589" s="3" t="s">
        <v>515</v>
      </c>
      <c r="E7589" s="4" t="str">
        <f t="shared" si="636"/>
        <v>Huyện Đăk Đoa</v>
      </c>
      <c r="F7589" s="3" t="s">
        <v>8349</v>
      </c>
      <c r="G7589" s="4" t="str">
        <f>HYPERLINK("https://diaocthongthai.com/xa-glar-dak-doa/","Xã Glar")</f>
        <v>Xã Glar</v>
      </c>
    </row>
    <row r="7590" spans="1:7" x14ac:dyDescent="0.25">
      <c r="A7590" s="2">
        <v>7589</v>
      </c>
      <c r="B7590" s="3" t="s">
        <v>43</v>
      </c>
      <c r="C7590" s="4" t="str">
        <f t="shared" si="637"/>
        <v>Gia Lai</v>
      </c>
      <c r="D7590" s="3" t="s">
        <v>515</v>
      </c>
      <c r="E7590" s="4" t="str">
        <f t="shared" si="636"/>
        <v>Huyện Đăk Đoa</v>
      </c>
      <c r="F7590" s="3" t="s">
        <v>8350</v>
      </c>
      <c r="G7590" s="4" t="str">
        <f>HYPERLINK("https://diaocthongthai.com/xa-a-dok-dak-doa/","Xã A Dơk")</f>
        <v>Xã A Dơk</v>
      </c>
    </row>
    <row r="7591" spans="1:7" x14ac:dyDescent="0.25">
      <c r="A7591" s="2">
        <v>7590</v>
      </c>
      <c r="B7591" s="3" t="s">
        <v>43</v>
      </c>
      <c r="C7591" s="4" t="str">
        <f t="shared" si="637"/>
        <v>Gia Lai</v>
      </c>
      <c r="D7591" s="3" t="s">
        <v>515</v>
      </c>
      <c r="E7591" s="4" t="str">
        <f t="shared" si="636"/>
        <v>Huyện Đăk Đoa</v>
      </c>
      <c r="F7591" s="3" t="s">
        <v>8351</v>
      </c>
      <c r="G7591" s="4" t="str">
        <f>HYPERLINK("https://diaocthongthai.com/xa-trang-dak-doa/","Xã Trang")</f>
        <v>Xã Trang</v>
      </c>
    </row>
    <row r="7592" spans="1:7" x14ac:dyDescent="0.25">
      <c r="A7592" s="2">
        <v>7591</v>
      </c>
      <c r="B7592" s="3" t="s">
        <v>43</v>
      </c>
      <c r="C7592" s="4" t="str">
        <f t="shared" si="637"/>
        <v>Gia Lai</v>
      </c>
      <c r="D7592" s="3" t="s">
        <v>515</v>
      </c>
      <c r="E7592" s="4" t="str">
        <f t="shared" si="636"/>
        <v>Huyện Đăk Đoa</v>
      </c>
      <c r="F7592" s="3" t="s">
        <v>8352</v>
      </c>
      <c r="G7592" s="4" t="str">
        <f>HYPERLINK("https://diaocthongthai.com/xa-hnol-dak-doa/","Xã HNol")</f>
        <v>Xã HNol</v>
      </c>
    </row>
    <row r="7593" spans="1:7" x14ac:dyDescent="0.25">
      <c r="A7593" s="2">
        <v>7592</v>
      </c>
      <c r="B7593" s="3" t="s">
        <v>43</v>
      </c>
      <c r="C7593" s="4" t="str">
        <f t="shared" si="637"/>
        <v>Gia Lai</v>
      </c>
      <c r="D7593" s="3" t="s">
        <v>515</v>
      </c>
      <c r="E7593" s="4" t="str">
        <f t="shared" si="636"/>
        <v>Huyện Đăk Đoa</v>
      </c>
      <c r="F7593" s="3" t="s">
        <v>8353</v>
      </c>
      <c r="G7593" s="4" t="str">
        <f>HYPERLINK("https://diaocthongthai.com/xa-ia-pet-dak-doa/","Xã Ia Pết")</f>
        <v>Xã Ia Pết</v>
      </c>
    </row>
    <row r="7594" spans="1:7" x14ac:dyDescent="0.25">
      <c r="A7594" s="2">
        <v>7593</v>
      </c>
      <c r="B7594" s="3" t="s">
        <v>43</v>
      </c>
      <c r="C7594" s="4" t="str">
        <f t="shared" si="637"/>
        <v>Gia Lai</v>
      </c>
      <c r="D7594" s="3" t="s">
        <v>515</v>
      </c>
      <c r="E7594" s="4" t="str">
        <f t="shared" si="636"/>
        <v>Huyện Đăk Đoa</v>
      </c>
      <c r="F7594" s="3" t="s">
        <v>8354</v>
      </c>
      <c r="G7594" s="4" t="str">
        <f>HYPERLINK("https://diaocthongthai.com/xa-ia-bang-dak-doa/","Xã Ia Băng")</f>
        <v>Xã Ia Băng</v>
      </c>
    </row>
    <row r="7595" spans="1:7" x14ac:dyDescent="0.25">
      <c r="A7595" s="2">
        <v>7594</v>
      </c>
      <c r="B7595" s="3" t="s">
        <v>43</v>
      </c>
      <c r="C7595" s="4" t="str">
        <f t="shared" si="637"/>
        <v>Gia Lai</v>
      </c>
      <c r="D7595" s="3" t="s">
        <v>516</v>
      </c>
      <c r="E7595" s="4" t="str">
        <f t="shared" ref="E7595:E7608" si="638">HYPERLINK("https://diaocthongthai.com/ban-do-huyen-chu-pah-gia-lai/","Huyện Chư Păh")</f>
        <v>Huyện Chư Păh</v>
      </c>
      <c r="F7595" s="3" t="s">
        <v>8355</v>
      </c>
      <c r="G7595" s="4" t="str">
        <f>HYPERLINK("https://diaocthongthai.com/thi-tran-phu-hoa-chu-pah/","Thị trấn Phú Hòa")</f>
        <v>Thị trấn Phú Hòa</v>
      </c>
    </row>
    <row r="7596" spans="1:7" x14ac:dyDescent="0.25">
      <c r="A7596" s="2">
        <v>7595</v>
      </c>
      <c r="B7596" s="3" t="s">
        <v>43</v>
      </c>
      <c r="C7596" s="4" t="str">
        <f t="shared" si="637"/>
        <v>Gia Lai</v>
      </c>
      <c r="D7596" s="3" t="s">
        <v>516</v>
      </c>
      <c r="E7596" s="4" t="str">
        <f t="shared" si="638"/>
        <v>Huyện Chư Păh</v>
      </c>
      <c r="F7596" s="3" t="s">
        <v>8356</v>
      </c>
      <c r="G7596" s="4" t="str">
        <f>HYPERLINK("https://diaocthongthai.com/xa-ha-tay-chu-pah/","Xã Hà Tây")</f>
        <v>Xã Hà Tây</v>
      </c>
    </row>
    <row r="7597" spans="1:7" x14ac:dyDescent="0.25">
      <c r="A7597" s="2">
        <v>7596</v>
      </c>
      <c r="B7597" s="3" t="s">
        <v>43</v>
      </c>
      <c r="C7597" s="4" t="str">
        <f t="shared" si="637"/>
        <v>Gia Lai</v>
      </c>
      <c r="D7597" s="3" t="s">
        <v>516</v>
      </c>
      <c r="E7597" s="4" t="str">
        <f t="shared" si="638"/>
        <v>Huyện Chư Păh</v>
      </c>
      <c r="F7597" s="3" t="s">
        <v>8357</v>
      </c>
      <c r="G7597" s="4" t="str">
        <f>HYPERLINK("https://diaocthongthai.com/xa-ia-khuol-chu-pah/","Xã Ia Khươl")</f>
        <v>Xã Ia Khươl</v>
      </c>
    </row>
    <row r="7598" spans="1:7" x14ac:dyDescent="0.25">
      <c r="A7598" s="2">
        <v>7597</v>
      </c>
      <c r="B7598" s="3" t="s">
        <v>43</v>
      </c>
      <c r="C7598" s="4" t="str">
        <f t="shared" si="637"/>
        <v>Gia Lai</v>
      </c>
      <c r="D7598" s="3" t="s">
        <v>516</v>
      </c>
      <c r="E7598" s="4" t="str">
        <f t="shared" si="638"/>
        <v>Huyện Chư Păh</v>
      </c>
      <c r="F7598" s="3" t="s">
        <v>8358</v>
      </c>
      <c r="G7598" s="4" t="str">
        <f>HYPERLINK("https://diaocthongthai.com/xa-ia-phi-chu-pah/","Xã Ia Phí")</f>
        <v>Xã Ia Phí</v>
      </c>
    </row>
    <row r="7599" spans="1:7" x14ac:dyDescent="0.25">
      <c r="A7599" s="2">
        <v>7598</v>
      </c>
      <c r="B7599" s="3" t="s">
        <v>43</v>
      </c>
      <c r="C7599" s="4" t="str">
        <f t="shared" si="637"/>
        <v>Gia Lai</v>
      </c>
      <c r="D7599" s="3" t="s">
        <v>516</v>
      </c>
      <c r="E7599" s="4" t="str">
        <f t="shared" si="638"/>
        <v>Huyện Chư Păh</v>
      </c>
      <c r="F7599" s="3" t="s">
        <v>8359</v>
      </c>
      <c r="G7599" s="4" t="str">
        <f>HYPERLINK("https://diaocthongthai.com/thi-tran-ia-ly-chu-pah/","Thị trấn Ia Ly")</f>
        <v>Thị trấn Ia Ly</v>
      </c>
    </row>
    <row r="7600" spans="1:7" x14ac:dyDescent="0.25">
      <c r="A7600" s="2">
        <v>7599</v>
      </c>
      <c r="B7600" s="3" t="s">
        <v>43</v>
      </c>
      <c r="C7600" s="4" t="str">
        <f t="shared" si="637"/>
        <v>Gia Lai</v>
      </c>
      <c r="D7600" s="3" t="s">
        <v>516</v>
      </c>
      <c r="E7600" s="4" t="str">
        <f t="shared" si="638"/>
        <v>Huyện Chư Păh</v>
      </c>
      <c r="F7600" s="3" t="s">
        <v>8360</v>
      </c>
      <c r="G7600" s="4" t="str">
        <f>HYPERLINK("https://diaocthongthai.com/xa-ia-mo-nong-chu-pah/","Xã Ia Mơ Nông")</f>
        <v>Xã Ia Mơ Nông</v>
      </c>
    </row>
    <row r="7601" spans="1:7" x14ac:dyDescent="0.25">
      <c r="A7601" s="2">
        <v>7600</v>
      </c>
      <c r="B7601" s="3" t="s">
        <v>43</v>
      </c>
      <c r="C7601" s="4" t="str">
        <f t="shared" si="637"/>
        <v>Gia Lai</v>
      </c>
      <c r="D7601" s="3" t="s">
        <v>516</v>
      </c>
      <c r="E7601" s="4" t="str">
        <f t="shared" si="638"/>
        <v>Huyện Chư Păh</v>
      </c>
      <c r="F7601" s="3" t="s">
        <v>8361</v>
      </c>
      <c r="G7601" s="4" t="str">
        <f>HYPERLINK("https://diaocthongthai.com/xa-ia-kreng-chu-pah/","Xã Ia Kreng")</f>
        <v>Xã Ia Kreng</v>
      </c>
    </row>
    <row r="7602" spans="1:7" x14ac:dyDescent="0.25">
      <c r="A7602" s="2">
        <v>7601</v>
      </c>
      <c r="B7602" s="3" t="s">
        <v>43</v>
      </c>
      <c r="C7602" s="4" t="str">
        <f t="shared" si="637"/>
        <v>Gia Lai</v>
      </c>
      <c r="D7602" s="3" t="s">
        <v>516</v>
      </c>
      <c r="E7602" s="4" t="str">
        <f t="shared" si="638"/>
        <v>Huyện Chư Păh</v>
      </c>
      <c r="F7602" s="3" t="s">
        <v>8362</v>
      </c>
      <c r="G7602" s="4" t="str">
        <f>HYPERLINK("https://diaocthongthai.com/xa-dak-to-ver-chu-pah/","Xã Đăk Tơ Ver")</f>
        <v>Xã Đăk Tơ Ver</v>
      </c>
    </row>
    <row r="7603" spans="1:7" x14ac:dyDescent="0.25">
      <c r="A7603" s="2">
        <v>7602</v>
      </c>
      <c r="B7603" s="3" t="s">
        <v>43</v>
      </c>
      <c r="C7603" s="4" t="str">
        <f t="shared" si="637"/>
        <v>Gia Lai</v>
      </c>
      <c r="D7603" s="3" t="s">
        <v>516</v>
      </c>
      <c r="E7603" s="4" t="str">
        <f t="shared" si="638"/>
        <v>Huyện Chư Păh</v>
      </c>
      <c r="F7603" s="3" t="s">
        <v>8363</v>
      </c>
      <c r="G7603" s="4" t="str">
        <f>HYPERLINK("https://diaocthongthai.com/xa-hoa-phu-chu-pah/","Xã Hòa Phú")</f>
        <v>Xã Hòa Phú</v>
      </c>
    </row>
    <row r="7604" spans="1:7" x14ac:dyDescent="0.25">
      <c r="A7604" s="2">
        <v>7603</v>
      </c>
      <c r="B7604" s="3" t="s">
        <v>43</v>
      </c>
      <c r="C7604" s="4" t="str">
        <f t="shared" si="637"/>
        <v>Gia Lai</v>
      </c>
      <c r="D7604" s="3" t="s">
        <v>516</v>
      </c>
      <c r="E7604" s="4" t="str">
        <f t="shared" si="638"/>
        <v>Huyện Chư Păh</v>
      </c>
      <c r="F7604" s="3" t="s">
        <v>8364</v>
      </c>
      <c r="G7604" s="4" t="str">
        <f>HYPERLINK("https://diaocthongthai.com/xa-chu-dang-ya-chu-pah/","Xã Chư Đăng Ya")</f>
        <v>Xã Chư Đăng Ya</v>
      </c>
    </row>
    <row r="7605" spans="1:7" x14ac:dyDescent="0.25">
      <c r="A7605" s="2">
        <v>7604</v>
      </c>
      <c r="B7605" s="3" t="s">
        <v>43</v>
      </c>
      <c r="C7605" s="4" t="str">
        <f t="shared" si="637"/>
        <v>Gia Lai</v>
      </c>
      <c r="D7605" s="3" t="s">
        <v>516</v>
      </c>
      <c r="E7605" s="4" t="str">
        <f t="shared" si="638"/>
        <v>Huyện Chư Păh</v>
      </c>
      <c r="F7605" s="3" t="s">
        <v>8365</v>
      </c>
      <c r="G7605" s="4" t="str">
        <f>HYPERLINK("https://diaocthongthai.com/xa-ia-ka-chu-pah/","Xã Ia Ka")</f>
        <v>Xã Ia Ka</v>
      </c>
    </row>
    <row r="7606" spans="1:7" x14ac:dyDescent="0.25">
      <c r="A7606" s="2">
        <v>7605</v>
      </c>
      <c r="B7606" s="3" t="s">
        <v>43</v>
      </c>
      <c r="C7606" s="4" t="str">
        <f t="shared" si="637"/>
        <v>Gia Lai</v>
      </c>
      <c r="D7606" s="3" t="s">
        <v>516</v>
      </c>
      <c r="E7606" s="4" t="str">
        <f t="shared" si="638"/>
        <v>Huyện Chư Păh</v>
      </c>
      <c r="F7606" s="3" t="s">
        <v>8366</v>
      </c>
      <c r="G7606" s="4" t="str">
        <f>HYPERLINK("https://diaocthongthai.com/xa-ia-nhin-chu-pah/","Xã Ia Nhin")</f>
        <v>Xã Ia Nhin</v>
      </c>
    </row>
    <row r="7607" spans="1:7" x14ac:dyDescent="0.25">
      <c r="A7607" s="2">
        <v>7606</v>
      </c>
      <c r="B7607" s="3" t="s">
        <v>43</v>
      </c>
      <c r="C7607" s="4" t="str">
        <f t="shared" si="637"/>
        <v>Gia Lai</v>
      </c>
      <c r="D7607" s="3" t="s">
        <v>516</v>
      </c>
      <c r="E7607" s="4" t="str">
        <f t="shared" si="638"/>
        <v>Huyện Chư Păh</v>
      </c>
      <c r="F7607" s="3" t="s">
        <v>8367</v>
      </c>
      <c r="G7607" s="4" t="str">
        <f>HYPERLINK("https://diaocthongthai.com/xa-nghia-hoa-chu-pah/","Xã Nghĩa Hòa")</f>
        <v>Xã Nghĩa Hòa</v>
      </c>
    </row>
    <row r="7608" spans="1:7" x14ac:dyDescent="0.25">
      <c r="A7608" s="2">
        <v>7607</v>
      </c>
      <c r="B7608" s="3" t="s">
        <v>43</v>
      </c>
      <c r="C7608" s="4" t="str">
        <f t="shared" si="637"/>
        <v>Gia Lai</v>
      </c>
      <c r="D7608" s="3" t="s">
        <v>516</v>
      </c>
      <c r="E7608" s="4" t="str">
        <f t="shared" si="638"/>
        <v>Huyện Chư Păh</v>
      </c>
      <c r="F7608" s="3" t="s">
        <v>8368</v>
      </c>
      <c r="G7608" s="4" t="str">
        <f>HYPERLINK("https://diaocthongthai.com/xa-nghia-hung-chu-pah/","Xã Nghĩa Hưng")</f>
        <v>Xã Nghĩa Hưng</v>
      </c>
    </row>
    <row r="7609" spans="1:7" x14ac:dyDescent="0.25">
      <c r="A7609" s="2">
        <v>7608</v>
      </c>
      <c r="B7609" s="3" t="s">
        <v>43</v>
      </c>
      <c r="C7609" s="4" t="str">
        <f t="shared" si="637"/>
        <v>Gia Lai</v>
      </c>
      <c r="D7609" s="3" t="s">
        <v>517</v>
      </c>
      <c r="E7609" s="4" t="str">
        <f t="shared" ref="E7609:E7621" si="639">HYPERLINK("https://diaocthongthai.com/ban-do-huyen-ia-grai-gia-lai/","Huyện Ia Grai")</f>
        <v>Huyện Ia Grai</v>
      </c>
      <c r="F7609" s="3" t="s">
        <v>8369</v>
      </c>
      <c r="G7609" s="4" t="str">
        <f>HYPERLINK("https://diaocthongthai.com/thi-tran-ia-kha-ia-grai/","Thị trấn Ia Kha")</f>
        <v>Thị trấn Ia Kha</v>
      </c>
    </row>
    <row r="7610" spans="1:7" x14ac:dyDescent="0.25">
      <c r="A7610" s="2">
        <v>7609</v>
      </c>
      <c r="B7610" s="3" t="s">
        <v>43</v>
      </c>
      <c r="C7610" s="4" t="str">
        <f t="shared" si="637"/>
        <v>Gia Lai</v>
      </c>
      <c r="D7610" s="3" t="s">
        <v>517</v>
      </c>
      <c r="E7610" s="4" t="str">
        <f t="shared" si="639"/>
        <v>Huyện Ia Grai</v>
      </c>
      <c r="F7610" s="3" t="s">
        <v>8370</v>
      </c>
      <c r="G7610" s="4" t="str">
        <f>HYPERLINK("https://diaocthongthai.com/xa-ia-sao-ia-grai/","Xã Ia Sao")</f>
        <v>Xã Ia Sao</v>
      </c>
    </row>
    <row r="7611" spans="1:7" x14ac:dyDescent="0.25">
      <c r="A7611" s="2">
        <v>7610</v>
      </c>
      <c r="B7611" s="3" t="s">
        <v>43</v>
      </c>
      <c r="C7611" s="4" t="str">
        <f t="shared" si="637"/>
        <v>Gia Lai</v>
      </c>
      <c r="D7611" s="3" t="s">
        <v>517</v>
      </c>
      <c r="E7611" s="4" t="str">
        <f t="shared" si="639"/>
        <v>Huyện Ia Grai</v>
      </c>
      <c r="F7611" s="3" t="s">
        <v>8371</v>
      </c>
      <c r="G7611" s="4" t="str">
        <f>HYPERLINK("https://diaocthongthai.com/xa-ia-yok-ia-grai/","Xã Ia Yok")</f>
        <v>Xã Ia Yok</v>
      </c>
    </row>
    <row r="7612" spans="1:7" x14ac:dyDescent="0.25">
      <c r="A7612" s="2">
        <v>7611</v>
      </c>
      <c r="B7612" s="3" t="s">
        <v>43</v>
      </c>
      <c r="C7612" s="4" t="str">
        <f t="shared" si="637"/>
        <v>Gia Lai</v>
      </c>
      <c r="D7612" s="3" t="s">
        <v>517</v>
      </c>
      <c r="E7612" s="4" t="str">
        <f t="shared" si="639"/>
        <v>Huyện Ia Grai</v>
      </c>
      <c r="F7612" s="3" t="s">
        <v>8372</v>
      </c>
      <c r="G7612" s="4" t="str">
        <f>HYPERLINK("https://diaocthongthai.com/xa-ia-hrung-ia-grai/","Xã Ia Hrung")</f>
        <v>Xã Ia Hrung</v>
      </c>
    </row>
    <row r="7613" spans="1:7" x14ac:dyDescent="0.25">
      <c r="A7613" s="2">
        <v>7612</v>
      </c>
      <c r="B7613" s="3" t="s">
        <v>43</v>
      </c>
      <c r="C7613" s="4" t="str">
        <f t="shared" si="637"/>
        <v>Gia Lai</v>
      </c>
      <c r="D7613" s="3" t="s">
        <v>517</v>
      </c>
      <c r="E7613" s="4" t="str">
        <f t="shared" si="639"/>
        <v>Huyện Ia Grai</v>
      </c>
      <c r="F7613" s="3" t="s">
        <v>8373</v>
      </c>
      <c r="G7613" s="4" t="str">
        <f>HYPERLINK("https://diaocthongthai.com/xa-ia-ba-ia-grai/","Xã Ia Bă")</f>
        <v>Xã Ia Bă</v>
      </c>
    </row>
    <row r="7614" spans="1:7" x14ac:dyDescent="0.25">
      <c r="A7614" s="2">
        <v>7613</v>
      </c>
      <c r="B7614" s="3" t="s">
        <v>43</v>
      </c>
      <c r="C7614" s="4" t="str">
        <f t="shared" si="637"/>
        <v>Gia Lai</v>
      </c>
      <c r="D7614" s="3" t="s">
        <v>517</v>
      </c>
      <c r="E7614" s="4" t="str">
        <f t="shared" si="639"/>
        <v>Huyện Ia Grai</v>
      </c>
      <c r="F7614" s="3" t="s">
        <v>8374</v>
      </c>
      <c r="G7614" s="4" t="str">
        <f>HYPERLINK("https://diaocthongthai.com/xa-ia-khai-ia-grai/","Xã Ia Khai")</f>
        <v>Xã Ia Khai</v>
      </c>
    </row>
    <row r="7615" spans="1:7" x14ac:dyDescent="0.25">
      <c r="A7615" s="2">
        <v>7614</v>
      </c>
      <c r="B7615" s="3" t="s">
        <v>43</v>
      </c>
      <c r="C7615" s="4" t="str">
        <f t="shared" si="637"/>
        <v>Gia Lai</v>
      </c>
      <c r="D7615" s="3" t="s">
        <v>517</v>
      </c>
      <c r="E7615" s="4" t="str">
        <f t="shared" si="639"/>
        <v>Huyện Ia Grai</v>
      </c>
      <c r="F7615" s="3" t="s">
        <v>8375</v>
      </c>
      <c r="G7615" s="4" t="str">
        <f>HYPERLINK("https://diaocthongthai.com/xa-ia-krai-ia-grai/","Xã Ia KRai")</f>
        <v>Xã Ia KRai</v>
      </c>
    </row>
    <row r="7616" spans="1:7" x14ac:dyDescent="0.25">
      <c r="A7616" s="2">
        <v>7615</v>
      </c>
      <c r="B7616" s="3" t="s">
        <v>43</v>
      </c>
      <c r="C7616" s="4" t="str">
        <f t="shared" si="637"/>
        <v>Gia Lai</v>
      </c>
      <c r="D7616" s="3" t="s">
        <v>517</v>
      </c>
      <c r="E7616" s="4" t="str">
        <f t="shared" si="639"/>
        <v>Huyện Ia Grai</v>
      </c>
      <c r="F7616" s="3" t="s">
        <v>8376</v>
      </c>
      <c r="G7616" s="4" t="str">
        <f>HYPERLINK("https://diaocthongthai.com/xa-ia-grang-ia-grai/","Xã Ia Grăng")</f>
        <v>Xã Ia Grăng</v>
      </c>
    </row>
    <row r="7617" spans="1:7" x14ac:dyDescent="0.25">
      <c r="A7617" s="2">
        <v>7616</v>
      </c>
      <c r="B7617" s="3" t="s">
        <v>43</v>
      </c>
      <c r="C7617" s="4" t="str">
        <f t="shared" si="637"/>
        <v>Gia Lai</v>
      </c>
      <c r="D7617" s="3" t="s">
        <v>517</v>
      </c>
      <c r="E7617" s="4" t="str">
        <f t="shared" si="639"/>
        <v>Huyện Ia Grai</v>
      </c>
      <c r="F7617" s="3" t="s">
        <v>8377</v>
      </c>
      <c r="G7617" s="4" t="str">
        <f>HYPERLINK("https://diaocthongthai.com/xa-ia-to-ia-grai/","Xã Ia Tô")</f>
        <v>Xã Ia Tô</v>
      </c>
    </row>
    <row r="7618" spans="1:7" x14ac:dyDescent="0.25">
      <c r="A7618" s="2">
        <v>7617</v>
      </c>
      <c r="B7618" s="3" t="s">
        <v>43</v>
      </c>
      <c r="C7618" s="4" t="str">
        <f t="shared" si="637"/>
        <v>Gia Lai</v>
      </c>
      <c r="D7618" s="3" t="s">
        <v>517</v>
      </c>
      <c r="E7618" s="4" t="str">
        <f t="shared" si="639"/>
        <v>Huyện Ia Grai</v>
      </c>
      <c r="F7618" s="3" t="s">
        <v>8378</v>
      </c>
      <c r="G7618" s="4" t="str">
        <f>HYPERLINK("https://diaocthongthai.com/xa-ia-o-ia-grai/","Xã Ia O")</f>
        <v>Xã Ia O</v>
      </c>
    </row>
    <row r="7619" spans="1:7" x14ac:dyDescent="0.25">
      <c r="A7619" s="2">
        <v>7618</v>
      </c>
      <c r="B7619" s="3" t="s">
        <v>43</v>
      </c>
      <c r="C7619" s="4" t="str">
        <f t="shared" si="637"/>
        <v>Gia Lai</v>
      </c>
      <c r="D7619" s="3" t="s">
        <v>517</v>
      </c>
      <c r="E7619" s="4" t="str">
        <f t="shared" si="639"/>
        <v>Huyện Ia Grai</v>
      </c>
      <c r="F7619" s="3" t="s">
        <v>8379</v>
      </c>
      <c r="G7619" s="4" t="str">
        <f>HYPERLINK("https://diaocthongthai.com/xa-ia-der-ia-grai/","Xã Ia Dêr")</f>
        <v>Xã Ia Dêr</v>
      </c>
    </row>
    <row r="7620" spans="1:7" x14ac:dyDescent="0.25">
      <c r="A7620" s="2">
        <v>7619</v>
      </c>
      <c r="B7620" s="3" t="s">
        <v>43</v>
      </c>
      <c r="C7620" s="4" t="str">
        <f t="shared" si="637"/>
        <v>Gia Lai</v>
      </c>
      <c r="D7620" s="3" t="s">
        <v>517</v>
      </c>
      <c r="E7620" s="4" t="str">
        <f t="shared" si="639"/>
        <v>Huyện Ia Grai</v>
      </c>
      <c r="F7620" s="3" t="s">
        <v>8380</v>
      </c>
      <c r="G7620" s="4" t="str">
        <f>HYPERLINK("https://diaocthongthai.com/xa-ia-chia-ia-grai/","Xã Ia Chia")</f>
        <v>Xã Ia Chia</v>
      </c>
    </row>
    <row r="7621" spans="1:7" x14ac:dyDescent="0.25">
      <c r="A7621" s="2">
        <v>7620</v>
      </c>
      <c r="B7621" s="3" t="s">
        <v>43</v>
      </c>
      <c r="C7621" s="4" t="str">
        <f t="shared" si="637"/>
        <v>Gia Lai</v>
      </c>
      <c r="D7621" s="3" t="s">
        <v>517</v>
      </c>
      <c r="E7621" s="4" t="str">
        <f t="shared" si="639"/>
        <v>Huyện Ia Grai</v>
      </c>
      <c r="F7621" s="3" t="s">
        <v>8381</v>
      </c>
      <c r="G7621" s="4" t="str">
        <f>HYPERLINK("https://diaocthongthai.com/xa-ia-pech-ia-grai/","Xã Ia Pếch")</f>
        <v>Xã Ia Pếch</v>
      </c>
    </row>
    <row r="7622" spans="1:7" x14ac:dyDescent="0.25">
      <c r="A7622" s="2">
        <v>7621</v>
      </c>
      <c r="B7622" s="3" t="s">
        <v>43</v>
      </c>
      <c r="C7622" s="4" t="str">
        <f t="shared" si="637"/>
        <v>Gia Lai</v>
      </c>
      <c r="D7622" s="3" t="s">
        <v>518</v>
      </c>
      <c r="E7622" s="4" t="str">
        <f t="shared" ref="E7622:E7633" si="640">HYPERLINK("https://diaocthongthai.com/ban-do-huyen-mang-yang-gia-lai/","Huyện Mang Yang")</f>
        <v>Huyện Mang Yang</v>
      </c>
      <c r="F7622" s="3" t="s">
        <v>8382</v>
      </c>
      <c r="G7622" s="4" t="str">
        <f>HYPERLINK("https://diaocthongthai.com/thi-tran-kon-dong-mang-yang/","Thị trấn Kon Dơng")</f>
        <v>Thị trấn Kon Dơng</v>
      </c>
    </row>
    <row r="7623" spans="1:7" x14ac:dyDescent="0.25">
      <c r="A7623" s="2">
        <v>7622</v>
      </c>
      <c r="B7623" s="3" t="s">
        <v>43</v>
      </c>
      <c r="C7623" s="4" t="str">
        <f t="shared" si="637"/>
        <v>Gia Lai</v>
      </c>
      <c r="D7623" s="3" t="s">
        <v>518</v>
      </c>
      <c r="E7623" s="4" t="str">
        <f t="shared" si="640"/>
        <v>Huyện Mang Yang</v>
      </c>
      <c r="F7623" s="3" t="s">
        <v>8383</v>
      </c>
      <c r="G7623" s="4" t="str">
        <f>HYPERLINK("https://diaocthongthai.com/xa-ayun-mang-yang/","Xã Ayun")</f>
        <v>Xã Ayun</v>
      </c>
    </row>
    <row r="7624" spans="1:7" x14ac:dyDescent="0.25">
      <c r="A7624" s="2">
        <v>7623</v>
      </c>
      <c r="B7624" s="3" t="s">
        <v>43</v>
      </c>
      <c r="C7624" s="4" t="str">
        <f t="shared" si="637"/>
        <v>Gia Lai</v>
      </c>
      <c r="D7624" s="3" t="s">
        <v>518</v>
      </c>
      <c r="E7624" s="4" t="str">
        <f t="shared" si="640"/>
        <v>Huyện Mang Yang</v>
      </c>
      <c r="F7624" s="3" t="s">
        <v>8384</v>
      </c>
      <c r="G7624" s="4" t="str">
        <f>HYPERLINK("https://diaocthongthai.com/xa-dak-jo-ta-mang-yang/","Xã Đak Jơ Ta")</f>
        <v>Xã Đak Jơ Ta</v>
      </c>
    </row>
    <row r="7625" spans="1:7" x14ac:dyDescent="0.25">
      <c r="A7625" s="2">
        <v>7624</v>
      </c>
      <c r="B7625" s="3" t="s">
        <v>43</v>
      </c>
      <c r="C7625" s="4" t="str">
        <f t="shared" si="637"/>
        <v>Gia Lai</v>
      </c>
      <c r="D7625" s="3" t="s">
        <v>518</v>
      </c>
      <c r="E7625" s="4" t="str">
        <f t="shared" si="640"/>
        <v>Huyện Mang Yang</v>
      </c>
      <c r="F7625" s="3" t="s">
        <v>8385</v>
      </c>
      <c r="G7625" s="4" t="str">
        <f>HYPERLINK("https://diaocthongthai.com/xa-dak-ta-ley-mang-yang/","Xã Đak Ta Ley")</f>
        <v>Xã Đak Ta Ley</v>
      </c>
    </row>
    <row r="7626" spans="1:7" x14ac:dyDescent="0.25">
      <c r="A7626" s="2">
        <v>7625</v>
      </c>
      <c r="B7626" s="3" t="s">
        <v>43</v>
      </c>
      <c r="C7626" s="4" t="str">
        <f t="shared" si="637"/>
        <v>Gia Lai</v>
      </c>
      <c r="D7626" s="3" t="s">
        <v>518</v>
      </c>
      <c r="E7626" s="4" t="str">
        <f t="shared" si="640"/>
        <v>Huyện Mang Yang</v>
      </c>
      <c r="F7626" s="3" t="s">
        <v>8386</v>
      </c>
      <c r="G7626" s="4" t="str">
        <f>HYPERLINK("https://diaocthongthai.com/xa-hra-mang-yang/","Xã Hra")</f>
        <v>Xã Hra</v>
      </c>
    </row>
    <row r="7627" spans="1:7" x14ac:dyDescent="0.25">
      <c r="A7627" s="2">
        <v>7626</v>
      </c>
      <c r="B7627" s="3" t="s">
        <v>43</v>
      </c>
      <c r="C7627" s="4" t="str">
        <f t="shared" si="637"/>
        <v>Gia Lai</v>
      </c>
      <c r="D7627" s="3" t="s">
        <v>518</v>
      </c>
      <c r="E7627" s="4" t="str">
        <f t="shared" si="640"/>
        <v>Huyện Mang Yang</v>
      </c>
      <c r="F7627" s="3" t="s">
        <v>8387</v>
      </c>
      <c r="G7627" s="4" t="str">
        <f>HYPERLINK("https://diaocthongthai.com/xa-dak-ya-mang-yang/","Xã Đăk Yă")</f>
        <v>Xã Đăk Yă</v>
      </c>
    </row>
    <row r="7628" spans="1:7" x14ac:dyDescent="0.25">
      <c r="A7628" s="2">
        <v>7627</v>
      </c>
      <c r="B7628" s="3" t="s">
        <v>43</v>
      </c>
      <c r="C7628" s="4" t="str">
        <f t="shared" si="637"/>
        <v>Gia Lai</v>
      </c>
      <c r="D7628" s="3" t="s">
        <v>518</v>
      </c>
      <c r="E7628" s="4" t="str">
        <f t="shared" si="640"/>
        <v>Huyện Mang Yang</v>
      </c>
      <c r="F7628" s="3" t="s">
        <v>8388</v>
      </c>
      <c r="G7628" s="4" t="str">
        <f>HYPERLINK("https://diaocthongthai.com/xa-dak-djrang-mang-yang/","Xã Đăk Djrăng")</f>
        <v>Xã Đăk Djrăng</v>
      </c>
    </row>
    <row r="7629" spans="1:7" x14ac:dyDescent="0.25">
      <c r="A7629" s="2">
        <v>7628</v>
      </c>
      <c r="B7629" s="3" t="s">
        <v>43</v>
      </c>
      <c r="C7629" s="4" t="str">
        <f t="shared" si="637"/>
        <v>Gia Lai</v>
      </c>
      <c r="D7629" s="3" t="s">
        <v>518</v>
      </c>
      <c r="E7629" s="4" t="str">
        <f t="shared" si="640"/>
        <v>Huyện Mang Yang</v>
      </c>
      <c r="F7629" s="3" t="s">
        <v>8389</v>
      </c>
      <c r="G7629" s="4" t="str">
        <f>HYPERLINK("https://diaocthongthai.com/xa-lo-pang-mang-yang/","Xã Lơ Pang")</f>
        <v>Xã Lơ Pang</v>
      </c>
    </row>
    <row r="7630" spans="1:7" x14ac:dyDescent="0.25">
      <c r="A7630" s="2">
        <v>7629</v>
      </c>
      <c r="B7630" s="3" t="s">
        <v>43</v>
      </c>
      <c r="C7630" s="4" t="str">
        <f t="shared" si="637"/>
        <v>Gia Lai</v>
      </c>
      <c r="D7630" s="3" t="s">
        <v>518</v>
      </c>
      <c r="E7630" s="4" t="str">
        <f t="shared" si="640"/>
        <v>Huyện Mang Yang</v>
      </c>
      <c r="F7630" s="3" t="s">
        <v>8390</v>
      </c>
      <c r="G7630" s="4" t="str">
        <f>HYPERLINK("https://diaocthongthai.com/xa-kon-thup-mang-yang/","Xã Kon Thụp")</f>
        <v>Xã Kon Thụp</v>
      </c>
    </row>
    <row r="7631" spans="1:7" x14ac:dyDescent="0.25">
      <c r="A7631" s="2">
        <v>7630</v>
      </c>
      <c r="B7631" s="3" t="s">
        <v>43</v>
      </c>
      <c r="C7631" s="4" t="str">
        <f t="shared" si="637"/>
        <v>Gia Lai</v>
      </c>
      <c r="D7631" s="3" t="s">
        <v>518</v>
      </c>
      <c r="E7631" s="4" t="str">
        <f t="shared" si="640"/>
        <v>Huyện Mang Yang</v>
      </c>
      <c r="F7631" s="3" t="s">
        <v>8391</v>
      </c>
      <c r="G7631" s="4" t="str">
        <f>HYPERLINK("https://diaocthongthai.com/xa-de-ar-mang-yang/","Xã Đê Ar")</f>
        <v>Xã Đê Ar</v>
      </c>
    </row>
    <row r="7632" spans="1:7" x14ac:dyDescent="0.25">
      <c r="A7632" s="2">
        <v>7631</v>
      </c>
      <c r="B7632" s="3" t="s">
        <v>43</v>
      </c>
      <c r="C7632" s="4" t="str">
        <f t="shared" si="637"/>
        <v>Gia Lai</v>
      </c>
      <c r="D7632" s="3" t="s">
        <v>518</v>
      </c>
      <c r="E7632" s="4" t="str">
        <f t="shared" si="640"/>
        <v>Huyện Mang Yang</v>
      </c>
      <c r="F7632" s="3" t="s">
        <v>8392</v>
      </c>
      <c r="G7632" s="4" t="str">
        <f>HYPERLINK("https://diaocthongthai.com/xa-kon-chieng-mang-yang/","Xã Kon Chiêng")</f>
        <v>Xã Kon Chiêng</v>
      </c>
    </row>
    <row r="7633" spans="1:7" x14ac:dyDescent="0.25">
      <c r="A7633" s="2">
        <v>7632</v>
      </c>
      <c r="B7633" s="3" t="s">
        <v>43</v>
      </c>
      <c r="C7633" s="4" t="str">
        <f t="shared" si="637"/>
        <v>Gia Lai</v>
      </c>
      <c r="D7633" s="3" t="s">
        <v>518</v>
      </c>
      <c r="E7633" s="4" t="str">
        <f t="shared" si="640"/>
        <v>Huyện Mang Yang</v>
      </c>
      <c r="F7633" s="3" t="s">
        <v>8393</v>
      </c>
      <c r="G7633" s="4" t="str">
        <f>HYPERLINK("https://diaocthongthai.com/xa-dak-troi-mang-yang/","Xã Đăk Trôi")</f>
        <v>Xã Đăk Trôi</v>
      </c>
    </row>
    <row r="7634" spans="1:7" x14ac:dyDescent="0.25">
      <c r="A7634" s="2">
        <v>7633</v>
      </c>
      <c r="B7634" s="3" t="s">
        <v>43</v>
      </c>
      <c r="C7634" s="4" t="str">
        <f t="shared" si="637"/>
        <v>Gia Lai</v>
      </c>
      <c r="D7634" s="3" t="s">
        <v>519</v>
      </c>
      <c r="E7634" s="4" t="str">
        <f t="shared" ref="E7634:E7647" si="641">HYPERLINK("https://diaocthongthai.com/ban-do-huyen-kong-chro-gia-lai/","Huyện Kông Chro")</f>
        <v>Huyện Kông Chro</v>
      </c>
      <c r="F7634" s="3" t="s">
        <v>8394</v>
      </c>
      <c r="G7634" s="4" t="str">
        <f>HYPERLINK("https://diaocthongthai.com/thi-tran-kong-chro-kong-chro/","Thị trấn Kông Chro")</f>
        <v>Thị trấn Kông Chro</v>
      </c>
    </row>
    <row r="7635" spans="1:7" x14ac:dyDescent="0.25">
      <c r="A7635" s="2">
        <v>7634</v>
      </c>
      <c r="B7635" s="3" t="s">
        <v>43</v>
      </c>
      <c r="C7635" s="4" t="str">
        <f t="shared" si="637"/>
        <v>Gia Lai</v>
      </c>
      <c r="D7635" s="3" t="s">
        <v>519</v>
      </c>
      <c r="E7635" s="4" t="str">
        <f t="shared" si="641"/>
        <v>Huyện Kông Chro</v>
      </c>
      <c r="F7635" s="3" t="s">
        <v>8395</v>
      </c>
      <c r="G7635" s="4" t="str">
        <f>HYPERLINK("https://diaocthongthai.com/xa-chu-krey-kong-chro/","Xã Chư Krêy")</f>
        <v>Xã Chư Krêy</v>
      </c>
    </row>
    <row r="7636" spans="1:7" x14ac:dyDescent="0.25">
      <c r="A7636" s="2">
        <v>7635</v>
      </c>
      <c r="B7636" s="3" t="s">
        <v>43</v>
      </c>
      <c r="C7636" s="4" t="str">
        <f t="shared" si="637"/>
        <v>Gia Lai</v>
      </c>
      <c r="D7636" s="3" t="s">
        <v>519</v>
      </c>
      <c r="E7636" s="4" t="str">
        <f t="shared" si="641"/>
        <v>Huyện Kông Chro</v>
      </c>
      <c r="F7636" s="3" t="s">
        <v>8396</v>
      </c>
      <c r="G7636" s="4" t="str">
        <f>HYPERLINK("https://diaocthongthai.com/xa-an-trung-kong-chro/","Xã An Trung")</f>
        <v>Xã An Trung</v>
      </c>
    </row>
    <row r="7637" spans="1:7" x14ac:dyDescent="0.25">
      <c r="A7637" s="2">
        <v>7636</v>
      </c>
      <c r="B7637" s="3" t="s">
        <v>43</v>
      </c>
      <c r="C7637" s="4" t="str">
        <f t="shared" si="637"/>
        <v>Gia Lai</v>
      </c>
      <c r="D7637" s="3" t="s">
        <v>519</v>
      </c>
      <c r="E7637" s="4" t="str">
        <f t="shared" si="641"/>
        <v>Huyện Kông Chro</v>
      </c>
      <c r="F7637" s="3" t="s">
        <v>8397</v>
      </c>
      <c r="G7637" s="4" t="str">
        <f>HYPERLINK("https://diaocthongthai.com/xa-kong-yang-kong-chro/","Xã Kông Yang")</f>
        <v>Xã Kông Yang</v>
      </c>
    </row>
    <row r="7638" spans="1:7" x14ac:dyDescent="0.25">
      <c r="A7638" s="2">
        <v>7637</v>
      </c>
      <c r="B7638" s="3" t="s">
        <v>43</v>
      </c>
      <c r="C7638" s="4" t="str">
        <f t="shared" si="637"/>
        <v>Gia Lai</v>
      </c>
      <c r="D7638" s="3" t="s">
        <v>519</v>
      </c>
      <c r="E7638" s="4" t="str">
        <f t="shared" si="641"/>
        <v>Huyện Kông Chro</v>
      </c>
      <c r="F7638" s="3" t="s">
        <v>8398</v>
      </c>
      <c r="G7638" s="4" t="str">
        <f>HYPERLINK("https://diaocthongthai.com/xa-dak-to-pang-kong-chro/","Xã Đăk Tơ Pang")</f>
        <v>Xã Đăk Tơ Pang</v>
      </c>
    </row>
    <row r="7639" spans="1:7" x14ac:dyDescent="0.25">
      <c r="A7639" s="2">
        <v>7638</v>
      </c>
      <c r="B7639" s="3" t="s">
        <v>43</v>
      </c>
      <c r="C7639" s="4" t="str">
        <f t="shared" si="637"/>
        <v>Gia Lai</v>
      </c>
      <c r="D7639" s="3" t="s">
        <v>519</v>
      </c>
      <c r="E7639" s="4" t="str">
        <f t="shared" si="641"/>
        <v>Huyện Kông Chro</v>
      </c>
      <c r="F7639" s="3" t="s">
        <v>8399</v>
      </c>
      <c r="G7639" s="4" t="str">
        <f>HYPERLINK("https://diaocthongthai.com/xa-sro-kong-chro/","Xã SRó")</f>
        <v>Xã SRó</v>
      </c>
    </row>
    <row r="7640" spans="1:7" x14ac:dyDescent="0.25">
      <c r="A7640" s="2">
        <v>7639</v>
      </c>
      <c r="B7640" s="3" t="s">
        <v>43</v>
      </c>
      <c r="C7640" s="4" t="str">
        <f t="shared" si="637"/>
        <v>Gia Lai</v>
      </c>
      <c r="D7640" s="3" t="s">
        <v>519</v>
      </c>
      <c r="E7640" s="4" t="str">
        <f t="shared" si="641"/>
        <v>Huyện Kông Chro</v>
      </c>
      <c r="F7640" s="3" t="s">
        <v>8400</v>
      </c>
      <c r="G7640" s="4" t="str">
        <f>HYPERLINK("https://diaocthongthai.com/xa-dak-co-ning-kong-chro/","Xã Đắk Kơ Ning")</f>
        <v>Xã Đắk Kơ Ning</v>
      </c>
    </row>
    <row r="7641" spans="1:7" x14ac:dyDescent="0.25">
      <c r="A7641" s="2">
        <v>7640</v>
      </c>
      <c r="B7641" s="3" t="s">
        <v>43</v>
      </c>
      <c r="C7641" s="4" t="str">
        <f t="shared" si="637"/>
        <v>Gia Lai</v>
      </c>
      <c r="D7641" s="3" t="s">
        <v>519</v>
      </c>
      <c r="E7641" s="4" t="str">
        <f t="shared" si="641"/>
        <v>Huyện Kông Chro</v>
      </c>
      <c r="F7641" s="3" t="s">
        <v>8401</v>
      </c>
      <c r="G7641" s="4" t="str">
        <f>HYPERLINK("https://diaocthongthai.com/xa-dak-song-kong-chro/","Xã Đăk Song")</f>
        <v>Xã Đăk Song</v>
      </c>
    </row>
    <row r="7642" spans="1:7" x14ac:dyDescent="0.25">
      <c r="A7642" s="2">
        <v>7641</v>
      </c>
      <c r="B7642" s="3" t="s">
        <v>43</v>
      </c>
      <c r="C7642" s="4" t="str">
        <f t="shared" si="637"/>
        <v>Gia Lai</v>
      </c>
      <c r="D7642" s="3" t="s">
        <v>519</v>
      </c>
      <c r="E7642" s="4" t="str">
        <f t="shared" si="641"/>
        <v>Huyện Kông Chro</v>
      </c>
      <c r="F7642" s="3" t="s">
        <v>8402</v>
      </c>
      <c r="G7642" s="4" t="str">
        <f>HYPERLINK("https://diaocthongthai.com/xa-dak-pling-kong-chro/","Xã Đăk Pling")</f>
        <v>Xã Đăk Pling</v>
      </c>
    </row>
    <row r="7643" spans="1:7" x14ac:dyDescent="0.25">
      <c r="A7643" s="2">
        <v>7642</v>
      </c>
      <c r="B7643" s="3" t="s">
        <v>43</v>
      </c>
      <c r="C7643" s="4" t="str">
        <f t="shared" si="637"/>
        <v>Gia Lai</v>
      </c>
      <c r="D7643" s="3" t="s">
        <v>519</v>
      </c>
      <c r="E7643" s="4" t="str">
        <f t="shared" si="641"/>
        <v>Huyện Kông Chro</v>
      </c>
      <c r="F7643" s="3" t="s">
        <v>8403</v>
      </c>
      <c r="G7643" s="4" t="str">
        <f>HYPERLINK("https://diaocthongthai.com/xa-yang-trung-kong-chro/","Xã Yang Trung")</f>
        <v>Xã Yang Trung</v>
      </c>
    </row>
    <row r="7644" spans="1:7" x14ac:dyDescent="0.25">
      <c r="A7644" s="2">
        <v>7643</v>
      </c>
      <c r="B7644" s="3" t="s">
        <v>43</v>
      </c>
      <c r="C7644" s="4" t="str">
        <f t="shared" si="637"/>
        <v>Gia Lai</v>
      </c>
      <c r="D7644" s="3" t="s">
        <v>519</v>
      </c>
      <c r="E7644" s="4" t="str">
        <f t="shared" si="641"/>
        <v>Huyện Kông Chro</v>
      </c>
      <c r="F7644" s="3" t="s">
        <v>8404</v>
      </c>
      <c r="G7644" s="4" t="str">
        <f>HYPERLINK("https://diaocthongthai.com/xa-dak-po-pho-kong-chro/","Xã Đăk Pơ Pho")</f>
        <v>Xã Đăk Pơ Pho</v>
      </c>
    </row>
    <row r="7645" spans="1:7" x14ac:dyDescent="0.25">
      <c r="A7645" s="2">
        <v>7644</v>
      </c>
      <c r="B7645" s="3" t="s">
        <v>43</v>
      </c>
      <c r="C7645" s="4" t="str">
        <f t="shared" si="637"/>
        <v>Gia Lai</v>
      </c>
      <c r="D7645" s="3" t="s">
        <v>519</v>
      </c>
      <c r="E7645" s="4" t="str">
        <f t="shared" si="641"/>
        <v>Huyện Kông Chro</v>
      </c>
      <c r="F7645" s="3" t="s">
        <v>8405</v>
      </c>
      <c r="G7645" s="4" t="str">
        <f>HYPERLINK("https://diaocthongthai.com/xa-ya-ma-kong-chro/","Xã Ya Ma")</f>
        <v>Xã Ya Ma</v>
      </c>
    </row>
    <row r="7646" spans="1:7" x14ac:dyDescent="0.25">
      <c r="A7646" s="2">
        <v>7645</v>
      </c>
      <c r="B7646" s="3" t="s">
        <v>43</v>
      </c>
      <c r="C7646" s="4" t="str">
        <f t="shared" si="637"/>
        <v>Gia Lai</v>
      </c>
      <c r="D7646" s="3" t="s">
        <v>519</v>
      </c>
      <c r="E7646" s="4" t="str">
        <f t="shared" si="641"/>
        <v>Huyện Kông Chro</v>
      </c>
      <c r="F7646" s="3" t="s">
        <v>8406</v>
      </c>
      <c r="G7646" s="4" t="str">
        <f>HYPERLINK("https://diaocthongthai.com/xa-cho-long-kong-chro/","Xã Chơ Long")</f>
        <v>Xã Chơ Long</v>
      </c>
    </row>
    <row r="7647" spans="1:7" x14ac:dyDescent="0.25">
      <c r="A7647" s="2">
        <v>7646</v>
      </c>
      <c r="B7647" s="3" t="s">
        <v>43</v>
      </c>
      <c r="C7647" s="4" t="str">
        <f t="shared" si="637"/>
        <v>Gia Lai</v>
      </c>
      <c r="D7647" s="3" t="s">
        <v>519</v>
      </c>
      <c r="E7647" s="4" t="str">
        <f t="shared" si="641"/>
        <v>Huyện Kông Chro</v>
      </c>
      <c r="F7647" s="3" t="s">
        <v>8407</v>
      </c>
      <c r="G7647" s="4" t="str">
        <f>HYPERLINK("https://diaocthongthai.com/xa-yang-nam-kong-chro/","Xã Yang Nam")</f>
        <v>Xã Yang Nam</v>
      </c>
    </row>
    <row r="7648" spans="1:7" x14ac:dyDescent="0.25">
      <c r="A7648" s="2">
        <v>7647</v>
      </c>
      <c r="B7648" s="3" t="s">
        <v>43</v>
      </c>
      <c r="C7648" s="4" t="str">
        <f t="shared" si="637"/>
        <v>Gia Lai</v>
      </c>
      <c r="D7648" s="3" t="s">
        <v>520</v>
      </c>
      <c r="E7648" s="4" t="str">
        <f t="shared" ref="E7648:E7657" si="642">HYPERLINK("https://diaocthongthai.com/ban-do-huyen-duc-co-gia-lai/","Huyện Đức Cơ")</f>
        <v>Huyện Đức Cơ</v>
      </c>
      <c r="F7648" s="3" t="s">
        <v>8408</v>
      </c>
      <c r="G7648" s="4" t="str">
        <f>HYPERLINK("https://diaocthongthai.com/thi-tran-chu-ty-duc-co/","Thị trấn Chư Ty")</f>
        <v>Thị trấn Chư Ty</v>
      </c>
    </row>
    <row r="7649" spans="1:7" x14ac:dyDescent="0.25">
      <c r="A7649" s="2">
        <v>7648</v>
      </c>
      <c r="B7649" s="3" t="s">
        <v>43</v>
      </c>
      <c r="C7649" s="4" t="str">
        <f t="shared" si="637"/>
        <v>Gia Lai</v>
      </c>
      <c r="D7649" s="3" t="s">
        <v>520</v>
      </c>
      <c r="E7649" s="4" t="str">
        <f t="shared" si="642"/>
        <v>Huyện Đức Cơ</v>
      </c>
      <c r="F7649" s="3" t="s">
        <v>8409</v>
      </c>
      <c r="G7649" s="4" t="str">
        <f>HYPERLINK("https://diaocthongthai.com/xa-ia-dok-duc-co/","Xã Ia Dơk")</f>
        <v>Xã Ia Dơk</v>
      </c>
    </row>
    <row r="7650" spans="1:7" x14ac:dyDescent="0.25">
      <c r="A7650" s="2">
        <v>7649</v>
      </c>
      <c r="B7650" s="3" t="s">
        <v>43</v>
      </c>
      <c r="C7650" s="4" t="str">
        <f t="shared" si="637"/>
        <v>Gia Lai</v>
      </c>
      <c r="D7650" s="3" t="s">
        <v>520</v>
      </c>
      <c r="E7650" s="4" t="str">
        <f t="shared" si="642"/>
        <v>Huyện Đức Cơ</v>
      </c>
      <c r="F7650" s="3" t="s">
        <v>8410</v>
      </c>
      <c r="G7650" s="4" t="str">
        <f>HYPERLINK("https://diaocthongthai.com/xa-ia-krel-duc-co/","Xã Ia Krêl")</f>
        <v>Xã Ia Krêl</v>
      </c>
    </row>
    <row r="7651" spans="1:7" x14ac:dyDescent="0.25">
      <c r="A7651" s="2">
        <v>7650</v>
      </c>
      <c r="B7651" s="3" t="s">
        <v>43</v>
      </c>
      <c r="C7651" s="4" t="str">
        <f t="shared" ref="C7651:C7714" si="643">HYPERLINK("https://diaocthongthai.com/ban-do-gia-lai/","Gia Lai")</f>
        <v>Gia Lai</v>
      </c>
      <c r="D7651" s="3" t="s">
        <v>520</v>
      </c>
      <c r="E7651" s="4" t="str">
        <f t="shared" si="642"/>
        <v>Huyện Đức Cơ</v>
      </c>
      <c r="F7651" s="3" t="s">
        <v>8411</v>
      </c>
      <c r="G7651" s="4" t="str">
        <f>HYPERLINK("https://diaocthongthai.com/xa-ia-din-duc-co/","Xã Ia Din")</f>
        <v>Xã Ia Din</v>
      </c>
    </row>
    <row r="7652" spans="1:7" x14ac:dyDescent="0.25">
      <c r="A7652" s="2">
        <v>7651</v>
      </c>
      <c r="B7652" s="3" t="s">
        <v>43</v>
      </c>
      <c r="C7652" s="4" t="str">
        <f t="shared" si="643"/>
        <v>Gia Lai</v>
      </c>
      <c r="D7652" s="3" t="s">
        <v>520</v>
      </c>
      <c r="E7652" s="4" t="str">
        <f t="shared" si="642"/>
        <v>Huyện Đức Cơ</v>
      </c>
      <c r="F7652" s="3" t="s">
        <v>8412</v>
      </c>
      <c r="G7652" s="4" t="str">
        <f>HYPERLINK("https://diaocthongthai.com/xa-ia-kla-duc-co/","Xã Ia Kla")</f>
        <v>Xã Ia Kla</v>
      </c>
    </row>
    <row r="7653" spans="1:7" x14ac:dyDescent="0.25">
      <c r="A7653" s="2">
        <v>7652</v>
      </c>
      <c r="B7653" s="3" t="s">
        <v>43</v>
      </c>
      <c r="C7653" s="4" t="str">
        <f t="shared" si="643"/>
        <v>Gia Lai</v>
      </c>
      <c r="D7653" s="3" t="s">
        <v>520</v>
      </c>
      <c r="E7653" s="4" t="str">
        <f t="shared" si="642"/>
        <v>Huyện Đức Cơ</v>
      </c>
      <c r="F7653" s="3" t="s">
        <v>8413</v>
      </c>
      <c r="G7653" s="4" t="str">
        <f>HYPERLINK("https://diaocthongthai.com/xa-ia-dom-duc-co/","Xã Ia Dom")</f>
        <v>Xã Ia Dom</v>
      </c>
    </row>
    <row r="7654" spans="1:7" x14ac:dyDescent="0.25">
      <c r="A7654" s="2">
        <v>7653</v>
      </c>
      <c r="B7654" s="3" t="s">
        <v>43</v>
      </c>
      <c r="C7654" s="4" t="str">
        <f t="shared" si="643"/>
        <v>Gia Lai</v>
      </c>
      <c r="D7654" s="3" t="s">
        <v>520</v>
      </c>
      <c r="E7654" s="4" t="str">
        <f t="shared" si="642"/>
        <v>Huyện Đức Cơ</v>
      </c>
      <c r="F7654" s="3" t="s">
        <v>8414</v>
      </c>
      <c r="G7654" s="4" t="str">
        <f>HYPERLINK("https://diaocthongthai.com/xa-ia-lang-duc-co/","Xã Ia Lang")</f>
        <v>Xã Ia Lang</v>
      </c>
    </row>
    <row r="7655" spans="1:7" x14ac:dyDescent="0.25">
      <c r="A7655" s="2">
        <v>7654</v>
      </c>
      <c r="B7655" s="3" t="s">
        <v>43</v>
      </c>
      <c r="C7655" s="4" t="str">
        <f t="shared" si="643"/>
        <v>Gia Lai</v>
      </c>
      <c r="D7655" s="3" t="s">
        <v>520</v>
      </c>
      <c r="E7655" s="4" t="str">
        <f t="shared" si="642"/>
        <v>Huyện Đức Cơ</v>
      </c>
      <c r="F7655" s="3" t="s">
        <v>8415</v>
      </c>
      <c r="G7655" s="4" t="str">
        <f>HYPERLINK("https://diaocthongthai.com/xa-ia-krieng-duc-co/","Xã Ia Kriêng")</f>
        <v>Xã Ia Kriêng</v>
      </c>
    </row>
    <row r="7656" spans="1:7" x14ac:dyDescent="0.25">
      <c r="A7656" s="2">
        <v>7655</v>
      </c>
      <c r="B7656" s="3" t="s">
        <v>43</v>
      </c>
      <c r="C7656" s="4" t="str">
        <f t="shared" si="643"/>
        <v>Gia Lai</v>
      </c>
      <c r="D7656" s="3" t="s">
        <v>520</v>
      </c>
      <c r="E7656" s="4" t="str">
        <f t="shared" si="642"/>
        <v>Huyện Đức Cơ</v>
      </c>
      <c r="F7656" s="3" t="s">
        <v>8416</v>
      </c>
      <c r="G7656" s="4" t="str">
        <f>HYPERLINK("https://diaocthongthai.com/xa-ia-pnon-duc-co/","Xã Ia Pnôn")</f>
        <v>Xã Ia Pnôn</v>
      </c>
    </row>
    <row r="7657" spans="1:7" x14ac:dyDescent="0.25">
      <c r="A7657" s="2">
        <v>7656</v>
      </c>
      <c r="B7657" s="3" t="s">
        <v>43</v>
      </c>
      <c r="C7657" s="4" t="str">
        <f t="shared" si="643"/>
        <v>Gia Lai</v>
      </c>
      <c r="D7657" s="3" t="s">
        <v>520</v>
      </c>
      <c r="E7657" s="4" t="str">
        <f t="shared" si="642"/>
        <v>Huyện Đức Cơ</v>
      </c>
      <c r="F7657" s="3" t="s">
        <v>8417</v>
      </c>
      <c r="G7657" s="4" t="str">
        <f>HYPERLINK("https://diaocthongthai.com/xa-ia-nan-duc-co/","Xã Ia Nan")</f>
        <v>Xã Ia Nan</v>
      </c>
    </row>
    <row r="7658" spans="1:7" x14ac:dyDescent="0.25">
      <c r="A7658" s="2">
        <v>7657</v>
      </c>
      <c r="B7658" s="3" t="s">
        <v>43</v>
      </c>
      <c r="C7658" s="4" t="str">
        <f t="shared" si="643"/>
        <v>Gia Lai</v>
      </c>
      <c r="D7658" s="3" t="s">
        <v>521</v>
      </c>
      <c r="E7658" s="4" t="str">
        <f t="shared" ref="E7658:E7677" si="644">HYPERLINK("https://diaocthongthai.com/ban-do-huyen-chu-prong-gia-lai/","Huyện Chư Prông")</f>
        <v>Huyện Chư Prông</v>
      </c>
      <c r="F7658" s="3" t="s">
        <v>8418</v>
      </c>
      <c r="G7658" s="4" t="str">
        <f>HYPERLINK("https://diaocthongthai.com/thi-tran-chu-prong-chu-prong/","Thị trấn Chư Prông")</f>
        <v>Thị trấn Chư Prông</v>
      </c>
    </row>
    <row r="7659" spans="1:7" x14ac:dyDescent="0.25">
      <c r="A7659" s="2">
        <v>7658</v>
      </c>
      <c r="B7659" s="3" t="s">
        <v>43</v>
      </c>
      <c r="C7659" s="4" t="str">
        <f t="shared" si="643"/>
        <v>Gia Lai</v>
      </c>
      <c r="D7659" s="3" t="s">
        <v>521</v>
      </c>
      <c r="E7659" s="4" t="str">
        <f t="shared" si="644"/>
        <v>Huyện Chư Prông</v>
      </c>
      <c r="F7659" s="3" t="s">
        <v>8419</v>
      </c>
      <c r="G7659" s="4" t="str">
        <f>HYPERLINK("https://diaocthongthai.com/xa-ia-kly-chu-prong/","Xã Ia Kly")</f>
        <v>Xã Ia Kly</v>
      </c>
    </row>
    <row r="7660" spans="1:7" x14ac:dyDescent="0.25">
      <c r="A7660" s="2">
        <v>7659</v>
      </c>
      <c r="B7660" s="3" t="s">
        <v>43</v>
      </c>
      <c r="C7660" s="4" t="str">
        <f t="shared" si="643"/>
        <v>Gia Lai</v>
      </c>
      <c r="D7660" s="3" t="s">
        <v>521</v>
      </c>
      <c r="E7660" s="4" t="str">
        <f t="shared" si="644"/>
        <v>Huyện Chư Prông</v>
      </c>
      <c r="F7660" s="3" t="s">
        <v>8420</v>
      </c>
      <c r="G7660" s="4" t="str">
        <f>HYPERLINK("https://diaocthongthai.com/xa-binh-giao-chu-prong/","Xã Bình Giáo")</f>
        <v>Xã Bình Giáo</v>
      </c>
    </row>
    <row r="7661" spans="1:7" x14ac:dyDescent="0.25">
      <c r="A7661" s="2">
        <v>7660</v>
      </c>
      <c r="B7661" s="3" t="s">
        <v>43</v>
      </c>
      <c r="C7661" s="4" t="str">
        <f t="shared" si="643"/>
        <v>Gia Lai</v>
      </c>
      <c r="D7661" s="3" t="s">
        <v>521</v>
      </c>
      <c r="E7661" s="4" t="str">
        <f t="shared" si="644"/>
        <v>Huyện Chư Prông</v>
      </c>
      <c r="F7661" s="3" t="s">
        <v>8421</v>
      </c>
      <c r="G7661" s="4" t="str">
        <f>HYPERLINK("https://diaocthongthai.com/xa-ia-drang-chu-prong/","Xã Ia Drăng")</f>
        <v>Xã Ia Drăng</v>
      </c>
    </row>
    <row r="7662" spans="1:7" x14ac:dyDescent="0.25">
      <c r="A7662" s="2">
        <v>7661</v>
      </c>
      <c r="B7662" s="3" t="s">
        <v>43</v>
      </c>
      <c r="C7662" s="4" t="str">
        <f t="shared" si="643"/>
        <v>Gia Lai</v>
      </c>
      <c r="D7662" s="3" t="s">
        <v>521</v>
      </c>
      <c r="E7662" s="4" t="str">
        <f t="shared" si="644"/>
        <v>Huyện Chư Prông</v>
      </c>
      <c r="F7662" s="3" t="s">
        <v>8422</v>
      </c>
      <c r="G7662" s="4" t="str">
        <f>HYPERLINK("https://diaocthongthai.com/xa-thang-hung-chu-prong/","Xã Thăng Hưng")</f>
        <v>Xã Thăng Hưng</v>
      </c>
    </row>
    <row r="7663" spans="1:7" x14ac:dyDescent="0.25">
      <c r="A7663" s="2">
        <v>7662</v>
      </c>
      <c r="B7663" s="3" t="s">
        <v>43</v>
      </c>
      <c r="C7663" s="4" t="str">
        <f t="shared" si="643"/>
        <v>Gia Lai</v>
      </c>
      <c r="D7663" s="3" t="s">
        <v>521</v>
      </c>
      <c r="E7663" s="4" t="str">
        <f t="shared" si="644"/>
        <v>Huyện Chư Prông</v>
      </c>
      <c r="F7663" s="3" t="s">
        <v>8423</v>
      </c>
      <c r="G7663" s="4" t="str">
        <f>HYPERLINK("https://diaocthongthai.com/xa-bau-can-chu-prong/","Xã Bàu Cạn")</f>
        <v>Xã Bàu Cạn</v>
      </c>
    </row>
    <row r="7664" spans="1:7" x14ac:dyDescent="0.25">
      <c r="A7664" s="2">
        <v>7663</v>
      </c>
      <c r="B7664" s="3" t="s">
        <v>43</v>
      </c>
      <c r="C7664" s="4" t="str">
        <f t="shared" si="643"/>
        <v>Gia Lai</v>
      </c>
      <c r="D7664" s="3" t="s">
        <v>521</v>
      </c>
      <c r="E7664" s="4" t="str">
        <f t="shared" si="644"/>
        <v>Huyện Chư Prông</v>
      </c>
      <c r="F7664" s="3" t="s">
        <v>8424</v>
      </c>
      <c r="G7664" s="4" t="str">
        <f>HYPERLINK("https://diaocthongthai.com/xa-ia-phin-chu-prong/","Xã Ia Phìn")</f>
        <v>Xã Ia Phìn</v>
      </c>
    </row>
    <row r="7665" spans="1:7" x14ac:dyDescent="0.25">
      <c r="A7665" s="2">
        <v>7664</v>
      </c>
      <c r="B7665" s="3" t="s">
        <v>43</v>
      </c>
      <c r="C7665" s="4" t="str">
        <f t="shared" si="643"/>
        <v>Gia Lai</v>
      </c>
      <c r="D7665" s="3" t="s">
        <v>521</v>
      </c>
      <c r="E7665" s="4" t="str">
        <f t="shared" si="644"/>
        <v>Huyện Chư Prông</v>
      </c>
      <c r="F7665" s="3" t="s">
        <v>8425</v>
      </c>
      <c r="G7665" s="4" t="str">
        <f>HYPERLINK("https://diaocthongthai.com/xa-ia-bang-2-chu-prong/","Xã Ia Băng")</f>
        <v>Xã Ia Băng</v>
      </c>
    </row>
    <row r="7666" spans="1:7" x14ac:dyDescent="0.25">
      <c r="A7666" s="2">
        <v>7665</v>
      </c>
      <c r="B7666" s="3" t="s">
        <v>43</v>
      </c>
      <c r="C7666" s="4" t="str">
        <f t="shared" si="643"/>
        <v>Gia Lai</v>
      </c>
      <c r="D7666" s="3" t="s">
        <v>521</v>
      </c>
      <c r="E7666" s="4" t="str">
        <f t="shared" si="644"/>
        <v>Huyện Chư Prông</v>
      </c>
      <c r="F7666" s="3" t="s">
        <v>8426</v>
      </c>
      <c r="G7666" s="4" t="str">
        <f>HYPERLINK("https://diaocthongthai.com/xa-ia-tor-chu-prong/","Xã Ia Tôr")</f>
        <v>Xã Ia Tôr</v>
      </c>
    </row>
    <row r="7667" spans="1:7" x14ac:dyDescent="0.25">
      <c r="A7667" s="2">
        <v>7666</v>
      </c>
      <c r="B7667" s="3" t="s">
        <v>43</v>
      </c>
      <c r="C7667" s="4" t="str">
        <f t="shared" si="643"/>
        <v>Gia Lai</v>
      </c>
      <c r="D7667" s="3" t="s">
        <v>521</v>
      </c>
      <c r="E7667" s="4" t="str">
        <f t="shared" si="644"/>
        <v>Huyện Chư Prông</v>
      </c>
      <c r="F7667" s="3" t="s">
        <v>8427</v>
      </c>
      <c r="G7667" s="4" t="str">
        <f>HYPERLINK("https://diaocthongthai.com/xa-ia-boong-chu-prong/","Xã Ia Boòng")</f>
        <v>Xã Ia Boòng</v>
      </c>
    </row>
    <row r="7668" spans="1:7" x14ac:dyDescent="0.25">
      <c r="A7668" s="2">
        <v>7667</v>
      </c>
      <c r="B7668" s="3" t="s">
        <v>43</v>
      </c>
      <c r="C7668" s="4" t="str">
        <f t="shared" si="643"/>
        <v>Gia Lai</v>
      </c>
      <c r="D7668" s="3" t="s">
        <v>521</v>
      </c>
      <c r="E7668" s="4" t="str">
        <f t="shared" si="644"/>
        <v>Huyện Chư Prông</v>
      </c>
      <c r="F7668" s="3" t="s">
        <v>8428</v>
      </c>
      <c r="G7668" s="4" t="str">
        <f>HYPERLINK("https://diaocthongthai.com/xa-ia-o-chu-prong/","Xã Ia O")</f>
        <v>Xã Ia O</v>
      </c>
    </row>
    <row r="7669" spans="1:7" x14ac:dyDescent="0.25">
      <c r="A7669" s="2">
        <v>7668</v>
      </c>
      <c r="B7669" s="3" t="s">
        <v>43</v>
      </c>
      <c r="C7669" s="4" t="str">
        <f t="shared" si="643"/>
        <v>Gia Lai</v>
      </c>
      <c r="D7669" s="3" t="s">
        <v>521</v>
      </c>
      <c r="E7669" s="4" t="str">
        <f t="shared" si="644"/>
        <v>Huyện Chư Prông</v>
      </c>
      <c r="F7669" s="3" t="s">
        <v>8429</v>
      </c>
      <c r="G7669" s="4" t="str">
        <f>HYPERLINK("https://diaocthongthai.com/xa-ia-puch-chu-prong/","Xã Ia Púch")</f>
        <v>Xã Ia Púch</v>
      </c>
    </row>
    <row r="7670" spans="1:7" x14ac:dyDescent="0.25">
      <c r="A7670" s="2">
        <v>7669</v>
      </c>
      <c r="B7670" s="3" t="s">
        <v>43</v>
      </c>
      <c r="C7670" s="4" t="str">
        <f t="shared" si="643"/>
        <v>Gia Lai</v>
      </c>
      <c r="D7670" s="3" t="s">
        <v>521</v>
      </c>
      <c r="E7670" s="4" t="str">
        <f t="shared" si="644"/>
        <v>Huyện Chư Prông</v>
      </c>
      <c r="F7670" s="3" t="s">
        <v>8430</v>
      </c>
      <c r="G7670" s="4" t="str">
        <f>HYPERLINK("https://diaocthongthai.com/xa-ia-me-chu-prong/","Xã Ia Me")</f>
        <v>Xã Ia Me</v>
      </c>
    </row>
    <row r="7671" spans="1:7" x14ac:dyDescent="0.25">
      <c r="A7671" s="2">
        <v>7670</v>
      </c>
      <c r="B7671" s="3" t="s">
        <v>43</v>
      </c>
      <c r="C7671" s="4" t="str">
        <f t="shared" si="643"/>
        <v>Gia Lai</v>
      </c>
      <c r="D7671" s="3" t="s">
        <v>521</v>
      </c>
      <c r="E7671" s="4" t="str">
        <f t="shared" si="644"/>
        <v>Huyện Chư Prông</v>
      </c>
      <c r="F7671" s="3" t="s">
        <v>8431</v>
      </c>
      <c r="G7671" s="4" t="str">
        <f>HYPERLINK("https://diaocthongthai.com/xa-ia-ve-chu-prong/","Xã Ia Vê")</f>
        <v>Xã Ia Vê</v>
      </c>
    </row>
    <row r="7672" spans="1:7" x14ac:dyDescent="0.25">
      <c r="A7672" s="2">
        <v>7671</v>
      </c>
      <c r="B7672" s="3" t="s">
        <v>43</v>
      </c>
      <c r="C7672" s="4" t="str">
        <f t="shared" si="643"/>
        <v>Gia Lai</v>
      </c>
      <c r="D7672" s="3" t="s">
        <v>521</v>
      </c>
      <c r="E7672" s="4" t="str">
        <f t="shared" si="644"/>
        <v>Huyện Chư Prông</v>
      </c>
      <c r="F7672" s="3" t="s">
        <v>8432</v>
      </c>
      <c r="G7672" s="4" t="str">
        <f>HYPERLINK("https://diaocthongthai.com/xa-ia-bang-1-chu-prong/","Xã Ia Bang")</f>
        <v>Xã Ia Bang</v>
      </c>
    </row>
    <row r="7673" spans="1:7" x14ac:dyDescent="0.25">
      <c r="A7673" s="2">
        <v>7672</v>
      </c>
      <c r="B7673" s="3" t="s">
        <v>43</v>
      </c>
      <c r="C7673" s="4" t="str">
        <f t="shared" si="643"/>
        <v>Gia Lai</v>
      </c>
      <c r="D7673" s="3" t="s">
        <v>521</v>
      </c>
      <c r="E7673" s="4" t="str">
        <f t="shared" si="644"/>
        <v>Huyện Chư Prông</v>
      </c>
      <c r="F7673" s="3" t="s">
        <v>8433</v>
      </c>
      <c r="G7673" s="4" t="str">
        <f>HYPERLINK("https://diaocthongthai.com/xa-ia-pia-chu-prong/","Xã Ia Pia")</f>
        <v>Xã Ia Pia</v>
      </c>
    </row>
    <row r="7674" spans="1:7" x14ac:dyDescent="0.25">
      <c r="A7674" s="2">
        <v>7673</v>
      </c>
      <c r="B7674" s="3" t="s">
        <v>43</v>
      </c>
      <c r="C7674" s="4" t="str">
        <f t="shared" si="643"/>
        <v>Gia Lai</v>
      </c>
      <c r="D7674" s="3" t="s">
        <v>521</v>
      </c>
      <c r="E7674" s="4" t="str">
        <f t="shared" si="644"/>
        <v>Huyện Chư Prông</v>
      </c>
      <c r="F7674" s="3" t="s">
        <v>8434</v>
      </c>
      <c r="G7674" s="4" t="str">
        <f>HYPERLINK("https://diaocthongthai.com/xa-ia-ga-chu-prong/","Xã Ia Ga")</f>
        <v>Xã Ia Ga</v>
      </c>
    </row>
    <row r="7675" spans="1:7" x14ac:dyDescent="0.25">
      <c r="A7675" s="2">
        <v>7674</v>
      </c>
      <c r="B7675" s="3" t="s">
        <v>43</v>
      </c>
      <c r="C7675" s="4" t="str">
        <f t="shared" si="643"/>
        <v>Gia Lai</v>
      </c>
      <c r="D7675" s="3" t="s">
        <v>521</v>
      </c>
      <c r="E7675" s="4" t="str">
        <f t="shared" si="644"/>
        <v>Huyện Chư Prông</v>
      </c>
      <c r="F7675" s="3" t="s">
        <v>8435</v>
      </c>
      <c r="G7675" s="4" t="str">
        <f>HYPERLINK("https://diaocthongthai.com/xa-ia-lau-chu-prong/","Xã Ia Lâu")</f>
        <v>Xã Ia Lâu</v>
      </c>
    </row>
    <row r="7676" spans="1:7" x14ac:dyDescent="0.25">
      <c r="A7676" s="2">
        <v>7675</v>
      </c>
      <c r="B7676" s="3" t="s">
        <v>43</v>
      </c>
      <c r="C7676" s="4" t="str">
        <f t="shared" si="643"/>
        <v>Gia Lai</v>
      </c>
      <c r="D7676" s="3" t="s">
        <v>521</v>
      </c>
      <c r="E7676" s="4" t="str">
        <f t="shared" si="644"/>
        <v>Huyện Chư Prông</v>
      </c>
      <c r="F7676" s="3" t="s">
        <v>8436</v>
      </c>
      <c r="G7676" s="4" t="str">
        <f>HYPERLINK("https://diaocthongthai.com/xa-ia-pior-chu-prong/","Xã Ia Piơr")</f>
        <v>Xã Ia Piơr</v>
      </c>
    </row>
    <row r="7677" spans="1:7" x14ac:dyDescent="0.25">
      <c r="A7677" s="2">
        <v>7676</v>
      </c>
      <c r="B7677" s="3" t="s">
        <v>43</v>
      </c>
      <c r="C7677" s="4" t="str">
        <f t="shared" si="643"/>
        <v>Gia Lai</v>
      </c>
      <c r="D7677" s="3" t="s">
        <v>521</v>
      </c>
      <c r="E7677" s="4" t="str">
        <f t="shared" si="644"/>
        <v>Huyện Chư Prông</v>
      </c>
      <c r="F7677" s="3" t="s">
        <v>8437</v>
      </c>
      <c r="G7677" s="4" t="str">
        <f>HYPERLINK("https://diaocthongthai.com/xa-ia-mo-chu-prong/","Xã Ia Mơ")</f>
        <v>Xã Ia Mơ</v>
      </c>
    </row>
    <row r="7678" spans="1:7" x14ac:dyDescent="0.25">
      <c r="A7678" s="2">
        <v>7677</v>
      </c>
      <c r="B7678" s="3" t="s">
        <v>43</v>
      </c>
      <c r="C7678" s="4" t="str">
        <f t="shared" si="643"/>
        <v>Gia Lai</v>
      </c>
      <c r="D7678" s="3" t="s">
        <v>522</v>
      </c>
      <c r="E7678" s="4" t="str">
        <f t="shared" ref="E7678:E7692" si="645">HYPERLINK("https://diaocthongthai.com/ban-do-huyen-chu-se-gia-lai/","Huyện Chư Sê")</f>
        <v>Huyện Chư Sê</v>
      </c>
      <c r="F7678" s="3" t="s">
        <v>8438</v>
      </c>
      <c r="G7678" s="4" t="str">
        <f>HYPERLINK("https://diaocthongthai.com/thi-tran-chu-se-chu-se/","Thị trấn Chư Sê")</f>
        <v>Thị trấn Chư Sê</v>
      </c>
    </row>
    <row r="7679" spans="1:7" x14ac:dyDescent="0.25">
      <c r="A7679" s="2">
        <v>7678</v>
      </c>
      <c r="B7679" s="3" t="s">
        <v>43</v>
      </c>
      <c r="C7679" s="4" t="str">
        <f t="shared" si="643"/>
        <v>Gia Lai</v>
      </c>
      <c r="D7679" s="3" t="s">
        <v>522</v>
      </c>
      <c r="E7679" s="4" t="str">
        <f t="shared" si="645"/>
        <v>Huyện Chư Sê</v>
      </c>
      <c r="F7679" s="3" t="s">
        <v>8439</v>
      </c>
      <c r="G7679" s="4" t="str">
        <f>HYPERLINK("https://diaocthongthai.com/xa-ia-tiem-chu-se/","Xã Ia Tiêm")</f>
        <v>Xã Ia Tiêm</v>
      </c>
    </row>
    <row r="7680" spans="1:7" x14ac:dyDescent="0.25">
      <c r="A7680" s="2">
        <v>7679</v>
      </c>
      <c r="B7680" s="3" t="s">
        <v>43</v>
      </c>
      <c r="C7680" s="4" t="str">
        <f t="shared" si="643"/>
        <v>Gia Lai</v>
      </c>
      <c r="D7680" s="3" t="s">
        <v>522</v>
      </c>
      <c r="E7680" s="4" t="str">
        <f t="shared" si="645"/>
        <v>Huyện Chư Sê</v>
      </c>
      <c r="F7680" s="3" t="s">
        <v>8440</v>
      </c>
      <c r="G7680" s="4" t="str">
        <f>HYPERLINK("https://diaocthongthai.com/xa-chu-pong-chu-se/","Xã Chư Pơng")</f>
        <v>Xã Chư Pơng</v>
      </c>
    </row>
    <row r="7681" spans="1:7" x14ac:dyDescent="0.25">
      <c r="A7681" s="2">
        <v>7680</v>
      </c>
      <c r="B7681" s="3" t="s">
        <v>43</v>
      </c>
      <c r="C7681" s="4" t="str">
        <f t="shared" si="643"/>
        <v>Gia Lai</v>
      </c>
      <c r="D7681" s="3" t="s">
        <v>522</v>
      </c>
      <c r="E7681" s="4" t="str">
        <f t="shared" si="645"/>
        <v>Huyện Chư Sê</v>
      </c>
      <c r="F7681" s="3" t="s">
        <v>8441</v>
      </c>
      <c r="G7681" s="4" t="str">
        <f>HYPERLINK("https://diaocthongthai.com/xa-bar-maih-chu-se/","Xã Bar Măih")</f>
        <v>Xã Bar Măih</v>
      </c>
    </row>
    <row r="7682" spans="1:7" x14ac:dyDescent="0.25">
      <c r="A7682" s="2">
        <v>7681</v>
      </c>
      <c r="B7682" s="3" t="s">
        <v>43</v>
      </c>
      <c r="C7682" s="4" t="str">
        <f t="shared" si="643"/>
        <v>Gia Lai</v>
      </c>
      <c r="D7682" s="3" t="s">
        <v>522</v>
      </c>
      <c r="E7682" s="4" t="str">
        <f t="shared" si="645"/>
        <v>Huyện Chư Sê</v>
      </c>
      <c r="F7682" s="3" t="s">
        <v>8442</v>
      </c>
      <c r="G7682" s="4" t="str">
        <f>HYPERLINK("https://diaocthongthai.com/xa-bo-ngoong-chu-se/","Xã Bờ Ngoong")</f>
        <v>Xã Bờ Ngoong</v>
      </c>
    </row>
    <row r="7683" spans="1:7" x14ac:dyDescent="0.25">
      <c r="A7683" s="2">
        <v>7682</v>
      </c>
      <c r="B7683" s="3" t="s">
        <v>43</v>
      </c>
      <c r="C7683" s="4" t="str">
        <f t="shared" si="643"/>
        <v>Gia Lai</v>
      </c>
      <c r="D7683" s="3" t="s">
        <v>522</v>
      </c>
      <c r="E7683" s="4" t="str">
        <f t="shared" si="645"/>
        <v>Huyện Chư Sê</v>
      </c>
      <c r="F7683" s="3" t="s">
        <v>8443</v>
      </c>
      <c r="G7683" s="4" t="str">
        <f>HYPERLINK("https://diaocthongthai.com/xa-ia-glai-chu-se/","Xã Ia Glai")</f>
        <v>Xã Ia Glai</v>
      </c>
    </row>
    <row r="7684" spans="1:7" x14ac:dyDescent="0.25">
      <c r="A7684" s="2">
        <v>7683</v>
      </c>
      <c r="B7684" s="3" t="s">
        <v>43</v>
      </c>
      <c r="C7684" s="4" t="str">
        <f t="shared" si="643"/>
        <v>Gia Lai</v>
      </c>
      <c r="D7684" s="3" t="s">
        <v>522</v>
      </c>
      <c r="E7684" s="4" t="str">
        <f t="shared" si="645"/>
        <v>Huyện Chư Sê</v>
      </c>
      <c r="F7684" s="3" t="s">
        <v>8444</v>
      </c>
      <c r="G7684" s="4" t="str">
        <f>HYPERLINK("https://diaocthongthai.com/xa-al-ba-chu-se/","Xã AL Bá")</f>
        <v>Xã AL Bá</v>
      </c>
    </row>
    <row r="7685" spans="1:7" x14ac:dyDescent="0.25">
      <c r="A7685" s="2">
        <v>7684</v>
      </c>
      <c r="B7685" s="3" t="s">
        <v>43</v>
      </c>
      <c r="C7685" s="4" t="str">
        <f t="shared" si="643"/>
        <v>Gia Lai</v>
      </c>
      <c r="D7685" s="3" t="s">
        <v>522</v>
      </c>
      <c r="E7685" s="4" t="str">
        <f t="shared" si="645"/>
        <v>Huyện Chư Sê</v>
      </c>
      <c r="F7685" s="3" t="s">
        <v>8445</v>
      </c>
      <c r="G7685" s="4" t="str">
        <f>HYPERLINK("https://diaocthongthai.com/xa-kong-htok-chu-se/","Xã Kông HTok")</f>
        <v>Xã Kông HTok</v>
      </c>
    </row>
    <row r="7686" spans="1:7" x14ac:dyDescent="0.25">
      <c r="A7686" s="2">
        <v>7685</v>
      </c>
      <c r="B7686" s="3" t="s">
        <v>43</v>
      </c>
      <c r="C7686" s="4" t="str">
        <f t="shared" si="643"/>
        <v>Gia Lai</v>
      </c>
      <c r="D7686" s="3" t="s">
        <v>522</v>
      </c>
      <c r="E7686" s="4" t="str">
        <f t="shared" si="645"/>
        <v>Huyện Chư Sê</v>
      </c>
      <c r="F7686" s="3" t="s">
        <v>8446</v>
      </c>
      <c r="G7686" s="4" t="str">
        <f>HYPERLINK("https://diaocthongthai.com/xa-ayun-chu-se/","Xã AYun")</f>
        <v>Xã AYun</v>
      </c>
    </row>
    <row r="7687" spans="1:7" x14ac:dyDescent="0.25">
      <c r="A7687" s="2">
        <v>7686</v>
      </c>
      <c r="B7687" s="3" t="s">
        <v>43</v>
      </c>
      <c r="C7687" s="4" t="str">
        <f t="shared" si="643"/>
        <v>Gia Lai</v>
      </c>
      <c r="D7687" s="3" t="s">
        <v>522</v>
      </c>
      <c r="E7687" s="4" t="str">
        <f t="shared" si="645"/>
        <v>Huyện Chư Sê</v>
      </c>
      <c r="F7687" s="3" t="s">
        <v>8447</v>
      </c>
      <c r="G7687" s="4" t="str">
        <f>HYPERLINK("https://diaocthongthai.com/xa-ia-hlop-chu-se/","Xã Ia HLốp")</f>
        <v>Xã Ia HLốp</v>
      </c>
    </row>
    <row r="7688" spans="1:7" x14ac:dyDescent="0.25">
      <c r="A7688" s="2">
        <v>7687</v>
      </c>
      <c r="B7688" s="3" t="s">
        <v>43</v>
      </c>
      <c r="C7688" s="4" t="str">
        <f t="shared" si="643"/>
        <v>Gia Lai</v>
      </c>
      <c r="D7688" s="3" t="s">
        <v>522</v>
      </c>
      <c r="E7688" s="4" t="str">
        <f t="shared" si="645"/>
        <v>Huyện Chư Sê</v>
      </c>
      <c r="F7688" s="3" t="s">
        <v>8448</v>
      </c>
      <c r="G7688" s="4" t="str">
        <f>HYPERLINK("https://diaocthongthai.com/xa-ia-blang-chu-se/","Xã Ia Blang")</f>
        <v>Xã Ia Blang</v>
      </c>
    </row>
    <row r="7689" spans="1:7" x14ac:dyDescent="0.25">
      <c r="A7689" s="2">
        <v>7688</v>
      </c>
      <c r="B7689" s="3" t="s">
        <v>43</v>
      </c>
      <c r="C7689" s="4" t="str">
        <f t="shared" si="643"/>
        <v>Gia Lai</v>
      </c>
      <c r="D7689" s="3" t="s">
        <v>522</v>
      </c>
      <c r="E7689" s="4" t="str">
        <f t="shared" si="645"/>
        <v>Huyện Chư Sê</v>
      </c>
      <c r="F7689" s="3" t="s">
        <v>8449</v>
      </c>
      <c r="G7689" s="4" t="str">
        <f>HYPERLINK("https://diaocthongthai.com/xa-dun-chu-se/","Xã Dun")</f>
        <v>Xã Dun</v>
      </c>
    </row>
    <row r="7690" spans="1:7" x14ac:dyDescent="0.25">
      <c r="A7690" s="2">
        <v>7689</v>
      </c>
      <c r="B7690" s="3" t="s">
        <v>43</v>
      </c>
      <c r="C7690" s="4" t="str">
        <f t="shared" si="643"/>
        <v>Gia Lai</v>
      </c>
      <c r="D7690" s="3" t="s">
        <v>522</v>
      </c>
      <c r="E7690" s="4" t="str">
        <f t="shared" si="645"/>
        <v>Huyện Chư Sê</v>
      </c>
      <c r="F7690" s="3" t="s">
        <v>8450</v>
      </c>
      <c r="G7690" s="4" t="str">
        <f>HYPERLINK("https://diaocthongthai.com/xa-ia-pal-chu-se/","Xã Ia Pal")</f>
        <v>Xã Ia Pal</v>
      </c>
    </row>
    <row r="7691" spans="1:7" x14ac:dyDescent="0.25">
      <c r="A7691" s="2">
        <v>7690</v>
      </c>
      <c r="B7691" s="3" t="s">
        <v>43</v>
      </c>
      <c r="C7691" s="4" t="str">
        <f t="shared" si="643"/>
        <v>Gia Lai</v>
      </c>
      <c r="D7691" s="3" t="s">
        <v>522</v>
      </c>
      <c r="E7691" s="4" t="str">
        <f t="shared" si="645"/>
        <v>Huyện Chư Sê</v>
      </c>
      <c r="F7691" s="3" t="s">
        <v>8451</v>
      </c>
      <c r="G7691" s="4" t="str">
        <f>HYPERLINK("https://diaocthongthai.com/xa-hbong-chu-se/","Xã H Bông")</f>
        <v>Xã H Bông</v>
      </c>
    </row>
    <row r="7692" spans="1:7" x14ac:dyDescent="0.25">
      <c r="A7692" s="2">
        <v>7691</v>
      </c>
      <c r="B7692" s="3" t="s">
        <v>43</v>
      </c>
      <c r="C7692" s="4" t="str">
        <f t="shared" si="643"/>
        <v>Gia Lai</v>
      </c>
      <c r="D7692" s="3" t="s">
        <v>522</v>
      </c>
      <c r="E7692" s="4" t="str">
        <f t="shared" si="645"/>
        <v>Huyện Chư Sê</v>
      </c>
      <c r="F7692" s="3" t="s">
        <v>8452</v>
      </c>
      <c r="G7692" s="4" t="str">
        <f>HYPERLINK("https://diaocthongthai.com/xa-ia-ko-chu-se/","Xã Ia Ko")</f>
        <v>Xã Ia Ko</v>
      </c>
    </row>
    <row r="7693" spans="1:7" x14ac:dyDescent="0.25">
      <c r="A7693" s="2">
        <v>7692</v>
      </c>
      <c r="B7693" s="3" t="s">
        <v>43</v>
      </c>
      <c r="C7693" s="4" t="str">
        <f t="shared" si="643"/>
        <v>Gia Lai</v>
      </c>
      <c r="D7693" s="3" t="s">
        <v>523</v>
      </c>
      <c r="E7693" s="4" t="str">
        <f t="shared" ref="E7693:E7700" si="646">HYPERLINK("https://diaocthongthai.com/ban-do-huyen-dak-po-gia-lai/","Huyện Đăk Pơ")</f>
        <v>Huyện Đăk Pơ</v>
      </c>
      <c r="F7693" s="3" t="s">
        <v>8453</v>
      </c>
      <c r="G7693" s="4" t="str">
        <f>HYPERLINK("https://diaocthongthai.com/xa-ha-tam-dak-po/","Xã Hà Tam")</f>
        <v>Xã Hà Tam</v>
      </c>
    </row>
    <row r="7694" spans="1:7" x14ac:dyDescent="0.25">
      <c r="A7694" s="2">
        <v>7693</v>
      </c>
      <c r="B7694" s="3" t="s">
        <v>43</v>
      </c>
      <c r="C7694" s="4" t="str">
        <f t="shared" si="643"/>
        <v>Gia Lai</v>
      </c>
      <c r="D7694" s="3" t="s">
        <v>523</v>
      </c>
      <c r="E7694" s="4" t="str">
        <f t="shared" si="646"/>
        <v>Huyện Đăk Pơ</v>
      </c>
      <c r="F7694" s="3" t="s">
        <v>8454</v>
      </c>
      <c r="G7694" s="4" t="str">
        <f>HYPERLINK("https://diaocthongthai.com/xa-an-thanh-dak-po/","Xã An Thành")</f>
        <v>Xã An Thành</v>
      </c>
    </row>
    <row r="7695" spans="1:7" x14ac:dyDescent="0.25">
      <c r="A7695" s="2">
        <v>7694</v>
      </c>
      <c r="B7695" s="3" t="s">
        <v>43</v>
      </c>
      <c r="C7695" s="4" t="str">
        <f t="shared" si="643"/>
        <v>Gia Lai</v>
      </c>
      <c r="D7695" s="3" t="s">
        <v>523</v>
      </c>
      <c r="E7695" s="4" t="str">
        <f t="shared" si="646"/>
        <v>Huyện Đăk Pơ</v>
      </c>
      <c r="F7695" s="3" t="s">
        <v>8455</v>
      </c>
      <c r="G7695" s="4" t="str">
        <f>HYPERLINK("https://diaocthongthai.com/thi-tran-dak-po-dak-po/","Thị trấn Đak Pơ")</f>
        <v>Thị trấn Đak Pơ</v>
      </c>
    </row>
    <row r="7696" spans="1:7" x14ac:dyDescent="0.25">
      <c r="A7696" s="2">
        <v>7695</v>
      </c>
      <c r="B7696" s="3" t="s">
        <v>43</v>
      </c>
      <c r="C7696" s="4" t="str">
        <f t="shared" si="643"/>
        <v>Gia Lai</v>
      </c>
      <c r="D7696" s="3" t="s">
        <v>523</v>
      </c>
      <c r="E7696" s="4" t="str">
        <f t="shared" si="646"/>
        <v>Huyện Đăk Pơ</v>
      </c>
      <c r="F7696" s="3" t="s">
        <v>8456</v>
      </c>
      <c r="G7696" s="4" t="str">
        <f>HYPERLINK("https://diaocthongthai.com/xa-yang-bac-dak-po/","Xã Yang Bắc")</f>
        <v>Xã Yang Bắc</v>
      </c>
    </row>
    <row r="7697" spans="1:7" x14ac:dyDescent="0.25">
      <c r="A7697" s="2">
        <v>7696</v>
      </c>
      <c r="B7697" s="3" t="s">
        <v>43</v>
      </c>
      <c r="C7697" s="4" t="str">
        <f t="shared" si="643"/>
        <v>Gia Lai</v>
      </c>
      <c r="D7697" s="3" t="s">
        <v>523</v>
      </c>
      <c r="E7697" s="4" t="str">
        <f t="shared" si="646"/>
        <v>Huyện Đăk Pơ</v>
      </c>
      <c r="F7697" s="3" t="s">
        <v>8457</v>
      </c>
      <c r="G7697" s="4" t="str">
        <f>HYPERLINK("https://diaocthongthai.com/xa-cu-an-dak-po/","Xã Cư An")</f>
        <v>Xã Cư An</v>
      </c>
    </row>
    <row r="7698" spans="1:7" x14ac:dyDescent="0.25">
      <c r="A7698" s="2">
        <v>7697</v>
      </c>
      <c r="B7698" s="3" t="s">
        <v>43</v>
      </c>
      <c r="C7698" s="4" t="str">
        <f t="shared" si="643"/>
        <v>Gia Lai</v>
      </c>
      <c r="D7698" s="3" t="s">
        <v>523</v>
      </c>
      <c r="E7698" s="4" t="str">
        <f t="shared" si="646"/>
        <v>Huyện Đăk Pơ</v>
      </c>
      <c r="F7698" s="3" t="s">
        <v>8458</v>
      </c>
      <c r="G7698" s="4" t="str">
        <f>HYPERLINK("https://diaocthongthai.com/xa-tan-an-dak-po/","Xã Tân An")</f>
        <v>Xã Tân An</v>
      </c>
    </row>
    <row r="7699" spans="1:7" x14ac:dyDescent="0.25">
      <c r="A7699" s="2">
        <v>7698</v>
      </c>
      <c r="B7699" s="3" t="s">
        <v>43</v>
      </c>
      <c r="C7699" s="4" t="str">
        <f t="shared" si="643"/>
        <v>Gia Lai</v>
      </c>
      <c r="D7699" s="3" t="s">
        <v>523</v>
      </c>
      <c r="E7699" s="4" t="str">
        <f t="shared" si="646"/>
        <v>Huyện Đăk Pơ</v>
      </c>
      <c r="F7699" s="3" t="s">
        <v>8459</v>
      </c>
      <c r="G7699" s="4" t="str">
        <f>HYPERLINK("https://diaocthongthai.com/xa-phu-an-dak-po/","Xã Phú An")</f>
        <v>Xã Phú An</v>
      </c>
    </row>
    <row r="7700" spans="1:7" x14ac:dyDescent="0.25">
      <c r="A7700" s="2">
        <v>7699</v>
      </c>
      <c r="B7700" s="3" t="s">
        <v>43</v>
      </c>
      <c r="C7700" s="4" t="str">
        <f t="shared" si="643"/>
        <v>Gia Lai</v>
      </c>
      <c r="D7700" s="3" t="s">
        <v>523</v>
      </c>
      <c r="E7700" s="4" t="str">
        <f t="shared" si="646"/>
        <v>Huyện Đăk Pơ</v>
      </c>
      <c r="F7700" s="3" t="s">
        <v>8460</v>
      </c>
      <c r="G7700" s="4" t="str">
        <f>HYPERLINK("https://diaocthongthai.com/xa-ya-hoi-dak-po/","Xã Ya Hội")</f>
        <v>Xã Ya Hội</v>
      </c>
    </row>
    <row r="7701" spans="1:7" x14ac:dyDescent="0.25">
      <c r="A7701" s="2">
        <v>7700</v>
      </c>
      <c r="B7701" s="3" t="s">
        <v>43</v>
      </c>
      <c r="C7701" s="4" t="str">
        <f t="shared" si="643"/>
        <v>Gia Lai</v>
      </c>
      <c r="D7701" s="3" t="s">
        <v>524</v>
      </c>
      <c r="E7701" s="4" t="str">
        <f t="shared" ref="E7701:E7709" si="647">HYPERLINK("https://diaocthongthai.com/ban-do-huyen-ia-pa-gia-lai/","Huyện Ia Pa")</f>
        <v>Huyện Ia Pa</v>
      </c>
      <c r="F7701" s="3" t="s">
        <v>8461</v>
      </c>
      <c r="G7701" s="4" t="str">
        <f>HYPERLINK("https://diaocthongthai.com/xa-po-to-ia-pa/","Xã Pờ Tó")</f>
        <v>Xã Pờ Tó</v>
      </c>
    </row>
    <row r="7702" spans="1:7" x14ac:dyDescent="0.25">
      <c r="A7702" s="2">
        <v>7701</v>
      </c>
      <c r="B7702" s="3" t="s">
        <v>43</v>
      </c>
      <c r="C7702" s="4" t="str">
        <f t="shared" si="643"/>
        <v>Gia Lai</v>
      </c>
      <c r="D7702" s="3" t="s">
        <v>524</v>
      </c>
      <c r="E7702" s="4" t="str">
        <f t="shared" si="647"/>
        <v>Huyện Ia Pa</v>
      </c>
      <c r="F7702" s="3" t="s">
        <v>8462</v>
      </c>
      <c r="G7702" s="4" t="str">
        <f>HYPERLINK("https://diaocthongthai.com/xa-chu-rang-ia-pa/","Xã Chư Răng")</f>
        <v>Xã Chư Răng</v>
      </c>
    </row>
    <row r="7703" spans="1:7" x14ac:dyDescent="0.25">
      <c r="A7703" s="2">
        <v>7702</v>
      </c>
      <c r="B7703" s="3" t="s">
        <v>43</v>
      </c>
      <c r="C7703" s="4" t="str">
        <f t="shared" si="643"/>
        <v>Gia Lai</v>
      </c>
      <c r="D7703" s="3" t="s">
        <v>524</v>
      </c>
      <c r="E7703" s="4" t="str">
        <f t="shared" si="647"/>
        <v>Huyện Ia Pa</v>
      </c>
      <c r="F7703" s="3" t="s">
        <v>8463</v>
      </c>
      <c r="G7703" s="4" t="str">
        <f>HYPERLINK("https://diaocthongthai.com/xa-ia-kdam-ia-pa/","Xã Ia KDăm")</f>
        <v>Xã Ia KDăm</v>
      </c>
    </row>
    <row r="7704" spans="1:7" x14ac:dyDescent="0.25">
      <c r="A7704" s="2">
        <v>7703</v>
      </c>
      <c r="B7704" s="3" t="s">
        <v>43</v>
      </c>
      <c r="C7704" s="4" t="str">
        <f t="shared" si="643"/>
        <v>Gia Lai</v>
      </c>
      <c r="D7704" s="3" t="s">
        <v>524</v>
      </c>
      <c r="E7704" s="4" t="str">
        <f t="shared" si="647"/>
        <v>Huyện Ia Pa</v>
      </c>
      <c r="F7704" s="3" t="s">
        <v>8464</v>
      </c>
      <c r="G7704" s="4" t="str">
        <f>HYPERLINK("https://diaocthongthai.com/xa-kim-tan-ia-pa/","Xã Kim Tân")</f>
        <v>Xã Kim Tân</v>
      </c>
    </row>
    <row r="7705" spans="1:7" x14ac:dyDescent="0.25">
      <c r="A7705" s="2">
        <v>7704</v>
      </c>
      <c r="B7705" s="3" t="s">
        <v>43</v>
      </c>
      <c r="C7705" s="4" t="str">
        <f t="shared" si="643"/>
        <v>Gia Lai</v>
      </c>
      <c r="D7705" s="3" t="s">
        <v>524</v>
      </c>
      <c r="E7705" s="4" t="str">
        <f t="shared" si="647"/>
        <v>Huyện Ia Pa</v>
      </c>
      <c r="F7705" s="3" t="s">
        <v>8465</v>
      </c>
      <c r="G7705" s="4" t="str">
        <f>HYPERLINK("https://diaocthongthai.com/xa-chu-mo-ia-pa/","Xã Chư Mố")</f>
        <v>Xã Chư Mố</v>
      </c>
    </row>
    <row r="7706" spans="1:7" x14ac:dyDescent="0.25">
      <c r="A7706" s="2">
        <v>7705</v>
      </c>
      <c r="B7706" s="3" t="s">
        <v>43</v>
      </c>
      <c r="C7706" s="4" t="str">
        <f t="shared" si="643"/>
        <v>Gia Lai</v>
      </c>
      <c r="D7706" s="3" t="s">
        <v>524</v>
      </c>
      <c r="E7706" s="4" t="str">
        <f t="shared" si="647"/>
        <v>Huyện Ia Pa</v>
      </c>
      <c r="F7706" s="3" t="s">
        <v>8466</v>
      </c>
      <c r="G7706" s="4" t="str">
        <f>HYPERLINK("https://diaocthongthai.com/xa-ia-tul-ia-pa/","Xã Ia Tul")</f>
        <v>Xã Ia Tul</v>
      </c>
    </row>
    <row r="7707" spans="1:7" x14ac:dyDescent="0.25">
      <c r="A7707" s="2">
        <v>7706</v>
      </c>
      <c r="B7707" s="3" t="s">
        <v>43</v>
      </c>
      <c r="C7707" s="4" t="str">
        <f t="shared" si="643"/>
        <v>Gia Lai</v>
      </c>
      <c r="D7707" s="3" t="s">
        <v>524</v>
      </c>
      <c r="E7707" s="4" t="str">
        <f t="shared" si="647"/>
        <v>Huyện Ia Pa</v>
      </c>
      <c r="F7707" s="3" t="s">
        <v>8467</v>
      </c>
      <c r="G7707" s="4" t="str">
        <f>HYPERLINK("https://diaocthongthai.com/xa-ia-mron-ia-pa/","Xã Ia Ma Rơn")</f>
        <v>Xã Ia Ma Rơn</v>
      </c>
    </row>
    <row r="7708" spans="1:7" x14ac:dyDescent="0.25">
      <c r="A7708" s="2">
        <v>7707</v>
      </c>
      <c r="B7708" s="3" t="s">
        <v>43</v>
      </c>
      <c r="C7708" s="4" t="str">
        <f t="shared" si="643"/>
        <v>Gia Lai</v>
      </c>
      <c r="D7708" s="3" t="s">
        <v>524</v>
      </c>
      <c r="E7708" s="4" t="str">
        <f t="shared" si="647"/>
        <v>Huyện Ia Pa</v>
      </c>
      <c r="F7708" s="3" t="s">
        <v>8468</v>
      </c>
      <c r="G7708" s="4" t="str">
        <f>HYPERLINK("https://diaocthongthai.com/xa-ia-broai-ia-pa/","Xã Ia Broăi")</f>
        <v>Xã Ia Broăi</v>
      </c>
    </row>
    <row r="7709" spans="1:7" x14ac:dyDescent="0.25">
      <c r="A7709" s="2">
        <v>7708</v>
      </c>
      <c r="B7709" s="3" t="s">
        <v>43</v>
      </c>
      <c r="C7709" s="4" t="str">
        <f t="shared" si="643"/>
        <v>Gia Lai</v>
      </c>
      <c r="D7709" s="3" t="s">
        <v>524</v>
      </c>
      <c r="E7709" s="4" t="str">
        <f t="shared" si="647"/>
        <v>Huyện Ia Pa</v>
      </c>
      <c r="F7709" s="3" t="s">
        <v>8469</v>
      </c>
      <c r="G7709" s="4" t="str">
        <f>HYPERLINK("https://diaocthongthai.com/xa-ia-trok-ia-pa/","Xã Ia Trok")</f>
        <v>Xã Ia Trok</v>
      </c>
    </row>
    <row r="7710" spans="1:7" x14ac:dyDescent="0.25">
      <c r="A7710" s="2">
        <v>7709</v>
      </c>
      <c r="B7710" s="3" t="s">
        <v>43</v>
      </c>
      <c r="C7710" s="4" t="str">
        <f t="shared" si="643"/>
        <v>Gia Lai</v>
      </c>
      <c r="D7710" s="3" t="s">
        <v>525</v>
      </c>
      <c r="E7710" s="4" t="str">
        <f t="shared" ref="E7710:E7723" si="648">HYPERLINK("https://diaocthongthai.com/ban-do-huyen-krong-pa-gia-lai/","Huyện Krông Pa")</f>
        <v>Huyện Krông Pa</v>
      </c>
      <c r="F7710" s="3" t="s">
        <v>8470</v>
      </c>
      <c r="G7710" s="4" t="str">
        <f>HYPERLINK("https://diaocthongthai.com/thi-tran-phu-tuc-krong-pa/","Thị trấn Phú Túc")</f>
        <v>Thị trấn Phú Túc</v>
      </c>
    </row>
    <row r="7711" spans="1:7" x14ac:dyDescent="0.25">
      <c r="A7711" s="2">
        <v>7710</v>
      </c>
      <c r="B7711" s="3" t="s">
        <v>43</v>
      </c>
      <c r="C7711" s="4" t="str">
        <f t="shared" si="643"/>
        <v>Gia Lai</v>
      </c>
      <c r="D7711" s="3" t="s">
        <v>525</v>
      </c>
      <c r="E7711" s="4" t="str">
        <f t="shared" si="648"/>
        <v>Huyện Krông Pa</v>
      </c>
      <c r="F7711" s="3" t="s">
        <v>8471</v>
      </c>
      <c r="G7711" s="4" t="str">
        <f>HYPERLINK("https://diaocthongthai.com/xa-ia-rsai-krong-pa/","Xã Ia RSai")</f>
        <v>Xã Ia RSai</v>
      </c>
    </row>
    <row r="7712" spans="1:7" x14ac:dyDescent="0.25">
      <c r="A7712" s="2">
        <v>7711</v>
      </c>
      <c r="B7712" s="3" t="s">
        <v>43</v>
      </c>
      <c r="C7712" s="4" t="str">
        <f t="shared" si="643"/>
        <v>Gia Lai</v>
      </c>
      <c r="D7712" s="3" t="s">
        <v>525</v>
      </c>
      <c r="E7712" s="4" t="str">
        <f t="shared" si="648"/>
        <v>Huyện Krông Pa</v>
      </c>
      <c r="F7712" s="3" t="s">
        <v>8472</v>
      </c>
      <c r="G7712" s="4" t="str">
        <f>HYPERLINK("https://diaocthongthai.com/xa-ia-rsuom-krong-pa/","Xã Ia RSươm")</f>
        <v>Xã Ia RSươm</v>
      </c>
    </row>
    <row r="7713" spans="1:7" x14ac:dyDescent="0.25">
      <c r="A7713" s="2">
        <v>7712</v>
      </c>
      <c r="B7713" s="3" t="s">
        <v>43</v>
      </c>
      <c r="C7713" s="4" t="str">
        <f t="shared" si="643"/>
        <v>Gia Lai</v>
      </c>
      <c r="D7713" s="3" t="s">
        <v>525</v>
      </c>
      <c r="E7713" s="4" t="str">
        <f t="shared" si="648"/>
        <v>Huyện Krông Pa</v>
      </c>
      <c r="F7713" s="3" t="s">
        <v>8473</v>
      </c>
      <c r="G7713" s="4" t="str">
        <f>HYPERLINK("https://diaocthongthai.com/xa-chu-gu-krong-pa/","Xã Chư Gu")</f>
        <v>Xã Chư Gu</v>
      </c>
    </row>
    <row r="7714" spans="1:7" x14ac:dyDescent="0.25">
      <c r="A7714" s="2">
        <v>7713</v>
      </c>
      <c r="B7714" s="3" t="s">
        <v>43</v>
      </c>
      <c r="C7714" s="4" t="str">
        <f t="shared" si="643"/>
        <v>Gia Lai</v>
      </c>
      <c r="D7714" s="3" t="s">
        <v>525</v>
      </c>
      <c r="E7714" s="4" t="str">
        <f t="shared" si="648"/>
        <v>Huyện Krông Pa</v>
      </c>
      <c r="F7714" s="3" t="s">
        <v>8474</v>
      </c>
      <c r="G7714" s="4" t="str">
        <f>HYPERLINK("https://diaocthongthai.com/xa-dat-bang-krong-pa/","Xã Đất Bằng")</f>
        <v>Xã Đất Bằng</v>
      </c>
    </row>
    <row r="7715" spans="1:7" x14ac:dyDescent="0.25">
      <c r="A7715" s="2">
        <v>7714</v>
      </c>
      <c r="B7715" s="3" t="s">
        <v>43</v>
      </c>
      <c r="C7715" s="4" t="str">
        <f t="shared" ref="C7715:C7742" si="649">HYPERLINK("https://diaocthongthai.com/ban-do-gia-lai/","Gia Lai")</f>
        <v>Gia Lai</v>
      </c>
      <c r="D7715" s="3" t="s">
        <v>525</v>
      </c>
      <c r="E7715" s="4" t="str">
        <f t="shared" si="648"/>
        <v>Huyện Krông Pa</v>
      </c>
      <c r="F7715" s="3" t="s">
        <v>8475</v>
      </c>
      <c r="G7715" s="4" t="str">
        <f>HYPERLINK("https://diaocthongthai.com/xa-ia-mlah-krong-pa/","Xã Ia Mláh")</f>
        <v>Xã Ia Mláh</v>
      </c>
    </row>
    <row r="7716" spans="1:7" x14ac:dyDescent="0.25">
      <c r="A7716" s="2">
        <v>7715</v>
      </c>
      <c r="B7716" s="3" t="s">
        <v>43</v>
      </c>
      <c r="C7716" s="4" t="str">
        <f t="shared" si="649"/>
        <v>Gia Lai</v>
      </c>
      <c r="D7716" s="3" t="s">
        <v>525</v>
      </c>
      <c r="E7716" s="4" t="str">
        <f t="shared" si="648"/>
        <v>Huyện Krông Pa</v>
      </c>
      <c r="F7716" s="3" t="s">
        <v>8476</v>
      </c>
      <c r="G7716" s="4" t="str">
        <f>HYPERLINK("https://diaocthongthai.com/xa-chu-drang-krong-pa/","Xã Chư Drăng")</f>
        <v>Xã Chư Drăng</v>
      </c>
    </row>
    <row r="7717" spans="1:7" x14ac:dyDescent="0.25">
      <c r="A7717" s="2">
        <v>7716</v>
      </c>
      <c r="B7717" s="3" t="s">
        <v>43</v>
      </c>
      <c r="C7717" s="4" t="str">
        <f t="shared" si="649"/>
        <v>Gia Lai</v>
      </c>
      <c r="D7717" s="3" t="s">
        <v>525</v>
      </c>
      <c r="E7717" s="4" t="str">
        <f t="shared" si="648"/>
        <v>Huyện Krông Pa</v>
      </c>
      <c r="F7717" s="3" t="s">
        <v>8477</v>
      </c>
      <c r="G7717" s="4" t="str">
        <f>HYPERLINK("https://diaocthongthai.com/xa-phu-can-krong-pa/","Xã Phú Cần")</f>
        <v>Xã Phú Cần</v>
      </c>
    </row>
    <row r="7718" spans="1:7" x14ac:dyDescent="0.25">
      <c r="A7718" s="2">
        <v>7717</v>
      </c>
      <c r="B7718" s="3" t="s">
        <v>43</v>
      </c>
      <c r="C7718" s="4" t="str">
        <f t="shared" si="649"/>
        <v>Gia Lai</v>
      </c>
      <c r="D7718" s="3" t="s">
        <v>525</v>
      </c>
      <c r="E7718" s="4" t="str">
        <f t="shared" si="648"/>
        <v>Huyện Krông Pa</v>
      </c>
      <c r="F7718" s="3" t="s">
        <v>8478</v>
      </c>
      <c r="G7718" s="4" t="str">
        <f>HYPERLINK("https://diaocthongthai.com/xa-ia-hdreh-krong-pa/","Xã Ia HDreh")</f>
        <v>Xã Ia HDreh</v>
      </c>
    </row>
    <row r="7719" spans="1:7" x14ac:dyDescent="0.25">
      <c r="A7719" s="2">
        <v>7718</v>
      </c>
      <c r="B7719" s="3" t="s">
        <v>43</v>
      </c>
      <c r="C7719" s="4" t="str">
        <f t="shared" si="649"/>
        <v>Gia Lai</v>
      </c>
      <c r="D7719" s="3" t="s">
        <v>525</v>
      </c>
      <c r="E7719" s="4" t="str">
        <f t="shared" si="648"/>
        <v>Huyện Krông Pa</v>
      </c>
      <c r="F7719" s="3" t="s">
        <v>8479</v>
      </c>
      <c r="G7719" s="4" t="str">
        <f>HYPERLINK("https://diaocthongthai.com/xa-ia-rmok-krong-pa/","Xã Ia RMok")</f>
        <v>Xã Ia RMok</v>
      </c>
    </row>
    <row r="7720" spans="1:7" x14ac:dyDescent="0.25">
      <c r="A7720" s="2">
        <v>7719</v>
      </c>
      <c r="B7720" s="3" t="s">
        <v>43</v>
      </c>
      <c r="C7720" s="4" t="str">
        <f t="shared" si="649"/>
        <v>Gia Lai</v>
      </c>
      <c r="D7720" s="3" t="s">
        <v>525</v>
      </c>
      <c r="E7720" s="4" t="str">
        <f t="shared" si="648"/>
        <v>Huyện Krông Pa</v>
      </c>
      <c r="F7720" s="3" t="s">
        <v>8480</v>
      </c>
      <c r="G7720" s="4" t="str">
        <f>HYPERLINK("https://diaocthongthai.com/xa-chu-ngoc-krong-pa/","Xã Chư Ngọc")</f>
        <v>Xã Chư Ngọc</v>
      </c>
    </row>
    <row r="7721" spans="1:7" x14ac:dyDescent="0.25">
      <c r="A7721" s="2">
        <v>7720</v>
      </c>
      <c r="B7721" s="3" t="s">
        <v>43</v>
      </c>
      <c r="C7721" s="4" t="str">
        <f t="shared" si="649"/>
        <v>Gia Lai</v>
      </c>
      <c r="D7721" s="3" t="s">
        <v>525</v>
      </c>
      <c r="E7721" s="4" t="str">
        <f t="shared" si="648"/>
        <v>Huyện Krông Pa</v>
      </c>
      <c r="F7721" s="3" t="s">
        <v>8481</v>
      </c>
      <c r="G7721" s="4" t="str">
        <f>HYPERLINK("https://diaocthongthai.com/xa-uar-krong-pa/","Xã Uar")</f>
        <v>Xã Uar</v>
      </c>
    </row>
    <row r="7722" spans="1:7" x14ac:dyDescent="0.25">
      <c r="A7722" s="2">
        <v>7721</v>
      </c>
      <c r="B7722" s="3" t="s">
        <v>43</v>
      </c>
      <c r="C7722" s="4" t="str">
        <f t="shared" si="649"/>
        <v>Gia Lai</v>
      </c>
      <c r="D7722" s="3" t="s">
        <v>525</v>
      </c>
      <c r="E7722" s="4" t="str">
        <f t="shared" si="648"/>
        <v>Huyện Krông Pa</v>
      </c>
      <c r="F7722" s="3" t="s">
        <v>8482</v>
      </c>
      <c r="G7722" s="4" t="str">
        <f>HYPERLINK("https://diaocthongthai.com/xa-chu-rcam-krong-pa/","Xã Chư Rcăm")</f>
        <v>Xã Chư Rcăm</v>
      </c>
    </row>
    <row r="7723" spans="1:7" x14ac:dyDescent="0.25">
      <c r="A7723" s="2">
        <v>7722</v>
      </c>
      <c r="B7723" s="3" t="s">
        <v>43</v>
      </c>
      <c r="C7723" s="4" t="str">
        <f t="shared" si="649"/>
        <v>Gia Lai</v>
      </c>
      <c r="D7723" s="3" t="s">
        <v>525</v>
      </c>
      <c r="E7723" s="4" t="str">
        <f t="shared" si="648"/>
        <v>Huyện Krông Pa</v>
      </c>
      <c r="F7723" s="3" t="s">
        <v>8483</v>
      </c>
      <c r="G7723" s="4" t="str">
        <f>HYPERLINK("https://diaocthongthai.com/xa-krong-nang-krong-pa/","Xã Krông Năng")</f>
        <v>Xã Krông Năng</v>
      </c>
    </row>
    <row r="7724" spans="1:7" x14ac:dyDescent="0.25">
      <c r="A7724" s="2">
        <v>7723</v>
      </c>
      <c r="B7724" s="3" t="s">
        <v>43</v>
      </c>
      <c r="C7724" s="4" t="str">
        <f t="shared" si="649"/>
        <v>Gia Lai</v>
      </c>
      <c r="D7724" s="3" t="s">
        <v>526</v>
      </c>
      <c r="E7724" s="4" t="str">
        <f t="shared" ref="E7724:E7733" si="650">HYPERLINK("https://diaocthongthai.com/ban-do-huyen-phu-thien-gia-lai/","Huyện Phú Thiện")</f>
        <v>Huyện Phú Thiện</v>
      </c>
      <c r="F7724" s="3" t="s">
        <v>8484</v>
      </c>
      <c r="G7724" s="4" t="str">
        <f>HYPERLINK("https://diaocthongthai.com/thi-tran-phu-thien-phu-thien/","Thị trấn Phú Thiện")</f>
        <v>Thị trấn Phú Thiện</v>
      </c>
    </row>
    <row r="7725" spans="1:7" x14ac:dyDescent="0.25">
      <c r="A7725" s="2">
        <v>7724</v>
      </c>
      <c r="B7725" s="3" t="s">
        <v>43</v>
      </c>
      <c r="C7725" s="4" t="str">
        <f t="shared" si="649"/>
        <v>Gia Lai</v>
      </c>
      <c r="D7725" s="3" t="s">
        <v>526</v>
      </c>
      <c r="E7725" s="4" t="str">
        <f t="shared" si="650"/>
        <v>Huyện Phú Thiện</v>
      </c>
      <c r="F7725" s="3" t="s">
        <v>8485</v>
      </c>
      <c r="G7725" s="4" t="str">
        <f>HYPERLINK("https://diaocthongthai.com/xa-chu-a-thai-phu-thien/","Xã Chư A Thai")</f>
        <v>Xã Chư A Thai</v>
      </c>
    </row>
    <row r="7726" spans="1:7" x14ac:dyDescent="0.25">
      <c r="A7726" s="2">
        <v>7725</v>
      </c>
      <c r="B7726" s="3" t="s">
        <v>43</v>
      </c>
      <c r="C7726" s="4" t="str">
        <f t="shared" si="649"/>
        <v>Gia Lai</v>
      </c>
      <c r="D7726" s="3" t="s">
        <v>526</v>
      </c>
      <c r="E7726" s="4" t="str">
        <f t="shared" si="650"/>
        <v>Huyện Phú Thiện</v>
      </c>
      <c r="F7726" s="3" t="s">
        <v>8486</v>
      </c>
      <c r="G7726" s="4" t="str">
        <f>HYPERLINK("https://diaocthongthai.com/xa-ayun-ha-phu-thien/","Xã Ayun Hạ")</f>
        <v>Xã Ayun Hạ</v>
      </c>
    </row>
    <row r="7727" spans="1:7" x14ac:dyDescent="0.25">
      <c r="A7727" s="2">
        <v>7726</v>
      </c>
      <c r="B7727" s="3" t="s">
        <v>43</v>
      </c>
      <c r="C7727" s="4" t="str">
        <f t="shared" si="649"/>
        <v>Gia Lai</v>
      </c>
      <c r="D7727" s="3" t="s">
        <v>526</v>
      </c>
      <c r="E7727" s="4" t="str">
        <f t="shared" si="650"/>
        <v>Huyện Phú Thiện</v>
      </c>
      <c r="F7727" s="3" t="s">
        <v>8487</v>
      </c>
      <c r="G7727" s="4" t="str">
        <f>HYPERLINK("https://diaocthongthai.com/xa-ia-ake-phu-thien/","Xã Ia Ake")</f>
        <v>Xã Ia Ake</v>
      </c>
    </row>
    <row r="7728" spans="1:7" x14ac:dyDescent="0.25">
      <c r="A7728" s="2">
        <v>7727</v>
      </c>
      <c r="B7728" s="3" t="s">
        <v>43</v>
      </c>
      <c r="C7728" s="4" t="str">
        <f t="shared" si="649"/>
        <v>Gia Lai</v>
      </c>
      <c r="D7728" s="3" t="s">
        <v>526</v>
      </c>
      <c r="E7728" s="4" t="str">
        <f t="shared" si="650"/>
        <v>Huyện Phú Thiện</v>
      </c>
      <c r="F7728" s="3" t="s">
        <v>8488</v>
      </c>
      <c r="G7728" s="4" t="str">
        <f>HYPERLINK("https://diaocthongthai.com/xa-ia-sol-phu-thien/","Xã Ia Sol")</f>
        <v>Xã Ia Sol</v>
      </c>
    </row>
    <row r="7729" spans="1:7" x14ac:dyDescent="0.25">
      <c r="A7729" s="2">
        <v>7728</v>
      </c>
      <c r="B7729" s="3" t="s">
        <v>43</v>
      </c>
      <c r="C7729" s="4" t="str">
        <f t="shared" si="649"/>
        <v>Gia Lai</v>
      </c>
      <c r="D7729" s="3" t="s">
        <v>526</v>
      </c>
      <c r="E7729" s="4" t="str">
        <f t="shared" si="650"/>
        <v>Huyện Phú Thiện</v>
      </c>
      <c r="F7729" s="3" t="s">
        <v>8489</v>
      </c>
      <c r="G7729" s="4" t="str">
        <f>HYPERLINK("https://diaocthongthai.com/xa-ia-piar-phu-thien/","Xã Ia Piar")</f>
        <v>Xã Ia Piar</v>
      </c>
    </row>
    <row r="7730" spans="1:7" x14ac:dyDescent="0.25">
      <c r="A7730" s="2">
        <v>7729</v>
      </c>
      <c r="B7730" s="3" t="s">
        <v>43</v>
      </c>
      <c r="C7730" s="4" t="str">
        <f t="shared" si="649"/>
        <v>Gia Lai</v>
      </c>
      <c r="D7730" s="3" t="s">
        <v>526</v>
      </c>
      <c r="E7730" s="4" t="str">
        <f t="shared" si="650"/>
        <v>Huyện Phú Thiện</v>
      </c>
      <c r="F7730" s="3" t="s">
        <v>8490</v>
      </c>
      <c r="G7730" s="4" t="str">
        <f>HYPERLINK("https://diaocthongthai.com/xa-ia-peng-phu-thien/","Xã Ia Peng")</f>
        <v>Xã Ia Peng</v>
      </c>
    </row>
    <row r="7731" spans="1:7" x14ac:dyDescent="0.25">
      <c r="A7731" s="2">
        <v>7730</v>
      </c>
      <c r="B7731" s="3" t="s">
        <v>43</v>
      </c>
      <c r="C7731" s="4" t="str">
        <f t="shared" si="649"/>
        <v>Gia Lai</v>
      </c>
      <c r="D7731" s="3" t="s">
        <v>526</v>
      </c>
      <c r="E7731" s="4" t="str">
        <f t="shared" si="650"/>
        <v>Huyện Phú Thiện</v>
      </c>
      <c r="F7731" s="3" t="s">
        <v>8491</v>
      </c>
      <c r="G7731" s="4" t="str">
        <f>HYPERLINK("https://diaocthongthai.com/xa-chroh-ponan-phu-thien/","Xã Chrôh Pơnan")</f>
        <v>Xã Chrôh Pơnan</v>
      </c>
    </row>
    <row r="7732" spans="1:7" x14ac:dyDescent="0.25">
      <c r="A7732" s="2">
        <v>7731</v>
      </c>
      <c r="B7732" s="3" t="s">
        <v>43</v>
      </c>
      <c r="C7732" s="4" t="str">
        <f t="shared" si="649"/>
        <v>Gia Lai</v>
      </c>
      <c r="D7732" s="3" t="s">
        <v>526</v>
      </c>
      <c r="E7732" s="4" t="str">
        <f t="shared" si="650"/>
        <v>Huyện Phú Thiện</v>
      </c>
      <c r="F7732" s="3" t="s">
        <v>8492</v>
      </c>
      <c r="G7732" s="4" t="str">
        <f>HYPERLINK("https://diaocthongthai.com/xa-ia-hiao-phu-thien/","Xã Ia Hiao")</f>
        <v>Xã Ia Hiao</v>
      </c>
    </row>
    <row r="7733" spans="1:7" x14ac:dyDescent="0.25">
      <c r="A7733" s="2">
        <v>7732</v>
      </c>
      <c r="B7733" s="3" t="s">
        <v>43</v>
      </c>
      <c r="C7733" s="4" t="str">
        <f t="shared" si="649"/>
        <v>Gia Lai</v>
      </c>
      <c r="D7733" s="3" t="s">
        <v>526</v>
      </c>
      <c r="E7733" s="4" t="str">
        <f t="shared" si="650"/>
        <v>Huyện Phú Thiện</v>
      </c>
      <c r="F7733" s="3" t="s">
        <v>8493</v>
      </c>
      <c r="G7733" s="4" t="str">
        <f>HYPERLINK("https://diaocthongthai.com/xa-ia-yeng-phu-thien/","Xã Ia Yeng")</f>
        <v>Xã Ia Yeng</v>
      </c>
    </row>
    <row r="7734" spans="1:7" x14ac:dyDescent="0.25">
      <c r="A7734" s="2">
        <v>7733</v>
      </c>
      <c r="B7734" s="3" t="s">
        <v>43</v>
      </c>
      <c r="C7734" s="4" t="str">
        <f t="shared" si="649"/>
        <v>Gia Lai</v>
      </c>
      <c r="D7734" s="3" t="s">
        <v>527</v>
      </c>
      <c r="E7734" s="4" t="str">
        <f t="shared" ref="E7734:E7742" si="651">HYPERLINK("https://diaocthongthai.com/ban-do-huyen-chu-puh-gia-lai/","Huyện Chư Pưh")</f>
        <v>Huyện Chư Pưh</v>
      </c>
      <c r="F7734" s="3" t="s">
        <v>8494</v>
      </c>
      <c r="G7734" s="4" t="str">
        <f>HYPERLINK("https://diaocthongthai.com/thi-tran-nhon-hoa-chu-puh/","Thị trấn Nhơn Hoà")</f>
        <v>Thị trấn Nhơn Hoà</v>
      </c>
    </row>
    <row r="7735" spans="1:7" x14ac:dyDescent="0.25">
      <c r="A7735" s="2">
        <v>7734</v>
      </c>
      <c r="B7735" s="3" t="s">
        <v>43</v>
      </c>
      <c r="C7735" s="4" t="str">
        <f t="shared" si="649"/>
        <v>Gia Lai</v>
      </c>
      <c r="D7735" s="3" t="s">
        <v>527</v>
      </c>
      <c r="E7735" s="4" t="str">
        <f t="shared" si="651"/>
        <v>Huyện Chư Pưh</v>
      </c>
      <c r="F7735" s="3" t="s">
        <v>8495</v>
      </c>
      <c r="G7735" s="4" t="str">
        <f>HYPERLINK("https://diaocthongthai.com/xa-ia-hru-chu-puh/","Xã Ia Hrú")</f>
        <v>Xã Ia Hrú</v>
      </c>
    </row>
    <row r="7736" spans="1:7" x14ac:dyDescent="0.25">
      <c r="A7736" s="2">
        <v>7735</v>
      </c>
      <c r="B7736" s="3" t="s">
        <v>43</v>
      </c>
      <c r="C7736" s="4" t="str">
        <f t="shared" si="649"/>
        <v>Gia Lai</v>
      </c>
      <c r="D7736" s="3" t="s">
        <v>527</v>
      </c>
      <c r="E7736" s="4" t="str">
        <f t="shared" si="651"/>
        <v>Huyện Chư Pưh</v>
      </c>
      <c r="F7736" s="3" t="s">
        <v>8496</v>
      </c>
      <c r="G7736" s="4" t="str">
        <f>HYPERLINK("https://diaocthongthai.com/xa-ia-rong-chu-puh/","Xã Ia Rong")</f>
        <v>Xã Ia Rong</v>
      </c>
    </row>
    <row r="7737" spans="1:7" x14ac:dyDescent="0.25">
      <c r="A7737" s="2">
        <v>7736</v>
      </c>
      <c r="B7737" s="3" t="s">
        <v>43</v>
      </c>
      <c r="C7737" s="4" t="str">
        <f t="shared" si="649"/>
        <v>Gia Lai</v>
      </c>
      <c r="D7737" s="3" t="s">
        <v>527</v>
      </c>
      <c r="E7737" s="4" t="str">
        <f t="shared" si="651"/>
        <v>Huyện Chư Pưh</v>
      </c>
      <c r="F7737" s="3" t="s">
        <v>8497</v>
      </c>
      <c r="G7737" s="4" t="str">
        <f>HYPERLINK("https://diaocthongthai.com/xa-ia-dreng-chu-puh/","Xã Ia Dreng")</f>
        <v>Xã Ia Dreng</v>
      </c>
    </row>
    <row r="7738" spans="1:7" x14ac:dyDescent="0.25">
      <c r="A7738" s="2">
        <v>7737</v>
      </c>
      <c r="B7738" s="3" t="s">
        <v>43</v>
      </c>
      <c r="C7738" s="4" t="str">
        <f t="shared" si="649"/>
        <v>Gia Lai</v>
      </c>
      <c r="D7738" s="3" t="s">
        <v>527</v>
      </c>
      <c r="E7738" s="4" t="str">
        <f t="shared" si="651"/>
        <v>Huyện Chư Pưh</v>
      </c>
      <c r="F7738" s="3" t="s">
        <v>8498</v>
      </c>
      <c r="G7738" s="4" t="str">
        <f>HYPERLINK("https://diaocthongthai.com/xa-ia-hla-chu-puh/","Xã Ia Hla")</f>
        <v>Xã Ia Hla</v>
      </c>
    </row>
    <row r="7739" spans="1:7" x14ac:dyDescent="0.25">
      <c r="A7739" s="2">
        <v>7738</v>
      </c>
      <c r="B7739" s="3" t="s">
        <v>43</v>
      </c>
      <c r="C7739" s="4" t="str">
        <f t="shared" si="649"/>
        <v>Gia Lai</v>
      </c>
      <c r="D7739" s="3" t="s">
        <v>527</v>
      </c>
      <c r="E7739" s="4" t="str">
        <f t="shared" si="651"/>
        <v>Huyện Chư Pưh</v>
      </c>
      <c r="F7739" s="3" t="s">
        <v>8499</v>
      </c>
      <c r="G7739" s="4" t="str">
        <f>HYPERLINK("https://diaocthongthai.com/xa-chu-don-chu-puh/","Xã Chư Don")</f>
        <v>Xã Chư Don</v>
      </c>
    </row>
    <row r="7740" spans="1:7" x14ac:dyDescent="0.25">
      <c r="A7740" s="2">
        <v>7739</v>
      </c>
      <c r="B7740" s="3" t="s">
        <v>43</v>
      </c>
      <c r="C7740" s="4" t="str">
        <f t="shared" si="649"/>
        <v>Gia Lai</v>
      </c>
      <c r="D7740" s="3" t="s">
        <v>527</v>
      </c>
      <c r="E7740" s="4" t="str">
        <f t="shared" si="651"/>
        <v>Huyện Chư Pưh</v>
      </c>
      <c r="F7740" s="3" t="s">
        <v>8500</v>
      </c>
      <c r="G7740" s="4" t="str">
        <f>HYPERLINK("https://diaocthongthai.com/xa-ia-phang-chu-puh/","Xã Ia Phang")</f>
        <v>Xã Ia Phang</v>
      </c>
    </row>
    <row r="7741" spans="1:7" x14ac:dyDescent="0.25">
      <c r="A7741" s="2">
        <v>7740</v>
      </c>
      <c r="B7741" s="3" t="s">
        <v>43</v>
      </c>
      <c r="C7741" s="4" t="str">
        <f t="shared" si="649"/>
        <v>Gia Lai</v>
      </c>
      <c r="D7741" s="3" t="s">
        <v>527</v>
      </c>
      <c r="E7741" s="4" t="str">
        <f t="shared" si="651"/>
        <v>Huyện Chư Pưh</v>
      </c>
      <c r="F7741" s="3" t="s">
        <v>8501</v>
      </c>
      <c r="G7741" s="4" t="str">
        <f>HYPERLINK("https://diaocthongthai.com/xa-ia-le-chu-puh/","Xã Ia Le")</f>
        <v>Xã Ia Le</v>
      </c>
    </row>
    <row r="7742" spans="1:7" x14ac:dyDescent="0.25">
      <c r="A7742" s="2">
        <v>7741</v>
      </c>
      <c r="B7742" s="3" t="s">
        <v>43</v>
      </c>
      <c r="C7742" s="4" t="str">
        <f t="shared" si="649"/>
        <v>Gia Lai</v>
      </c>
      <c r="D7742" s="3" t="s">
        <v>527</v>
      </c>
      <c r="E7742" s="4" t="str">
        <f t="shared" si="651"/>
        <v>Huyện Chư Pưh</v>
      </c>
      <c r="F7742" s="3" t="s">
        <v>8502</v>
      </c>
      <c r="G7742" s="4" t="str">
        <f>HYPERLINK("https://diaocthongthai.com/xa-ia-blu-chu-puh/","Xã Ia BLứ")</f>
        <v>Xã Ia BLứ</v>
      </c>
    </row>
    <row r="7743" spans="1:7" x14ac:dyDescent="0.25">
      <c r="A7743" s="2">
        <v>7742</v>
      </c>
      <c r="B7743" s="3" t="s">
        <v>44</v>
      </c>
      <c r="C7743" s="4" t="str">
        <f t="shared" ref="C7743:C7774" si="652">HYPERLINK("https://diaocthongthai.com/ban-do-dak-lak/","Đắk Lắk")</f>
        <v>Đắk Lắk</v>
      </c>
      <c r="D7743" s="3" t="s">
        <v>528</v>
      </c>
      <c r="E7743" s="4" t="str">
        <f t="shared" ref="E7743:E7763" si="653">HYPERLINK("https://diaocthongthai.com/ban-do-tp-buon-ma-thuot-dak-lak/","Thành phố Buôn Ma Thuột")</f>
        <v>Thành phố Buôn Ma Thuột</v>
      </c>
      <c r="F7743" s="3" t="s">
        <v>8503</v>
      </c>
      <c r="G7743" s="4" t="str">
        <f>HYPERLINK("https://diaocthongthai.com/phuong-tan-lap-tp-buon-ma-thuot/","Phường Tân Lập")</f>
        <v>Phường Tân Lập</v>
      </c>
    </row>
    <row r="7744" spans="1:7" x14ac:dyDescent="0.25">
      <c r="A7744" s="2">
        <v>7743</v>
      </c>
      <c r="B7744" s="3" t="s">
        <v>44</v>
      </c>
      <c r="C7744" s="4" t="str">
        <f t="shared" si="652"/>
        <v>Đắk Lắk</v>
      </c>
      <c r="D7744" s="3" t="s">
        <v>528</v>
      </c>
      <c r="E7744" s="4" t="str">
        <f t="shared" si="653"/>
        <v>Thành phố Buôn Ma Thuột</v>
      </c>
      <c r="F7744" s="3" t="s">
        <v>8504</v>
      </c>
      <c r="G7744" s="4" t="str">
        <f>HYPERLINK("https://diaocthongthai.com/phuong-tan-hoa-tp-buon-ma-thuot/","Phường Tân Hòa")</f>
        <v>Phường Tân Hòa</v>
      </c>
    </row>
    <row r="7745" spans="1:7" x14ac:dyDescent="0.25">
      <c r="A7745" s="2">
        <v>7744</v>
      </c>
      <c r="B7745" s="3" t="s">
        <v>44</v>
      </c>
      <c r="C7745" s="4" t="str">
        <f t="shared" si="652"/>
        <v>Đắk Lắk</v>
      </c>
      <c r="D7745" s="3" t="s">
        <v>528</v>
      </c>
      <c r="E7745" s="4" t="str">
        <f t="shared" si="653"/>
        <v>Thành phố Buôn Ma Thuột</v>
      </c>
      <c r="F7745" s="3" t="s">
        <v>8505</v>
      </c>
      <c r="G7745" s="4" t="str">
        <f>HYPERLINK("https://diaocthongthai.com/phuong-tan-an-tp-buon-ma-thuot/","Phường Tân An")</f>
        <v>Phường Tân An</v>
      </c>
    </row>
    <row r="7746" spans="1:7" x14ac:dyDescent="0.25">
      <c r="A7746" s="2">
        <v>7745</v>
      </c>
      <c r="B7746" s="3" t="s">
        <v>44</v>
      </c>
      <c r="C7746" s="4" t="str">
        <f t="shared" si="652"/>
        <v>Đắk Lắk</v>
      </c>
      <c r="D7746" s="3" t="s">
        <v>528</v>
      </c>
      <c r="E7746" s="4" t="str">
        <f t="shared" si="653"/>
        <v>Thành phố Buôn Ma Thuột</v>
      </c>
      <c r="F7746" s="3" t="s">
        <v>8506</v>
      </c>
      <c r="G7746" s="4" t="str">
        <f>HYPERLINK("https://diaocthongthai.com/phuong-thong-nhat-tp-buon-ma-thuot/","Phường Thống Nhất")</f>
        <v>Phường Thống Nhất</v>
      </c>
    </row>
    <row r="7747" spans="1:7" x14ac:dyDescent="0.25">
      <c r="A7747" s="2">
        <v>7746</v>
      </c>
      <c r="B7747" s="3" t="s">
        <v>44</v>
      </c>
      <c r="C7747" s="4" t="str">
        <f t="shared" si="652"/>
        <v>Đắk Lắk</v>
      </c>
      <c r="D7747" s="3" t="s">
        <v>528</v>
      </c>
      <c r="E7747" s="4" t="str">
        <f t="shared" si="653"/>
        <v>Thành phố Buôn Ma Thuột</v>
      </c>
      <c r="F7747" s="3" t="s">
        <v>8507</v>
      </c>
      <c r="G7747" s="4" t="str">
        <f>HYPERLINK("https://diaocthongthai.com/phuong-thanh-nhat-tp-buon-ma-thuot/","Phường Thành Nhất")</f>
        <v>Phường Thành Nhất</v>
      </c>
    </row>
    <row r="7748" spans="1:7" x14ac:dyDescent="0.25">
      <c r="A7748" s="2">
        <v>7747</v>
      </c>
      <c r="B7748" s="3" t="s">
        <v>44</v>
      </c>
      <c r="C7748" s="4" t="str">
        <f t="shared" si="652"/>
        <v>Đắk Lắk</v>
      </c>
      <c r="D7748" s="3" t="s">
        <v>528</v>
      </c>
      <c r="E7748" s="4" t="str">
        <f t="shared" si="653"/>
        <v>Thành phố Buôn Ma Thuột</v>
      </c>
      <c r="F7748" s="3" t="s">
        <v>8508</v>
      </c>
      <c r="G7748" s="4" t="str">
        <f>HYPERLINK("https://diaocthongthai.com/phuong-thang-loi-tp-buon-ma-thuot/","Phường Thắng Lợi")</f>
        <v>Phường Thắng Lợi</v>
      </c>
    </row>
    <row r="7749" spans="1:7" x14ac:dyDescent="0.25">
      <c r="A7749" s="2">
        <v>7748</v>
      </c>
      <c r="B7749" s="3" t="s">
        <v>44</v>
      </c>
      <c r="C7749" s="4" t="str">
        <f t="shared" si="652"/>
        <v>Đắk Lắk</v>
      </c>
      <c r="D7749" s="3" t="s">
        <v>528</v>
      </c>
      <c r="E7749" s="4" t="str">
        <f t="shared" si="653"/>
        <v>Thành phố Buôn Ma Thuột</v>
      </c>
      <c r="F7749" s="3" t="s">
        <v>8509</v>
      </c>
      <c r="G7749" s="4" t="str">
        <f>HYPERLINK("https://diaocthongthai.com/phuong-tan-loi-tp-buon-ma-thuot/","Phường Tân Lợi")</f>
        <v>Phường Tân Lợi</v>
      </c>
    </row>
    <row r="7750" spans="1:7" x14ac:dyDescent="0.25">
      <c r="A7750" s="2">
        <v>7749</v>
      </c>
      <c r="B7750" s="3" t="s">
        <v>44</v>
      </c>
      <c r="C7750" s="4" t="str">
        <f t="shared" si="652"/>
        <v>Đắk Lắk</v>
      </c>
      <c r="D7750" s="3" t="s">
        <v>528</v>
      </c>
      <c r="E7750" s="4" t="str">
        <f t="shared" si="653"/>
        <v>Thành phố Buôn Ma Thuột</v>
      </c>
      <c r="F7750" s="3" t="s">
        <v>8510</v>
      </c>
      <c r="G7750" s="4" t="str">
        <f>HYPERLINK("https://diaocthongthai.com/phuong-thanh-cong-tp-buon-ma-thuot/","Phường Thành Công")</f>
        <v>Phường Thành Công</v>
      </c>
    </row>
    <row r="7751" spans="1:7" x14ac:dyDescent="0.25">
      <c r="A7751" s="2">
        <v>7750</v>
      </c>
      <c r="B7751" s="3" t="s">
        <v>44</v>
      </c>
      <c r="C7751" s="4" t="str">
        <f t="shared" si="652"/>
        <v>Đắk Lắk</v>
      </c>
      <c r="D7751" s="3" t="s">
        <v>528</v>
      </c>
      <c r="E7751" s="4" t="str">
        <f t="shared" si="653"/>
        <v>Thành phố Buôn Ma Thuột</v>
      </c>
      <c r="F7751" s="3" t="s">
        <v>8511</v>
      </c>
      <c r="G7751" s="4" t="str">
        <f>HYPERLINK("https://diaocthongthai.com/phuong-tan-thanh-tp-buon-ma-thuot/","Phường Tân Thành")</f>
        <v>Phường Tân Thành</v>
      </c>
    </row>
    <row r="7752" spans="1:7" x14ac:dyDescent="0.25">
      <c r="A7752" s="2">
        <v>7751</v>
      </c>
      <c r="B7752" s="3" t="s">
        <v>44</v>
      </c>
      <c r="C7752" s="4" t="str">
        <f t="shared" si="652"/>
        <v>Đắk Lắk</v>
      </c>
      <c r="D7752" s="3" t="s">
        <v>528</v>
      </c>
      <c r="E7752" s="4" t="str">
        <f t="shared" si="653"/>
        <v>Thành phố Buôn Ma Thuột</v>
      </c>
      <c r="F7752" s="3" t="s">
        <v>8512</v>
      </c>
      <c r="G7752" s="4" t="str">
        <f>HYPERLINK("https://diaocthongthai.com/phuong-tan-tien-tp-buon-ma-thuot/","Phường Tân Tiến")</f>
        <v>Phường Tân Tiến</v>
      </c>
    </row>
    <row r="7753" spans="1:7" x14ac:dyDescent="0.25">
      <c r="A7753" s="2">
        <v>7752</v>
      </c>
      <c r="B7753" s="3" t="s">
        <v>44</v>
      </c>
      <c r="C7753" s="4" t="str">
        <f t="shared" si="652"/>
        <v>Đắk Lắk</v>
      </c>
      <c r="D7753" s="3" t="s">
        <v>528</v>
      </c>
      <c r="E7753" s="4" t="str">
        <f t="shared" si="653"/>
        <v>Thành phố Buôn Ma Thuột</v>
      </c>
      <c r="F7753" s="3" t="s">
        <v>8513</v>
      </c>
      <c r="G7753" s="4" t="str">
        <f>HYPERLINK("https://diaocthongthai.com/phuong-tu-an-tp-buon-ma-thuot/","Phường Tự An")</f>
        <v>Phường Tự An</v>
      </c>
    </row>
    <row r="7754" spans="1:7" x14ac:dyDescent="0.25">
      <c r="A7754" s="2">
        <v>7753</v>
      </c>
      <c r="B7754" s="3" t="s">
        <v>44</v>
      </c>
      <c r="C7754" s="4" t="str">
        <f t="shared" si="652"/>
        <v>Đắk Lắk</v>
      </c>
      <c r="D7754" s="3" t="s">
        <v>528</v>
      </c>
      <c r="E7754" s="4" t="str">
        <f t="shared" si="653"/>
        <v>Thành phố Buôn Ma Thuột</v>
      </c>
      <c r="F7754" s="3" t="s">
        <v>8514</v>
      </c>
      <c r="G7754" s="4" t="str">
        <f>HYPERLINK("https://diaocthongthai.com/phuong-ea-tam-tp-buon-ma-thuot/","Phường Ea Tam")</f>
        <v>Phường Ea Tam</v>
      </c>
    </row>
    <row r="7755" spans="1:7" x14ac:dyDescent="0.25">
      <c r="A7755" s="2">
        <v>7754</v>
      </c>
      <c r="B7755" s="3" t="s">
        <v>44</v>
      </c>
      <c r="C7755" s="4" t="str">
        <f t="shared" si="652"/>
        <v>Đắk Lắk</v>
      </c>
      <c r="D7755" s="3" t="s">
        <v>528</v>
      </c>
      <c r="E7755" s="4" t="str">
        <f t="shared" si="653"/>
        <v>Thành phố Buôn Ma Thuột</v>
      </c>
      <c r="F7755" s="3" t="s">
        <v>8515</v>
      </c>
      <c r="G7755" s="4" t="str">
        <f>HYPERLINK("https://diaocthongthai.com/phuong-khanh-xuan-tp-buon-ma-thuot/","Phường Khánh Xuân")</f>
        <v>Phường Khánh Xuân</v>
      </c>
    </row>
    <row r="7756" spans="1:7" x14ac:dyDescent="0.25">
      <c r="A7756" s="2">
        <v>7755</v>
      </c>
      <c r="B7756" s="3" t="s">
        <v>44</v>
      </c>
      <c r="C7756" s="4" t="str">
        <f t="shared" si="652"/>
        <v>Đắk Lắk</v>
      </c>
      <c r="D7756" s="3" t="s">
        <v>528</v>
      </c>
      <c r="E7756" s="4" t="str">
        <f t="shared" si="653"/>
        <v>Thành phố Buôn Ma Thuột</v>
      </c>
      <c r="F7756" s="3" t="s">
        <v>8516</v>
      </c>
      <c r="G7756" s="4" t="str">
        <f>HYPERLINK("https://diaocthongthai.com/xa-hoa-thuan-tp-buon-ma-thuot/","Xã Hòa Thuận")</f>
        <v>Xã Hòa Thuận</v>
      </c>
    </row>
    <row r="7757" spans="1:7" x14ac:dyDescent="0.25">
      <c r="A7757" s="2">
        <v>7756</v>
      </c>
      <c r="B7757" s="3" t="s">
        <v>44</v>
      </c>
      <c r="C7757" s="4" t="str">
        <f t="shared" si="652"/>
        <v>Đắk Lắk</v>
      </c>
      <c r="D7757" s="3" t="s">
        <v>528</v>
      </c>
      <c r="E7757" s="4" t="str">
        <f t="shared" si="653"/>
        <v>Thành phố Buôn Ma Thuột</v>
      </c>
      <c r="F7757" s="3" t="s">
        <v>8517</v>
      </c>
      <c r="G7757" s="4" t="str">
        <f>HYPERLINK("https://diaocthongthai.com/xa-cu-ebur-tp-buon-ma-thuot/","Xã Cư ÊBur")</f>
        <v>Xã Cư ÊBur</v>
      </c>
    </row>
    <row r="7758" spans="1:7" x14ac:dyDescent="0.25">
      <c r="A7758" s="2">
        <v>7757</v>
      </c>
      <c r="B7758" s="3" t="s">
        <v>44</v>
      </c>
      <c r="C7758" s="4" t="str">
        <f t="shared" si="652"/>
        <v>Đắk Lắk</v>
      </c>
      <c r="D7758" s="3" t="s">
        <v>528</v>
      </c>
      <c r="E7758" s="4" t="str">
        <f t="shared" si="653"/>
        <v>Thành phố Buôn Ma Thuột</v>
      </c>
      <c r="F7758" s="3" t="s">
        <v>8518</v>
      </c>
      <c r="G7758" s="4" t="str">
        <f>HYPERLINK("https://diaocthongthai.com/xa-ea-tu-tp-buon-ma-thuot/","Xã Ea Tu")</f>
        <v>Xã Ea Tu</v>
      </c>
    </row>
    <row r="7759" spans="1:7" x14ac:dyDescent="0.25">
      <c r="A7759" s="2">
        <v>7758</v>
      </c>
      <c r="B7759" s="3" t="s">
        <v>44</v>
      </c>
      <c r="C7759" s="4" t="str">
        <f t="shared" si="652"/>
        <v>Đắk Lắk</v>
      </c>
      <c r="D7759" s="3" t="s">
        <v>528</v>
      </c>
      <c r="E7759" s="4" t="str">
        <f t="shared" si="653"/>
        <v>Thành phố Buôn Ma Thuột</v>
      </c>
      <c r="F7759" s="3" t="s">
        <v>8519</v>
      </c>
      <c r="G7759" s="4" t="str">
        <f>HYPERLINK("https://diaocthongthai.com/xa-hoa-thang-tp-buon-ma-thuot/","Xã Hòa Thắng")</f>
        <v>Xã Hòa Thắng</v>
      </c>
    </row>
    <row r="7760" spans="1:7" x14ac:dyDescent="0.25">
      <c r="A7760" s="2">
        <v>7759</v>
      </c>
      <c r="B7760" s="3" t="s">
        <v>44</v>
      </c>
      <c r="C7760" s="4" t="str">
        <f t="shared" si="652"/>
        <v>Đắk Lắk</v>
      </c>
      <c r="D7760" s="3" t="s">
        <v>528</v>
      </c>
      <c r="E7760" s="4" t="str">
        <f t="shared" si="653"/>
        <v>Thành phố Buôn Ma Thuột</v>
      </c>
      <c r="F7760" s="3" t="s">
        <v>8520</v>
      </c>
      <c r="G7760" s="4" t="str">
        <f>HYPERLINK("https://diaocthongthai.com/xa-ea-kao-tp-buon-ma-thuot/","Xã Ea Kao")</f>
        <v>Xã Ea Kao</v>
      </c>
    </row>
    <row r="7761" spans="1:7" x14ac:dyDescent="0.25">
      <c r="A7761" s="2">
        <v>7760</v>
      </c>
      <c r="B7761" s="3" t="s">
        <v>44</v>
      </c>
      <c r="C7761" s="4" t="str">
        <f t="shared" si="652"/>
        <v>Đắk Lắk</v>
      </c>
      <c r="D7761" s="3" t="s">
        <v>528</v>
      </c>
      <c r="E7761" s="4" t="str">
        <f t="shared" si="653"/>
        <v>Thành phố Buôn Ma Thuột</v>
      </c>
      <c r="F7761" s="3" t="s">
        <v>8521</v>
      </c>
      <c r="G7761" s="4" t="str">
        <f>HYPERLINK("https://diaocthongthai.com/xa-hoa-phu-tp-buon-ma-thuot/","Xã Hòa Phú")</f>
        <v>Xã Hòa Phú</v>
      </c>
    </row>
    <row r="7762" spans="1:7" x14ac:dyDescent="0.25">
      <c r="A7762" s="2">
        <v>7761</v>
      </c>
      <c r="B7762" s="3" t="s">
        <v>44</v>
      </c>
      <c r="C7762" s="4" t="str">
        <f t="shared" si="652"/>
        <v>Đắk Lắk</v>
      </c>
      <c r="D7762" s="3" t="s">
        <v>528</v>
      </c>
      <c r="E7762" s="4" t="str">
        <f t="shared" si="653"/>
        <v>Thành phố Buôn Ma Thuột</v>
      </c>
      <c r="F7762" s="3" t="s">
        <v>8522</v>
      </c>
      <c r="G7762" s="4" t="str">
        <f>HYPERLINK("https://diaocthongthai.com/xa-hoa-khanh-tp-buon-ma-thuot/","Xã Hòa Khánh")</f>
        <v>Xã Hòa Khánh</v>
      </c>
    </row>
    <row r="7763" spans="1:7" x14ac:dyDescent="0.25">
      <c r="A7763" s="2">
        <v>7762</v>
      </c>
      <c r="B7763" s="3" t="s">
        <v>44</v>
      </c>
      <c r="C7763" s="4" t="str">
        <f t="shared" si="652"/>
        <v>Đắk Lắk</v>
      </c>
      <c r="D7763" s="3" t="s">
        <v>528</v>
      </c>
      <c r="E7763" s="4" t="str">
        <f t="shared" si="653"/>
        <v>Thành phố Buôn Ma Thuột</v>
      </c>
      <c r="F7763" s="3" t="s">
        <v>8523</v>
      </c>
      <c r="G7763" s="4" t="str">
        <f>HYPERLINK("https://diaocthongthai.com/xa-hoa-xuan-tp-buon-ma-thuot/","Xã Hòa Xuân")</f>
        <v>Xã Hòa Xuân</v>
      </c>
    </row>
    <row r="7764" spans="1:7" x14ac:dyDescent="0.25">
      <c r="A7764" s="2">
        <v>7763</v>
      </c>
      <c r="B7764" s="3" t="s">
        <v>44</v>
      </c>
      <c r="C7764" s="4" t="str">
        <f t="shared" si="652"/>
        <v>Đắk Lắk</v>
      </c>
      <c r="D7764" s="3" t="s">
        <v>529</v>
      </c>
      <c r="E7764" s="4" t="str">
        <f t="shared" ref="E7764:E7775" si="654">HYPERLINK("https://diaocthongthai.com/ban-do-thi-xa-buon-ho-dak-lak/","Thị Xã Buôn Hồ")</f>
        <v>Thị Xã Buôn Hồ</v>
      </c>
      <c r="F7764" s="3" t="s">
        <v>8524</v>
      </c>
      <c r="G7764" s="4" t="str">
        <f>HYPERLINK("https://diaocthongthai.com/phuong-an-lac-buon-ho/","Phường An Lạc")</f>
        <v>Phường An Lạc</v>
      </c>
    </row>
    <row r="7765" spans="1:7" x14ac:dyDescent="0.25">
      <c r="A7765" s="2">
        <v>7764</v>
      </c>
      <c r="B7765" s="3" t="s">
        <v>44</v>
      </c>
      <c r="C7765" s="4" t="str">
        <f t="shared" si="652"/>
        <v>Đắk Lắk</v>
      </c>
      <c r="D7765" s="3" t="s">
        <v>529</v>
      </c>
      <c r="E7765" s="4" t="str">
        <f t="shared" si="654"/>
        <v>Thị Xã Buôn Hồ</v>
      </c>
      <c r="F7765" s="3" t="s">
        <v>8525</v>
      </c>
      <c r="G7765" s="4" t="str">
        <f>HYPERLINK("https://diaocthongthai.com/phuong-an-binh-buon-ho/","Phường An Bình")</f>
        <v>Phường An Bình</v>
      </c>
    </row>
    <row r="7766" spans="1:7" x14ac:dyDescent="0.25">
      <c r="A7766" s="2">
        <v>7765</v>
      </c>
      <c r="B7766" s="3" t="s">
        <v>44</v>
      </c>
      <c r="C7766" s="4" t="str">
        <f t="shared" si="652"/>
        <v>Đắk Lắk</v>
      </c>
      <c r="D7766" s="3" t="s">
        <v>529</v>
      </c>
      <c r="E7766" s="4" t="str">
        <f t="shared" si="654"/>
        <v>Thị Xã Buôn Hồ</v>
      </c>
      <c r="F7766" s="3" t="s">
        <v>8526</v>
      </c>
      <c r="G7766" s="4" t="str">
        <f>HYPERLINK("https://diaocthongthai.com/phuong-thien-an-buon-ho/","Phường Thiện An")</f>
        <v>Phường Thiện An</v>
      </c>
    </row>
    <row r="7767" spans="1:7" x14ac:dyDescent="0.25">
      <c r="A7767" s="2">
        <v>7766</v>
      </c>
      <c r="B7767" s="3" t="s">
        <v>44</v>
      </c>
      <c r="C7767" s="4" t="str">
        <f t="shared" si="652"/>
        <v>Đắk Lắk</v>
      </c>
      <c r="D7767" s="3" t="s">
        <v>529</v>
      </c>
      <c r="E7767" s="4" t="str">
        <f t="shared" si="654"/>
        <v>Thị Xã Buôn Hồ</v>
      </c>
      <c r="F7767" s="3" t="s">
        <v>8527</v>
      </c>
      <c r="G7767" s="4" t="str">
        <f>HYPERLINK("https://diaocthongthai.com/phuong-dat-hieu-buon-ho/","Phường Đạt Hiếu")</f>
        <v>Phường Đạt Hiếu</v>
      </c>
    </row>
    <row r="7768" spans="1:7" x14ac:dyDescent="0.25">
      <c r="A7768" s="2">
        <v>7767</v>
      </c>
      <c r="B7768" s="3" t="s">
        <v>44</v>
      </c>
      <c r="C7768" s="4" t="str">
        <f t="shared" si="652"/>
        <v>Đắk Lắk</v>
      </c>
      <c r="D7768" s="3" t="s">
        <v>529</v>
      </c>
      <c r="E7768" s="4" t="str">
        <f t="shared" si="654"/>
        <v>Thị Xã Buôn Hồ</v>
      </c>
      <c r="F7768" s="3" t="s">
        <v>8528</v>
      </c>
      <c r="G7768" s="4" t="str">
        <f>HYPERLINK("https://diaocthongthai.com/phuong-doan-ket-buon-ho/","Phường Đoàn Kết")</f>
        <v>Phường Đoàn Kết</v>
      </c>
    </row>
    <row r="7769" spans="1:7" x14ac:dyDescent="0.25">
      <c r="A7769" s="2">
        <v>7768</v>
      </c>
      <c r="B7769" s="3" t="s">
        <v>44</v>
      </c>
      <c r="C7769" s="4" t="str">
        <f t="shared" si="652"/>
        <v>Đắk Lắk</v>
      </c>
      <c r="D7769" s="3" t="s">
        <v>529</v>
      </c>
      <c r="E7769" s="4" t="str">
        <f t="shared" si="654"/>
        <v>Thị Xã Buôn Hồ</v>
      </c>
      <c r="F7769" s="3" t="s">
        <v>8529</v>
      </c>
      <c r="G7769" s="4" t="str">
        <f>HYPERLINK("https://diaocthongthai.com/xa-ea-blang-buon-ho/","Xã Ea Blang")</f>
        <v>Xã Ea Blang</v>
      </c>
    </row>
    <row r="7770" spans="1:7" x14ac:dyDescent="0.25">
      <c r="A7770" s="2">
        <v>7769</v>
      </c>
      <c r="B7770" s="3" t="s">
        <v>44</v>
      </c>
      <c r="C7770" s="4" t="str">
        <f t="shared" si="652"/>
        <v>Đắk Lắk</v>
      </c>
      <c r="D7770" s="3" t="s">
        <v>529</v>
      </c>
      <c r="E7770" s="4" t="str">
        <f t="shared" si="654"/>
        <v>Thị Xã Buôn Hồ</v>
      </c>
      <c r="F7770" s="3" t="s">
        <v>8530</v>
      </c>
      <c r="G7770" s="4" t="str">
        <f>HYPERLINK("https://diaocthongthai.com/xa-ea-drong-buon-ho/","Xã Ea Drông")</f>
        <v>Xã Ea Drông</v>
      </c>
    </row>
    <row r="7771" spans="1:7" x14ac:dyDescent="0.25">
      <c r="A7771" s="2">
        <v>7770</v>
      </c>
      <c r="B7771" s="3" t="s">
        <v>44</v>
      </c>
      <c r="C7771" s="4" t="str">
        <f t="shared" si="652"/>
        <v>Đắk Lắk</v>
      </c>
      <c r="D7771" s="3" t="s">
        <v>529</v>
      </c>
      <c r="E7771" s="4" t="str">
        <f t="shared" si="654"/>
        <v>Thị Xã Buôn Hồ</v>
      </c>
      <c r="F7771" s="3" t="s">
        <v>8531</v>
      </c>
      <c r="G7771" s="4" t="str">
        <f>HYPERLINK("https://diaocthongthai.com/phuong-thong-nhat-buon-ho/","Phường Thống Nhất")</f>
        <v>Phường Thống Nhất</v>
      </c>
    </row>
    <row r="7772" spans="1:7" x14ac:dyDescent="0.25">
      <c r="A7772" s="2">
        <v>7771</v>
      </c>
      <c r="B7772" s="3" t="s">
        <v>44</v>
      </c>
      <c r="C7772" s="4" t="str">
        <f t="shared" si="652"/>
        <v>Đắk Lắk</v>
      </c>
      <c r="D7772" s="3" t="s">
        <v>529</v>
      </c>
      <c r="E7772" s="4" t="str">
        <f t="shared" si="654"/>
        <v>Thị Xã Buôn Hồ</v>
      </c>
      <c r="F7772" s="3" t="s">
        <v>8532</v>
      </c>
      <c r="G7772" s="4" t="str">
        <f>HYPERLINK("https://diaocthongthai.com/phuong-binh-tan-buon-ho/","Phường Bình Tân")</f>
        <v>Phường Bình Tân</v>
      </c>
    </row>
    <row r="7773" spans="1:7" x14ac:dyDescent="0.25">
      <c r="A7773" s="2">
        <v>7772</v>
      </c>
      <c r="B7773" s="3" t="s">
        <v>44</v>
      </c>
      <c r="C7773" s="4" t="str">
        <f t="shared" si="652"/>
        <v>Đắk Lắk</v>
      </c>
      <c r="D7773" s="3" t="s">
        <v>529</v>
      </c>
      <c r="E7773" s="4" t="str">
        <f t="shared" si="654"/>
        <v>Thị Xã Buôn Hồ</v>
      </c>
      <c r="F7773" s="3" t="s">
        <v>8533</v>
      </c>
      <c r="G7773" s="4" t="str">
        <f>HYPERLINK("https://diaocthongthai.com/xa-ea-sien-buon-ho/","Xã Ea Siên")</f>
        <v>Xã Ea Siên</v>
      </c>
    </row>
    <row r="7774" spans="1:7" x14ac:dyDescent="0.25">
      <c r="A7774" s="2">
        <v>7773</v>
      </c>
      <c r="B7774" s="3" t="s">
        <v>44</v>
      </c>
      <c r="C7774" s="4" t="str">
        <f t="shared" si="652"/>
        <v>Đắk Lắk</v>
      </c>
      <c r="D7774" s="3" t="s">
        <v>529</v>
      </c>
      <c r="E7774" s="4" t="str">
        <f t="shared" si="654"/>
        <v>Thị Xã Buôn Hồ</v>
      </c>
      <c r="F7774" s="3" t="s">
        <v>8534</v>
      </c>
      <c r="G7774" s="4" t="str">
        <f>HYPERLINK("https://diaocthongthai.com/xa-binh-thuan-buon-ho/","Xã Bình Thuận")</f>
        <v>Xã Bình Thuận</v>
      </c>
    </row>
    <row r="7775" spans="1:7" x14ac:dyDescent="0.25">
      <c r="A7775" s="2">
        <v>7774</v>
      </c>
      <c r="B7775" s="3" t="s">
        <v>44</v>
      </c>
      <c r="C7775" s="4" t="str">
        <f t="shared" ref="C7775:C7806" si="655">HYPERLINK("https://diaocthongthai.com/ban-do-dak-lak/","Đắk Lắk")</f>
        <v>Đắk Lắk</v>
      </c>
      <c r="D7775" s="3" t="s">
        <v>529</v>
      </c>
      <c r="E7775" s="4" t="str">
        <f t="shared" si="654"/>
        <v>Thị Xã Buôn Hồ</v>
      </c>
      <c r="F7775" s="3" t="s">
        <v>8535</v>
      </c>
      <c r="G7775" s="4" t="str">
        <f>HYPERLINK("https://diaocthongthai.com/xa-cu-bao-buon-ho/","Xã Cư Bao")</f>
        <v>Xã Cư Bao</v>
      </c>
    </row>
    <row r="7776" spans="1:7" x14ac:dyDescent="0.25">
      <c r="A7776" s="2">
        <v>7775</v>
      </c>
      <c r="B7776" s="3" t="s">
        <v>44</v>
      </c>
      <c r="C7776" s="4" t="str">
        <f t="shared" si="655"/>
        <v>Đắk Lắk</v>
      </c>
      <c r="D7776" s="3" t="s">
        <v>530</v>
      </c>
      <c r="E7776" s="4" t="str">
        <f t="shared" ref="E7776:E7787" si="656">HYPERLINK("https://diaocthongthai.com/ban-do-huyen-ea-h'leo-dak-lak/","Huyện Ea H'leo")</f>
        <v>Huyện Ea H'leo</v>
      </c>
      <c r="F7776" s="3" t="s">
        <v>8536</v>
      </c>
      <c r="G7776" s="4" t="str">
        <f>HYPERLINK("https://diaocthongthai.com/thi-tran-ea-drang-ea-hleo/","Thị trấn Ea Drăng")</f>
        <v>Thị trấn Ea Drăng</v>
      </c>
    </row>
    <row r="7777" spans="1:7" x14ac:dyDescent="0.25">
      <c r="A7777" s="2">
        <v>7776</v>
      </c>
      <c r="B7777" s="3" t="s">
        <v>44</v>
      </c>
      <c r="C7777" s="4" t="str">
        <f t="shared" si="655"/>
        <v>Đắk Lắk</v>
      </c>
      <c r="D7777" s="3" t="s">
        <v>530</v>
      </c>
      <c r="E7777" s="4" t="str">
        <f t="shared" si="656"/>
        <v>Huyện Ea H'leo</v>
      </c>
      <c r="F7777" s="3" t="s">
        <v>8537</v>
      </c>
      <c r="G7777" s="4" t="str">
        <f>HYPERLINK("https://diaocthongthai.com/xa-ea-hleo-ea-hleo/","Xã Ea H'leo")</f>
        <v>Xã Ea H'leo</v>
      </c>
    </row>
    <row r="7778" spans="1:7" x14ac:dyDescent="0.25">
      <c r="A7778" s="2">
        <v>7777</v>
      </c>
      <c r="B7778" s="3" t="s">
        <v>44</v>
      </c>
      <c r="C7778" s="4" t="str">
        <f t="shared" si="655"/>
        <v>Đắk Lắk</v>
      </c>
      <c r="D7778" s="3" t="s">
        <v>530</v>
      </c>
      <c r="E7778" s="4" t="str">
        <f t="shared" si="656"/>
        <v>Huyện Ea H'leo</v>
      </c>
      <c r="F7778" s="3" t="s">
        <v>8538</v>
      </c>
      <c r="G7778" s="4" t="str">
        <f>HYPERLINK("https://diaocthongthai.com/xa-ea-sol-ea-hleo/","Xã Ea Sol")</f>
        <v>Xã Ea Sol</v>
      </c>
    </row>
    <row r="7779" spans="1:7" x14ac:dyDescent="0.25">
      <c r="A7779" s="2">
        <v>7778</v>
      </c>
      <c r="B7779" s="3" t="s">
        <v>44</v>
      </c>
      <c r="C7779" s="4" t="str">
        <f t="shared" si="655"/>
        <v>Đắk Lắk</v>
      </c>
      <c r="D7779" s="3" t="s">
        <v>530</v>
      </c>
      <c r="E7779" s="4" t="str">
        <f t="shared" si="656"/>
        <v>Huyện Ea H'leo</v>
      </c>
      <c r="F7779" s="3" t="s">
        <v>8539</v>
      </c>
      <c r="G7779" s="4" t="str">
        <f>HYPERLINK("https://diaocthongthai.com/xa-ea-ral-ea-hleo/","Xã Ea Ral")</f>
        <v>Xã Ea Ral</v>
      </c>
    </row>
    <row r="7780" spans="1:7" x14ac:dyDescent="0.25">
      <c r="A7780" s="2">
        <v>7779</v>
      </c>
      <c r="B7780" s="3" t="s">
        <v>44</v>
      </c>
      <c r="C7780" s="4" t="str">
        <f t="shared" si="655"/>
        <v>Đắk Lắk</v>
      </c>
      <c r="D7780" s="3" t="s">
        <v>530</v>
      </c>
      <c r="E7780" s="4" t="str">
        <f t="shared" si="656"/>
        <v>Huyện Ea H'leo</v>
      </c>
      <c r="F7780" s="3" t="s">
        <v>8540</v>
      </c>
      <c r="G7780" s="4" t="str">
        <f>HYPERLINK("https://diaocthongthai.com/xa-ea-wy-ea-hleo/","Xã Ea Wy")</f>
        <v>Xã Ea Wy</v>
      </c>
    </row>
    <row r="7781" spans="1:7" x14ac:dyDescent="0.25">
      <c r="A7781" s="2">
        <v>7780</v>
      </c>
      <c r="B7781" s="3" t="s">
        <v>44</v>
      </c>
      <c r="C7781" s="4" t="str">
        <f t="shared" si="655"/>
        <v>Đắk Lắk</v>
      </c>
      <c r="D7781" s="3" t="s">
        <v>530</v>
      </c>
      <c r="E7781" s="4" t="str">
        <f t="shared" si="656"/>
        <v>Huyện Ea H'leo</v>
      </c>
      <c r="F7781" s="3" t="s">
        <v>8541</v>
      </c>
      <c r="G7781" s="4" t="str">
        <f>HYPERLINK("https://diaocthongthai.com/xa-cu-a-mung-ea-hleo/","Xã Cư A Mung")</f>
        <v>Xã Cư A Mung</v>
      </c>
    </row>
    <row r="7782" spans="1:7" x14ac:dyDescent="0.25">
      <c r="A7782" s="2">
        <v>7781</v>
      </c>
      <c r="B7782" s="3" t="s">
        <v>44</v>
      </c>
      <c r="C7782" s="4" t="str">
        <f t="shared" si="655"/>
        <v>Đắk Lắk</v>
      </c>
      <c r="D7782" s="3" t="s">
        <v>530</v>
      </c>
      <c r="E7782" s="4" t="str">
        <f t="shared" si="656"/>
        <v>Huyện Ea H'leo</v>
      </c>
      <c r="F7782" s="3" t="s">
        <v>8542</v>
      </c>
      <c r="G7782" s="4" t="str">
        <f>HYPERLINK("https://diaocthongthai.com/xa-cu-mot-ea-hleo/","Xã Cư Mốt")</f>
        <v>Xã Cư Mốt</v>
      </c>
    </row>
    <row r="7783" spans="1:7" x14ac:dyDescent="0.25">
      <c r="A7783" s="2">
        <v>7782</v>
      </c>
      <c r="B7783" s="3" t="s">
        <v>44</v>
      </c>
      <c r="C7783" s="4" t="str">
        <f t="shared" si="655"/>
        <v>Đắk Lắk</v>
      </c>
      <c r="D7783" s="3" t="s">
        <v>530</v>
      </c>
      <c r="E7783" s="4" t="str">
        <f t="shared" si="656"/>
        <v>Huyện Ea H'leo</v>
      </c>
      <c r="F7783" s="3" t="s">
        <v>8543</v>
      </c>
      <c r="G7783" s="4" t="str">
        <f>HYPERLINK("https://diaocthongthai.com/xa-ea-hiao-ea-hleo/","Xã Ea Hiao")</f>
        <v>Xã Ea Hiao</v>
      </c>
    </row>
    <row r="7784" spans="1:7" x14ac:dyDescent="0.25">
      <c r="A7784" s="2">
        <v>7783</v>
      </c>
      <c r="B7784" s="3" t="s">
        <v>44</v>
      </c>
      <c r="C7784" s="4" t="str">
        <f t="shared" si="655"/>
        <v>Đắk Lắk</v>
      </c>
      <c r="D7784" s="3" t="s">
        <v>530</v>
      </c>
      <c r="E7784" s="4" t="str">
        <f t="shared" si="656"/>
        <v>Huyện Ea H'leo</v>
      </c>
      <c r="F7784" s="3" t="s">
        <v>8544</v>
      </c>
      <c r="G7784" s="4" t="str">
        <f>HYPERLINK("https://diaocthongthai.com/xa-ea-khal-ea-hleo/","Xã Ea Khal")</f>
        <v>Xã Ea Khal</v>
      </c>
    </row>
    <row r="7785" spans="1:7" x14ac:dyDescent="0.25">
      <c r="A7785" s="2">
        <v>7784</v>
      </c>
      <c r="B7785" s="3" t="s">
        <v>44</v>
      </c>
      <c r="C7785" s="4" t="str">
        <f t="shared" si="655"/>
        <v>Đắk Lắk</v>
      </c>
      <c r="D7785" s="3" t="s">
        <v>530</v>
      </c>
      <c r="E7785" s="4" t="str">
        <f t="shared" si="656"/>
        <v>Huyện Ea H'leo</v>
      </c>
      <c r="F7785" s="3" t="s">
        <v>8545</v>
      </c>
      <c r="G7785" s="4" t="str">
        <f>HYPERLINK("https://diaocthongthai.com/xa-dlie-yang-ea-hleo/","Xã Dliê Yang")</f>
        <v>Xã Dliê Yang</v>
      </c>
    </row>
    <row r="7786" spans="1:7" x14ac:dyDescent="0.25">
      <c r="A7786" s="2">
        <v>7785</v>
      </c>
      <c r="B7786" s="3" t="s">
        <v>44</v>
      </c>
      <c r="C7786" s="4" t="str">
        <f t="shared" si="655"/>
        <v>Đắk Lắk</v>
      </c>
      <c r="D7786" s="3" t="s">
        <v>530</v>
      </c>
      <c r="E7786" s="4" t="str">
        <f t="shared" si="656"/>
        <v>Huyện Ea H'leo</v>
      </c>
      <c r="F7786" s="3" t="s">
        <v>8546</v>
      </c>
      <c r="G7786" s="4" t="str">
        <f>HYPERLINK("https://diaocthongthai.com/xa-ea-tir-ea-hleo/","Xã Ea Tir")</f>
        <v>Xã Ea Tir</v>
      </c>
    </row>
    <row r="7787" spans="1:7" x14ac:dyDescent="0.25">
      <c r="A7787" s="2">
        <v>7786</v>
      </c>
      <c r="B7787" s="3" t="s">
        <v>44</v>
      </c>
      <c r="C7787" s="4" t="str">
        <f t="shared" si="655"/>
        <v>Đắk Lắk</v>
      </c>
      <c r="D7787" s="3" t="s">
        <v>530</v>
      </c>
      <c r="E7787" s="4" t="str">
        <f t="shared" si="656"/>
        <v>Huyện Ea H'leo</v>
      </c>
      <c r="F7787" s="3" t="s">
        <v>8547</v>
      </c>
      <c r="G7787" s="4" t="str">
        <f>HYPERLINK("https://diaocthongthai.com/xa-ea-nam-ea-hleo/","Xã Ea Nam")</f>
        <v>Xã Ea Nam</v>
      </c>
    </row>
    <row r="7788" spans="1:7" x14ac:dyDescent="0.25">
      <c r="A7788" s="2">
        <v>7787</v>
      </c>
      <c r="B7788" s="3" t="s">
        <v>44</v>
      </c>
      <c r="C7788" s="4" t="str">
        <f t="shared" si="655"/>
        <v>Đắk Lắk</v>
      </c>
      <c r="D7788" s="3" t="s">
        <v>531</v>
      </c>
      <c r="E7788" s="4" t="str">
        <f t="shared" ref="E7788:E7797" si="657">HYPERLINK("https://diaocthongthai.com/ban-do-huyen-ea-sup-dak-lak/","Huyện Ea Súp")</f>
        <v>Huyện Ea Súp</v>
      </c>
      <c r="F7788" s="3" t="s">
        <v>8548</v>
      </c>
      <c r="G7788" s="4" t="str">
        <f>HYPERLINK("https://diaocthongthai.com/thi-tran-ea-sup-ea-sup/","Thị trấn Ea Súp")</f>
        <v>Thị trấn Ea Súp</v>
      </c>
    </row>
    <row r="7789" spans="1:7" x14ac:dyDescent="0.25">
      <c r="A7789" s="2">
        <v>7788</v>
      </c>
      <c r="B7789" s="3" t="s">
        <v>44</v>
      </c>
      <c r="C7789" s="4" t="str">
        <f t="shared" si="655"/>
        <v>Đắk Lắk</v>
      </c>
      <c r="D7789" s="3" t="s">
        <v>531</v>
      </c>
      <c r="E7789" s="4" t="str">
        <f t="shared" si="657"/>
        <v>Huyện Ea Súp</v>
      </c>
      <c r="F7789" s="3" t="s">
        <v>8549</v>
      </c>
      <c r="G7789" s="4" t="str">
        <f>HYPERLINK("https://diaocthongthai.com/xa-ia-lop-ea-sup/","Xã Ia Lốp")</f>
        <v>Xã Ia Lốp</v>
      </c>
    </row>
    <row r="7790" spans="1:7" x14ac:dyDescent="0.25">
      <c r="A7790" s="2">
        <v>7789</v>
      </c>
      <c r="B7790" s="3" t="s">
        <v>44</v>
      </c>
      <c r="C7790" s="4" t="str">
        <f t="shared" si="655"/>
        <v>Đắk Lắk</v>
      </c>
      <c r="D7790" s="3" t="s">
        <v>531</v>
      </c>
      <c r="E7790" s="4" t="str">
        <f t="shared" si="657"/>
        <v>Huyện Ea Súp</v>
      </c>
      <c r="F7790" s="3" t="s">
        <v>8550</v>
      </c>
      <c r="G7790" s="4" t="str">
        <f>HYPERLINK("https://diaocthongthai.com/xa-ia-jloi-ea-sup/","Xã Ia JLơi")</f>
        <v>Xã Ia JLơi</v>
      </c>
    </row>
    <row r="7791" spans="1:7" x14ac:dyDescent="0.25">
      <c r="A7791" s="2">
        <v>7790</v>
      </c>
      <c r="B7791" s="3" t="s">
        <v>44</v>
      </c>
      <c r="C7791" s="4" t="str">
        <f t="shared" si="655"/>
        <v>Đắk Lắk</v>
      </c>
      <c r="D7791" s="3" t="s">
        <v>531</v>
      </c>
      <c r="E7791" s="4" t="str">
        <f t="shared" si="657"/>
        <v>Huyện Ea Súp</v>
      </c>
      <c r="F7791" s="3" t="s">
        <v>8551</v>
      </c>
      <c r="G7791" s="4" t="str">
        <f>HYPERLINK("https://diaocthongthai.com/xa-ea-rok-ea-sup/","Xã Ea Rốk")</f>
        <v>Xã Ea Rốk</v>
      </c>
    </row>
    <row r="7792" spans="1:7" x14ac:dyDescent="0.25">
      <c r="A7792" s="2">
        <v>7791</v>
      </c>
      <c r="B7792" s="3" t="s">
        <v>44</v>
      </c>
      <c r="C7792" s="4" t="str">
        <f t="shared" si="655"/>
        <v>Đắk Lắk</v>
      </c>
      <c r="D7792" s="3" t="s">
        <v>531</v>
      </c>
      <c r="E7792" s="4" t="str">
        <f t="shared" si="657"/>
        <v>Huyện Ea Súp</v>
      </c>
      <c r="F7792" s="3" t="s">
        <v>8552</v>
      </c>
      <c r="G7792" s="4" t="str">
        <f>HYPERLINK("https://diaocthongthai.com/xa-ya-to-mot-ea-sup/","Xã Ya Tờ Mốt")</f>
        <v>Xã Ya Tờ Mốt</v>
      </c>
    </row>
    <row r="7793" spans="1:7" x14ac:dyDescent="0.25">
      <c r="A7793" s="2">
        <v>7792</v>
      </c>
      <c r="B7793" s="3" t="s">
        <v>44</v>
      </c>
      <c r="C7793" s="4" t="str">
        <f t="shared" si="655"/>
        <v>Đắk Lắk</v>
      </c>
      <c r="D7793" s="3" t="s">
        <v>531</v>
      </c>
      <c r="E7793" s="4" t="str">
        <f t="shared" si="657"/>
        <v>Huyện Ea Súp</v>
      </c>
      <c r="F7793" s="3" t="s">
        <v>8553</v>
      </c>
      <c r="G7793" s="4" t="str">
        <f>HYPERLINK("https://diaocthongthai.com/xa-ia-rve-ea-sup/","Xã Ia RVê")</f>
        <v>Xã Ia RVê</v>
      </c>
    </row>
    <row r="7794" spans="1:7" x14ac:dyDescent="0.25">
      <c r="A7794" s="2">
        <v>7793</v>
      </c>
      <c r="B7794" s="3" t="s">
        <v>44</v>
      </c>
      <c r="C7794" s="4" t="str">
        <f t="shared" si="655"/>
        <v>Đắk Lắk</v>
      </c>
      <c r="D7794" s="3" t="s">
        <v>531</v>
      </c>
      <c r="E7794" s="4" t="str">
        <f t="shared" si="657"/>
        <v>Huyện Ea Súp</v>
      </c>
      <c r="F7794" s="3" t="s">
        <v>8554</v>
      </c>
      <c r="G7794" s="4" t="str">
        <f>HYPERLINK("https://diaocthongthai.com/xa-ea-le-ea-sup/","Xã Ea Lê")</f>
        <v>Xã Ea Lê</v>
      </c>
    </row>
    <row r="7795" spans="1:7" x14ac:dyDescent="0.25">
      <c r="A7795" s="2">
        <v>7794</v>
      </c>
      <c r="B7795" s="3" t="s">
        <v>44</v>
      </c>
      <c r="C7795" s="4" t="str">
        <f t="shared" si="655"/>
        <v>Đắk Lắk</v>
      </c>
      <c r="D7795" s="3" t="s">
        <v>531</v>
      </c>
      <c r="E7795" s="4" t="str">
        <f t="shared" si="657"/>
        <v>Huyện Ea Súp</v>
      </c>
      <c r="F7795" s="3" t="s">
        <v>8555</v>
      </c>
      <c r="G7795" s="4" t="str">
        <f>HYPERLINK("https://diaocthongthai.com/xa-cu-kbang-ea-sup/","Xã Cư KBang")</f>
        <v>Xã Cư KBang</v>
      </c>
    </row>
    <row r="7796" spans="1:7" x14ac:dyDescent="0.25">
      <c r="A7796" s="2">
        <v>7795</v>
      </c>
      <c r="B7796" s="3" t="s">
        <v>44</v>
      </c>
      <c r="C7796" s="4" t="str">
        <f t="shared" si="655"/>
        <v>Đắk Lắk</v>
      </c>
      <c r="D7796" s="3" t="s">
        <v>531</v>
      </c>
      <c r="E7796" s="4" t="str">
        <f t="shared" si="657"/>
        <v>Huyện Ea Súp</v>
      </c>
      <c r="F7796" s="3" t="s">
        <v>8556</v>
      </c>
      <c r="G7796" s="4" t="str">
        <f>HYPERLINK("https://diaocthongthai.com/xa-ea-bung-ea-sup/","Xã Ea Bung")</f>
        <v>Xã Ea Bung</v>
      </c>
    </row>
    <row r="7797" spans="1:7" x14ac:dyDescent="0.25">
      <c r="A7797" s="2">
        <v>7796</v>
      </c>
      <c r="B7797" s="3" t="s">
        <v>44</v>
      </c>
      <c r="C7797" s="4" t="str">
        <f t="shared" si="655"/>
        <v>Đắk Lắk</v>
      </c>
      <c r="D7797" s="3" t="s">
        <v>531</v>
      </c>
      <c r="E7797" s="4" t="str">
        <f t="shared" si="657"/>
        <v>Huyện Ea Súp</v>
      </c>
      <c r="F7797" s="3" t="s">
        <v>8557</v>
      </c>
      <c r="G7797" s="4" t="str">
        <f>HYPERLINK("https://diaocthongthai.com/xa-cu-m-lan-ea-sup/","Xã Cư M'Lan")</f>
        <v>Xã Cư M'Lan</v>
      </c>
    </row>
    <row r="7798" spans="1:7" x14ac:dyDescent="0.25">
      <c r="A7798" s="2">
        <v>7797</v>
      </c>
      <c r="B7798" s="3" t="s">
        <v>44</v>
      </c>
      <c r="C7798" s="4" t="str">
        <f t="shared" si="655"/>
        <v>Đắk Lắk</v>
      </c>
      <c r="D7798" s="3" t="s">
        <v>532</v>
      </c>
      <c r="E7798" s="4" t="str">
        <f t="shared" ref="E7798:E7804" si="658">HYPERLINK("https://diaocthongthai.com/ban-do-huyen-buon-don-dak-lak/","Huyện Buôn Đôn")</f>
        <v>Huyện Buôn Đôn</v>
      </c>
      <c r="F7798" s="3" t="s">
        <v>8558</v>
      </c>
      <c r="G7798" s="4" t="str">
        <f>HYPERLINK("https://diaocthongthai.com/xa-krong-na-buon-don/","Xã Krông Na")</f>
        <v>Xã Krông Na</v>
      </c>
    </row>
    <row r="7799" spans="1:7" x14ac:dyDescent="0.25">
      <c r="A7799" s="2">
        <v>7798</v>
      </c>
      <c r="B7799" s="3" t="s">
        <v>44</v>
      </c>
      <c r="C7799" s="4" t="str">
        <f t="shared" si="655"/>
        <v>Đắk Lắk</v>
      </c>
      <c r="D7799" s="3" t="s">
        <v>532</v>
      </c>
      <c r="E7799" s="4" t="str">
        <f t="shared" si="658"/>
        <v>Huyện Buôn Đôn</v>
      </c>
      <c r="F7799" s="3" t="s">
        <v>8559</v>
      </c>
      <c r="G7799" s="4" t="str">
        <f>HYPERLINK("https://diaocthongthai.com/xa-ea-huar-buon-don/","Xã Ea Huar")</f>
        <v>Xã Ea Huar</v>
      </c>
    </row>
    <row r="7800" spans="1:7" x14ac:dyDescent="0.25">
      <c r="A7800" s="2">
        <v>7799</v>
      </c>
      <c r="B7800" s="3" t="s">
        <v>44</v>
      </c>
      <c r="C7800" s="4" t="str">
        <f t="shared" si="655"/>
        <v>Đắk Lắk</v>
      </c>
      <c r="D7800" s="3" t="s">
        <v>532</v>
      </c>
      <c r="E7800" s="4" t="str">
        <f t="shared" si="658"/>
        <v>Huyện Buôn Đôn</v>
      </c>
      <c r="F7800" s="3" t="s">
        <v>8560</v>
      </c>
      <c r="G7800" s="4" t="str">
        <f>HYPERLINK("https://diaocthongthai.com/xa-ea-wer-buon-don/","Xã Ea Wer")</f>
        <v>Xã Ea Wer</v>
      </c>
    </row>
    <row r="7801" spans="1:7" x14ac:dyDescent="0.25">
      <c r="A7801" s="2">
        <v>7800</v>
      </c>
      <c r="B7801" s="3" t="s">
        <v>44</v>
      </c>
      <c r="C7801" s="4" t="str">
        <f t="shared" si="655"/>
        <v>Đắk Lắk</v>
      </c>
      <c r="D7801" s="3" t="s">
        <v>532</v>
      </c>
      <c r="E7801" s="4" t="str">
        <f t="shared" si="658"/>
        <v>Huyện Buôn Đôn</v>
      </c>
      <c r="F7801" s="3" t="s">
        <v>8561</v>
      </c>
      <c r="G7801" s="4" t="str">
        <f>HYPERLINK("https://diaocthongthai.com/xa-tan-hoa-buon-don/","Xã Tân Hoà")</f>
        <v>Xã Tân Hoà</v>
      </c>
    </row>
    <row r="7802" spans="1:7" x14ac:dyDescent="0.25">
      <c r="A7802" s="2">
        <v>7801</v>
      </c>
      <c r="B7802" s="3" t="s">
        <v>44</v>
      </c>
      <c r="C7802" s="4" t="str">
        <f t="shared" si="655"/>
        <v>Đắk Lắk</v>
      </c>
      <c r="D7802" s="3" t="s">
        <v>532</v>
      </c>
      <c r="E7802" s="4" t="str">
        <f t="shared" si="658"/>
        <v>Huyện Buôn Đôn</v>
      </c>
      <c r="F7802" s="3" t="s">
        <v>8562</v>
      </c>
      <c r="G7802" s="4" t="str">
        <f>HYPERLINK("https://diaocthongthai.com/xa-cuor-knia-buon-don/","Xã Cuôr KNia")</f>
        <v>Xã Cuôr KNia</v>
      </c>
    </row>
    <row r="7803" spans="1:7" x14ac:dyDescent="0.25">
      <c r="A7803" s="2">
        <v>7802</v>
      </c>
      <c r="B7803" s="3" t="s">
        <v>44</v>
      </c>
      <c r="C7803" s="4" t="str">
        <f t="shared" si="655"/>
        <v>Đắk Lắk</v>
      </c>
      <c r="D7803" s="3" t="s">
        <v>532</v>
      </c>
      <c r="E7803" s="4" t="str">
        <f t="shared" si="658"/>
        <v>Huyện Buôn Đôn</v>
      </c>
      <c r="F7803" s="3" t="s">
        <v>8563</v>
      </c>
      <c r="G7803" s="4" t="str">
        <f>HYPERLINK("https://diaocthongthai.com/xa-ea-bar-buon-don/","Xã Ea Bar")</f>
        <v>Xã Ea Bar</v>
      </c>
    </row>
    <row r="7804" spans="1:7" x14ac:dyDescent="0.25">
      <c r="A7804" s="2">
        <v>7803</v>
      </c>
      <c r="B7804" s="3" t="s">
        <v>44</v>
      </c>
      <c r="C7804" s="4" t="str">
        <f t="shared" si="655"/>
        <v>Đắk Lắk</v>
      </c>
      <c r="D7804" s="3" t="s">
        <v>532</v>
      </c>
      <c r="E7804" s="4" t="str">
        <f t="shared" si="658"/>
        <v>Huyện Buôn Đôn</v>
      </c>
      <c r="F7804" s="3" t="s">
        <v>8564</v>
      </c>
      <c r="G7804" s="4" t="str">
        <f>HYPERLINK("https://diaocthongthai.com/xa-ea-nuol-buon-don/","Xã Ea Nuôl")</f>
        <v>Xã Ea Nuôl</v>
      </c>
    </row>
    <row r="7805" spans="1:7" x14ac:dyDescent="0.25">
      <c r="A7805" s="2">
        <v>7804</v>
      </c>
      <c r="B7805" s="3" t="s">
        <v>44</v>
      </c>
      <c r="C7805" s="4" t="str">
        <f t="shared" si="655"/>
        <v>Đắk Lắk</v>
      </c>
      <c r="D7805" s="3" t="s">
        <v>533</v>
      </c>
      <c r="E7805" s="4" t="str">
        <f t="shared" ref="E7805:E7821" si="659">HYPERLINK("https://diaocthongthai.com/ban-do-huyen-cu-m'gar-dak-lak/","Huyện Cư M'gar")</f>
        <v>Huyện Cư M'gar</v>
      </c>
      <c r="F7805" s="3" t="s">
        <v>8565</v>
      </c>
      <c r="G7805" s="4" t="str">
        <f>HYPERLINK("https://diaocthongthai.com/thi-tran-ea-pok-cu-mgar/","Thị trấn Ea Pốk")</f>
        <v>Thị trấn Ea Pốk</v>
      </c>
    </row>
    <row r="7806" spans="1:7" x14ac:dyDescent="0.25">
      <c r="A7806" s="2">
        <v>7805</v>
      </c>
      <c r="B7806" s="3" t="s">
        <v>44</v>
      </c>
      <c r="C7806" s="4" t="str">
        <f t="shared" si="655"/>
        <v>Đắk Lắk</v>
      </c>
      <c r="D7806" s="3" t="s">
        <v>533</v>
      </c>
      <c r="E7806" s="4" t="str">
        <f t="shared" si="659"/>
        <v>Huyện Cư M'gar</v>
      </c>
      <c r="F7806" s="3" t="s">
        <v>8566</v>
      </c>
      <c r="G7806" s="4" t="str">
        <f>HYPERLINK("https://diaocthongthai.com/thi-tran-quang-phu-cu-mgar/","Thị trấn Quảng Phú")</f>
        <v>Thị trấn Quảng Phú</v>
      </c>
    </row>
    <row r="7807" spans="1:7" x14ac:dyDescent="0.25">
      <c r="A7807" s="2">
        <v>7806</v>
      </c>
      <c r="B7807" s="3" t="s">
        <v>44</v>
      </c>
      <c r="C7807" s="4" t="str">
        <f t="shared" ref="C7807:C7838" si="660">HYPERLINK("https://diaocthongthai.com/ban-do-dak-lak/","Đắk Lắk")</f>
        <v>Đắk Lắk</v>
      </c>
      <c r="D7807" s="3" t="s">
        <v>533</v>
      </c>
      <c r="E7807" s="4" t="str">
        <f t="shared" si="659"/>
        <v>Huyện Cư M'gar</v>
      </c>
      <c r="F7807" s="3" t="s">
        <v>8567</v>
      </c>
      <c r="G7807" s="4" t="str">
        <f>HYPERLINK("https://diaocthongthai.com/xa-quang-tien-cu-mgar/","Xã Quảng Tiến")</f>
        <v>Xã Quảng Tiến</v>
      </c>
    </row>
    <row r="7808" spans="1:7" x14ac:dyDescent="0.25">
      <c r="A7808" s="2">
        <v>7807</v>
      </c>
      <c r="B7808" s="3" t="s">
        <v>44</v>
      </c>
      <c r="C7808" s="4" t="str">
        <f t="shared" si="660"/>
        <v>Đắk Lắk</v>
      </c>
      <c r="D7808" s="3" t="s">
        <v>533</v>
      </c>
      <c r="E7808" s="4" t="str">
        <f t="shared" si="659"/>
        <v>Huyện Cư M'gar</v>
      </c>
      <c r="F7808" s="3" t="s">
        <v>8568</v>
      </c>
      <c r="G7808" s="4" t="str">
        <f>HYPERLINK("https://diaocthongthai.com/xa-ea-kueh-cu-mgar/","Xã Ea Kuêh")</f>
        <v>Xã Ea Kuêh</v>
      </c>
    </row>
    <row r="7809" spans="1:7" x14ac:dyDescent="0.25">
      <c r="A7809" s="2">
        <v>7808</v>
      </c>
      <c r="B7809" s="3" t="s">
        <v>44</v>
      </c>
      <c r="C7809" s="4" t="str">
        <f t="shared" si="660"/>
        <v>Đắk Lắk</v>
      </c>
      <c r="D7809" s="3" t="s">
        <v>533</v>
      </c>
      <c r="E7809" s="4" t="str">
        <f t="shared" si="659"/>
        <v>Huyện Cư M'gar</v>
      </c>
      <c r="F7809" s="3" t="s">
        <v>8569</v>
      </c>
      <c r="G7809" s="4" t="str">
        <f>HYPERLINK("https://diaocthongthai.com/xa-ea-kiet-cu-mgar/","Xã Ea Kiết")</f>
        <v>Xã Ea Kiết</v>
      </c>
    </row>
    <row r="7810" spans="1:7" x14ac:dyDescent="0.25">
      <c r="A7810" s="2">
        <v>7809</v>
      </c>
      <c r="B7810" s="3" t="s">
        <v>44</v>
      </c>
      <c r="C7810" s="4" t="str">
        <f t="shared" si="660"/>
        <v>Đắk Lắk</v>
      </c>
      <c r="D7810" s="3" t="s">
        <v>533</v>
      </c>
      <c r="E7810" s="4" t="str">
        <f t="shared" si="659"/>
        <v>Huyện Cư M'gar</v>
      </c>
      <c r="F7810" s="3" t="s">
        <v>8570</v>
      </c>
      <c r="G7810" s="4" t="str">
        <f>HYPERLINK("https://diaocthongthai.com/xa-ea-tar-cu-mgar/","Xã Ea Tar")</f>
        <v>Xã Ea Tar</v>
      </c>
    </row>
    <row r="7811" spans="1:7" x14ac:dyDescent="0.25">
      <c r="A7811" s="2">
        <v>7810</v>
      </c>
      <c r="B7811" s="3" t="s">
        <v>44</v>
      </c>
      <c r="C7811" s="4" t="str">
        <f t="shared" si="660"/>
        <v>Đắk Lắk</v>
      </c>
      <c r="D7811" s="3" t="s">
        <v>533</v>
      </c>
      <c r="E7811" s="4" t="str">
        <f t="shared" si="659"/>
        <v>Huyện Cư M'gar</v>
      </c>
      <c r="F7811" s="3" t="s">
        <v>8571</v>
      </c>
      <c r="G7811" s="4" t="str">
        <f>HYPERLINK("https://diaocthongthai.com/xa-cu-dlie-m-nong-cu-mgar/","Xã Cư Dliê M'nông")</f>
        <v>Xã Cư Dliê M'nông</v>
      </c>
    </row>
    <row r="7812" spans="1:7" x14ac:dyDescent="0.25">
      <c r="A7812" s="2">
        <v>7811</v>
      </c>
      <c r="B7812" s="3" t="s">
        <v>44</v>
      </c>
      <c r="C7812" s="4" t="str">
        <f t="shared" si="660"/>
        <v>Đắk Lắk</v>
      </c>
      <c r="D7812" s="3" t="s">
        <v>533</v>
      </c>
      <c r="E7812" s="4" t="str">
        <f t="shared" si="659"/>
        <v>Huyện Cư M'gar</v>
      </c>
      <c r="F7812" s="3" t="s">
        <v>8572</v>
      </c>
      <c r="G7812" s="4" t="str">
        <f>HYPERLINK("https://diaocthongthai.com/xa-ea-h-ding-cu-mgar/","Xã Ea H'đinh")</f>
        <v>Xã Ea H'đinh</v>
      </c>
    </row>
    <row r="7813" spans="1:7" x14ac:dyDescent="0.25">
      <c r="A7813" s="2">
        <v>7812</v>
      </c>
      <c r="B7813" s="3" t="s">
        <v>44</v>
      </c>
      <c r="C7813" s="4" t="str">
        <f t="shared" si="660"/>
        <v>Đắk Lắk</v>
      </c>
      <c r="D7813" s="3" t="s">
        <v>533</v>
      </c>
      <c r="E7813" s="4" t="str">
        <f t="shared" si="659"/>
        <v>Huyện Cư M'gar</v>
      </c>
      <c r="F7813" s="3" t="s">
        <v>8573</v>
      </c>
      <c r="G7813" s="4" t="str">
        <f>HYPERLINK("https://diaocthongthai.com/xa-ea-tul-cu-mgar/","Xã Ea Tul")</f>
        <v>Xã Ea Tul</v>
      </c>
    </row>
    <row r="7814" spans="1:7" x14ac:dyDescent="0.25">
      <c r="A7814" s="2">
        <v>7813</v>
      </c>
      <c r="B7814" s="3" t="s">
        <v>44</v>
      </c>
      <c r="C7814" s="4" t="str">
        <f t="shared" si="660"/>
        <v>Đắk Lắk</v>
      </c>
      <c r="D7814" s="3" t="s">
        <v>533</v>
      </c>
      <c r="E7814" s="4" t="str">
        <f t="shared" si="659"/>
        <v>Huyện Cư M'gar</v>
      </c>
      <c r="F7814" s="3" t="s">
        <v>8574</v>
      </c>
      <c r="G7814" s="4" t="str">
        <f>HYPERLINK("https://diaocthongthai.com/xa-ea-kpam-cu-mgar/","Xã Ea KPam")</f>
        <v>Xã Ea KPam</v>
      </c>
    </row>
    <row r="7815" spans="1:7" x14ac:dyDescent="0.25">
      <c r="A7815" s="2">
        <v>7814</v>
      </c>
      <c r="B7815" s="3" t="s">
        <v>44</v>
      </c>
      <c r="C7815" s="4" t="str">
        <f t="shared" si="660"/>
        <v>Đắk Lắk</v>
      </c>
      <c r="D7815" s="3" t="s">
        <v>533</v>
      </c>
      <c r="E7815" s="4" t="str">
        <f t="shared" si="659"/>
        <v>Huyện Cư M'gar</v>
      </c>
      <c r="F7815" s="3" t="s">
        <v>8575</v>
      </c>
      <c r="G7815" s="4" t="str">
        <f>HYPERLINK("https://diaocthongthai.com/xa-ea-m-droh-cu-mgar/","Xã Ea M'DRóh")</f>
        <v>Xã Ea M'DRóh</v>
      </c>
    </row>
    <row r="7816" spans="1:7" x14ac:dyDescent="0.25">
      <c r="A7816" s="2">
        <v>7815</v>
      </c>
      <c r="B7816" s="3" t="s">
        <v>44</v>
      </c>
      <c r="C7816" s="4" t="str">
        <f t="shared" si="660"/>
        <v>Đắk Lắk</v>
      </c>
      <c r="D7816" s="3" t="s">
        <v>533</v>
      </c>
      <c r="E7816" s="4" t="str">
        <f t="shared" si="659"/>
        <v>Huyện Cư M'gar</v>
      </c>
      <c r="F7816" s="3" t="s">
        <v>8576</v>
      </c>
      <c r="G7816" s="4" t="str">
        <f>HYPERLINK("https://diaocthongthai.com/xa-quang-hiep-cu-mgar/","Xã Quảng Hiệp")</f>
        <v>Xã Quảng Hiệp</v>
      </c>
    </row>
    <row r="7817" spans="1:7" x14ac:dyDescent="0.25">
      <c r="A7817" s="2">
        <v>7816</v>
      </c>
      <c r="B7817" s="3" t="s">
        <v>44</v>
      </c>
      <c r="C7817" s="4" t="str">
        <f t="shared" si="660"/>
        <v>Đắk Lắk</v>
      </c>
      <c r="D7817" s="3" t="s">
        <v>533</v>
      </c>
      <c r="E7817" s="4" t="str">
        <f t="shared" si="659"/>
        <v>Huyện Cư M'gar</v>
      </c>
      <c r="F7817" s="3" t="s">
        <v>8577</v>
      </c>
      <c r="G7817" s="4" t="str">
        <f>HYPERLINK("https://diaocthongthai.com/xa-cu-mgar-cu-mgar/","Xã Cư M'gar")</f>
        <v>Xã Cư M'gar</v>
      </c>
    </row>
    <row r="7818" spans="1:7" x14ac:dyDescent="0.25">
      <c r="A7818" s="2">
        <v>7817</v>
      </c>
      <c r="B7818" s="3" t="s">
        <v>44</v>
      </c>
      <c r="C7818" s="4" t="str">
        <f t="shared" si="660"/>
        <v>Đắk Lắk</v>
      </c>
      <c r="D7818" s="3" t="s">
        <v>533</v>
      </c>
      <c r="E7818" s="4" t="str">
        <f t="shared" si="659"/>
        <v>Huyện Cư M'gar</v>
      </c>
      <c r="F7818" s="3" t="s">
        <v>8578</v>
      </c>
      <c r="G7818" s="4" t="str">
        <f>HYPERLINK("https://diaocthongthai.com/xa-ea-drong-cu-mgar/","Xã Ea D'Rơng")</f>
        <v>Xã Ea D'Rơng</v>
      </c>
    </row>
    <row r="7819" spans="1:7" x14ac:dyDescent="0.25">
      <c r="A7819" s="2">
        <v>7818</v>
      </c>
      <c r="B7819" s="3" t="s">
        <v>44</v>
      </c>
      <c r="C7819" s="4" t="str">
        <f t="shared" si="660"/>
        <v>Đắk Lắk</v>
      </c>
      <c r="D7819" s="3" t="s">
        <v>533</v>
      </c>
      <c r="E7819" s="4" t="str">
        <f t="shared" si="659"/>
        <v>Huyện Cư M'gar</v>
      </c>
      <c r="F7819" s="3" t="s">
        <v>8579</v>
      </c>
      <c r="G7819" s="4" t="str">
        <f>HYPERLINK("https://diaocthongthai.com/xa-ea-m-nang-cu-mgar/","Xã Ea M'nang")</f>
        <v>Xã Ea M'nang</v>
      </c>
    </row>
    <row r="7820" spans="1:7" x14ac:dyDescent="0.25">
      <c r="A7820" s="2">
        <v>7819</v>
      </c>
      <c r="B7820" s="3" t="s">
        <v>44</v>
      </c>
      <c r="C7820" s="4" t="str">
        <f t="shared" si="660"/>
        <v>Đắk Lắk</v>
      </c>
      <c r="D7820" s="3" t="s">
        <v>533</v>
      </c>
      <c r="E7820" s="4" t="str">
        <f t="shared" si="659"/>
        <v>Huyện Cư M'gar</v>
      </c>
      <c r="F7820" s="3" t="s">
        <v>8580</v>
      </c>
      <c r="G7820" s="4" t="str">
        <f>HYPERLINK("https://diaocthongthai.com/xa-cu-sue-cu-mgar/","Xã Cư Suê")</f>
        <v>Xã Cư Suê</v>
      </c>
    </row>
    <row r="7821" spans="1:7" x14ac:dyDescent="0.25">
      <c r="A7821" s="2">
        <v>7820</v>
      </c>
      <c r="B7821" s="3" t="s">
        <v>44</v>
      </c>
      <c r="C7821" s="4" t="str">
        <f t="shared" si="660"/>
        <v>Đắk Lắk</v>
      </c>
      <c r="D7821" s="3" t="s">
        <v>533</v>
      </c>
      <c r="E7821" s="4" t="str">
        <f t="shared" si="659"/>
        <v>Huyện Cư M'gar</v>
      </c>
      <c r="F7821" s="3" t="s">
        <v>8581</v>
      </c>
      <c r="G7821" s="4" t="str">
        <f>HYPERLINK("https://diaocthongthai.com/xa-cuor-dang-cu-mgar/","Xã Cuor Đăng")</f>
        <v>Xã Cuor Đăng</v>
      </c>
    </row>
    <row r="7822" spans="1:7" x14ac:dyDescent="0.25">
      <c r="A7822" s="2">
        <v>7821</v>
      </c>
      <c r="B7822" s="3" t="s">
        <v>44</v>
      </c>
      <c r="C7822" s="4" t="str">
        <f t="shared" si="660"/>
        <v>Đắk Lắk</v>
      </c>
      <c r="D7822" s="3" t="s">
        <v>534</v>
      </c>
      <c r="E7822" s="4" t="str">
        <f t="shared" ref="E7822:E7828" si="661">HYPERLINK("https://diaocthongthai.com/ban-do-huyen-krong-buk-dak-lak/","Huyện Krông Búk")</f>
        <v>Huyện Krông Búk</v>
      </c>
      <c r="F7822" s="3" t="s">
        <v>8582</v>
      </c>
      <c r="G7822" s="4" t="str">
        <f>HYPERLINK("https://diaocthongthai.com/xa-cu-ne-krong-buk/","Xã Cư Né")</f>
        <v>Xã Cư Né</v>
      </c>
    </row>
    <row r="7823" spans="1:7" x14ac:dyDescent="0.25">
      <c r="A7823" s="2">
        <v>7822</v>
      </c>
      <c r="B7823" s="3" t="s">
        <v>44</v>
      </c>
      <c r="C7823" s="4" t="str">
        <f t="shared" si="660"/>
        <v>Đắk Lắk</v>
      </c>
      <c r="D7823" s="3" t="s">
        <v>534</v>
      </c>
      <c r="E7823" s="4" t="str">
        <f t="shared" si="661"/>
        <v>Huyện Krông Búk</v>
      </c>
      <c r="F7823" s="3" t="s">
        <v>8583</v>
      </c>
      <c r="G7823" s="4" t="str">
        <f>HYPERLINK("https://diaocthongthai.com/xa-chu-kbo-krong-buk/","Xã Chư KBô")</f>
        <v>Xã Chư KBô</v>
      </c>
    </row>
    <row r="7824" spans="1:7" x14ac:dyDescent="0.25">
      <c r="A7824" s="2">
        <v>7823</v>
      </c>
      <c r="B7824" s="3" t="s">
        <v>44</v>
      </c>
      <c r="C7824" s="4" t="str">
        <f t="shared" si="660"/>
        <v>Đắk Lắk</v>
      </c>
      <c r="D7824" s="3" t="s">
        <v>534</v>
      </c>
      <c r="E7824" s="4" t="str">
        <f t="shared" si="661"/>
        <v>Huyện Krông Búk</v>
      </c>
      <c r="F7824" s="3" t="s">
        <v>8584</v>
      </c>
      <c r="G7824" s="4" t="str">
        <f>HYPERLINK("https://diaocthongthai.com/xa-cu-pong-krong-buk/","Xã Cư Pơng")</f>
        <v>Xã Cư Pơng</v>
      </c>
    </row>
    <row r="7825" spans="1:7" x14ac:dyDescent="0.25">
      <c r="A7825" s="2">
        <v>7824</v>
      </c>
      <c r="B7825" s="3" t="s">
        <v>44</v>
      </c>
      <c r="C7825" s="4" t="str">
        <f t="shared" si="660"/>
        <v>Đắk Lắk</v>
      </c>
      <c r="D7825" s="3" t="s">
        <v>534</v>
      </c>
      <c r="E7825" s="4" t="str">
        <f t="shared" si="661"/>
        <v>Huyện Krông Búk</v>
      </c>
      <c r="F7825" s="3" t="s">
        <v>8585</v>
      </c>
      <c r="G7825" s="4" t="str">
        <f>HYPERLINK("https://diaocthongthai.com/xa-ea-sin-krong-buk/","Xã Ea Sin")</f>
        <v>Xã Ea Sin</v>
      </c>
    </row>
    <row r="7826" spans="1:7" x14ac:dyDescent="0.25">
      <c r="A7826" s="2">
        <v>7825</v>
      </c>
      <c r="B7826" s="3" t="s">
        <v>44</v>
      </c>
      <c r="C7826" s="4" t="str">
        <f t="shared" si="660"/>
        <v>Đắk Lắk</v>
      </c>
      <c r="D7826" s="3" t="s">
        <v>534</v>
      </c>
      <c r="E7826" s="4" t="str">
        <f t="shared" si="661"/>
        <v>Huyện Krông Búk</v>
      </c>
      <c r="F7826" s="3" t="s">
        <v>8586</v>
      </c>
      <c r="G7826" s="4" t="str">
        <f>HYPERLINK("https://diaocthongthai.com/xa-pong-drang-krong-buk/","Xã Pơng Drang")</f>
        <v>Xã Pơng Drang</v>
      </c>
    </row>
    <row r="7827" spans="1:7" x14ac:dyDescent="0.25">
      <c r="A7827" s="2">
        <v>7826</v>
      </c>
      <c r="B7827" s="3" t="s">
        <v>44</v>
      </c>
      <c r="C7827" s="4" t="str">
        <f t="shared" si="660"/>
        <v>Đắk Lắk</v>
      </c>
      <c r="D7827" s="3" t="s">
        <v>534</v>
      </c>
      <c r="E7827" s="4" t="str">
        <f t="shared" si="661"/>
        <v>Huyện Krông Búk</v>
      </c>
      <c r="F7827" s="3" t="s">
        <v>8587</v>
      </c>
      <c r="G7827" s="4" t="str">
        <f>HYPERLINK("https://diaocthongthai.com/xa-tan-lap-krong-buk/","Xã Tân Lập")</f>
        <v>Xã Tân Lập</v>
      </c>
    </row>
    <row r="7828" spans="1:7" x14ac:dyDescent="0.25">
      <c r="A7828" s="2">
        <v>7827</v>
      </c>
      <c r="B7828" s="3" t="s">
        <v>44</v>
      </c>
      <c r="C7828" s="4" t="str">
        <f t="shared" si="660"/>
        <v>Đắk Lắk</v>
      </c>
      <c r="D7828" s="3" t="s">
        <v>534</v>
      </c>
      <c r="E7828" s="4" t="str">
        <f t="shared" si="661"/>
        <v>Huyện Krông Búk</v>
      </c>
      <c r="F7828" s="3" t="s">
        <v>8588</v>
      </c>
      <c r="G7828" s="4" t="str">
        <f>HYPERLINK("https://diaocthongthai.com/xa-ea-ngai-krong-buk/","Xã Ea Ngai")</f>
        <v>Xã Ea Ngai</v>
      </c>
    </row>
    <row r="7829" spans="1:7" x14ac:dyDescent="0.25">
      <c r="A7829" s="2">
        <v>7828</v>
      </c>
      <c r="B7829" s="3" t="s">
        <v>44</v>
      </c>
      <c r="C7829" s="4" t="str">
        <f t="shared" si="660"/>
        <v>Đắk Lắk</v>
      </c>
      <c r="D7829" s="3" t="s">
        <v>535</v>
      </c>
      <c r="E7829" s="4" t="str">
        <f t="shared" ref="E7829:E7840" si="662">HYPERLINK("https://diaocthongthai.com/ban-do-huyen-krong-nang-dak-lak/","Huyện Krông Năng")</f>
        <v>Huyện Krông Năng</v>
      </c>
      <c r="F7829" s="3" t="s">
        <v>8589</v>
      </c>
      <c r="G7829" s="4" t="str">
        <f>HYPERLINK("https://diaocthongthai.com/thi-tran-krong-nang-krong-nang/","Thị trấn Krông Năng")</f>
        <v>Thị trấn Krông Năng</v>
      </c>
    </row>
    <row r="7830" spans="1:7" x14ac:dyDescent="0.25">
      <c r="A7830" s="2">
        <v>7829</v>
      </c>
      <c r="B7830" s="3" t="s">
        <v>44</v>
      </c>
      <c r="C7830" s="4" t="str">
        <f t="shared" si="660"/>
        <v>Đắk Lắk</v>
      </c>
      <c r="D7830" s="3" t="s">
        <v>535</v>
      </c>
      <c r="E7830" s="4" t="str">
        <f t="shared" si="662"/>
        <v>Huyện Krông Năng</v>
      </c>
      <c r="F7830" s="3" t="s">
        <v>8590</v>
      </c>
      <c r="G7830" s="4" t="str">
        <f>HYPERLINK("https://diaocthongthai.com/xa-dlie-ya-krong-nang/","Xã ĐLiê Ya")</f>
        <v>Xã ĐLiê Ya</v>
      </c>
    </row>
    <row r="7831" spans="1:7" x14ac:dyDescent="0.25">
      <c r="A7831" s="2">
        <v>7830</v>
      </c>
      <c r="B7831" s="3" t="s">
        <v>44</v>
      </c>
      <c r="C7831" s="4" t="str">
        <f t="shared" si="660"/>
        <v>Đắk Lắk</v>
      </c>
      <c r="D7831" s="3" t="s">
        <v>535</v>
      </c>
      <c r="E7831" s="4" t="str">
        <f t="shared" si="662"/>
        <v>Huyện Krông Năng</v>
      </c>
      <c r="F7831" s="3" t="s">
        <v>8591</v>
      </c>
      <c r="G7831" s="4" t="str">
        <f>HYPERLINK("https://diaocthongthai.com/xa-ea-toh-krong-nang/","Xã Ea Tóh")</f>
        <v>Xã Ea Tóh</v>
      </c>
    </row>
    <row r="7832" spans="1:7" x14ac:dyDescent="0.25">
      <c r="A7832" s="2">
        <v>7831</v>
      </c>
      <c r="B7832" s="3" t="s">
        <v>44</v>
      </c>
      <c r="C7832" s="4" t="str">
        <f t="shared" si="660"/>
        <v>Đắk Lắk</v>
      </c>
      <c r="D7832" s="3" t="s">
        <v>535</v>
      </c>
      <c r="E7832" s="4" t="str">
        <f t="shared" si="662"/>
        <v>Huyện Krông Năng</v>
      </c>
      <c r="F7832" s="3" t="s">
        <v>8592</v>
      </c>
      <c r="G7832" s="4" t="str">
        <f>HYPERLINK("https://diaocthongthai.com/xa-ea-tam-krong-nang/","Xã Ea Tam")</f>
        <v>Xã Ea Tam</v>
      </c>
    </row>
    <row r="7833" spans="1:7" x14ac:dyDescent="0.25">
      <c r="A7833" s="2">
        <v>7832</v>
      </c>
      <c r="B7833" s="3" t="s">
        <v>44</v>
      </c>
      <c r="C7833" s="4" t="str">
        <f t="shared" si="660"/>
        <v>Đắk Lắk</v>
      </c>
      <c r="D7833" s="3" t="s">
        <v>535</v>
      </c>
      <c r="E7833" s="4" t="str">
        <f t="shared" si="662"/>
        <v>Huyện Krông Năng</v>
      </c>
      <c r="F7833" s="3" t="s">
        <v>8593</v>
      </c>
      <c r="G7833" s="4" t="str">
        <f>HYPERLINK("https://diaocthongthai.com/xa-phu-loc-krong-nang/","Xã Phú Lộc")</f>
        <v>Xã Phú Lộc</v>
      </c>
    </row>
    <row r="7834" spans="1:7" x14ac:dyDescent="0.25">
      <c r="A7834" s="2">
        <v>7833</v>
      </c>
      <c r="B7834" s="3" t="s">
        <v>44</v>
      </c>
      <c r="C7834" s="4" t="str">
        <f t="shared" si="660"/>
        <v>Đắk Lắk</v>
      </c>
      <c r="D7834" s="3" t="s">
        <v>535</v>
      </c>
      <c r="E7834" s="4" t="str">
        <f t="shared" si="662"/>
        <v>Huyện Krông Năng</v>
      </c>
      <c r="F7834" s="3" t="s">
        <v>8594</v>
      </c>
      <c r="G7834" s="4" t="str">
        <f>HYPERLINK("https://diaocthongthai.com/xa-tam-giang-krong-nang/","Xã Tam Giang")</f>
        <v>Xã Tam Giang</v>
      </c>
    </row>
    <row r="7835" spans="1:7" x14ac:dyDescent="0.25">
      <c r="A7835" s="2">
        <v>7834</v>
      </c>
      <c r="B7835" s="3" t="s">
        <v>44</v>
      </c>
      <c r="C7835" s="4" t="str">
        <f t="shared" si="660"/>
        <v>Đắk Lắk</v>
      </c>
      <c r="D7835" s="3" t="s">
        <v>535</v>
      </c>
      <c r="E7835" s="4" t="str">
        <f t="shared" si="662"/>
        <v>Huyện Krông Năng</v>
      </c>
      <c r="F7835" s="3" t="s">
        <v>8595</v>
      </c>
      <c r="G7835" s="4" t="str">
        <f>HYPERLINK("https://diaocthongthai.com/xa-ea-puk-krong-nang/","Xã Ea Puk")</f>
        <v>Xã Ea Puk</v>
      </c>
    </row>
    <row r="7836" spans="1:7" x14ac:dyDescent="0.25">
      <c r="A7836" s="2">
        <v>7835</v>
      </c>
      <c r="B7836" s="3" t="s">
        <v>44</v>
      </c>
      <c r="C7836" s="4" t="str">
        <f t="shared" si="660"/>
        <v>Đắk Lắk</v>
      </c>
      <c r="D7836" s="3" t="s">
        <v>535</v>
      </c>
      <c r="E7836" s="4" t="str">
        <f t="shared" si="662"/>
        <v>Huyện Krông Năng</v>
      </c>
      <c r="F7836" s="3" t="s">
        <v>8596</v>
      </c>
      <c r="G7836" s="4" t="str">
        <f>HYPERLINK("https://diaocthongthai.com/xa-ea-dah-krong-nang/","Xã Ea Dăh")</f>
        <v>Xã Ea Dăh</v>
      </c>
    </row>
    <row r="7837" spans="1:7" x14ac:dyDescent="0.25">
      <c r="A7837" s="2">
        <v>7836</v>
      </c>
      <c r="B7837" s="3" t="s">
        <v>44</v>
      </c>
      <c r="C7837" s="4" t="str">
        <f t="shared" si="660"/>
        <v>Đắk Lắk</v>
      </c>
      <c r="D7837" s="3" t="s">
        <v>535</v>
      </c>
      <c r="E7837" s="4" t="str">
        <f t="shared" si="662"/>
        <v>Huyện Krông Năng</v>
      </c>
      <c r="F7837" s="3" t="s">
        <v>8597</v>
      </c>
      <c r="G7837" s="4" t="str">
        <f>HYPERLINK("https://diaocthongthai.com/xa-ea-ho-krong-nang/","Xã Ea Hồ")</f>
        <v>Xã Ea Hồ</v>
      </c>
    </row>
    <row r="7838" spans="1:7" x14ac:dyDescent="0.25">
      <c r="A7838" s="2">
        <v>7837</v>
      </c>
      <c r="B7838" s="3" t="s">
        <v>44</v>
      </c>
      <c r="C7838" s="4" t="str">
        <f t="shared" si="660"/>
        <v>Đắk Lắk</v>
      </c>
      <c r="D7838" s="3" t="s">
        <v>535</v>
      </c>
      <c r="E7838" s="4" t="str">
        <f t="shared" si="662"/>
        <v>Huyện Krông Năng</v>
      </c>
      <c r="F7838" s="3" t="s">
        <v>8598</v>
      </c>
      <c r="G7838" s="4" t="str">
        <f>HYPERLINK("https://diaocthongthai.com/xa-phu-xuan-krong-nang/","Xã Phú Xuân")</f>
        <v>Xã Phú Xuân</v>
      </c>
    </row>
    <row r="7839" spans="1:7" x14ac:dyDescent="0.25">
      <c r="A7839" s="2">
        <v>7838</v>
      </c>
      <c r="B7839" s="3" t="s">
        <v>44</v>
      </c>
      <c r="C7839" s="4" t="str">
        <f t="shared" ref="C7839:C7870" si="663">HYPERLINK("https://diaocthongthai.com/ban-do-dak-lak/","Đắk Lắk")</f>
        <v>Đắk Lắk</v>
      </c>
      <c r="D7839" s="3" t="s">
        <v>535</v>
      </c>
      <c r="E7839" s="4" t="str">
        <f t="shared" si="662"/>
        <v>Huyện Krông Năng</v>
      </c>
      <c r="F7839" s="3" t="s">
        <v>8599</v>
      </c>
      <c r="G7839" s="4" t="str">
        <f>HYPERLINK("https://diaocthongthai.com/xa-cu-klong-krong-nang/","Xã Cư Klông")</f>
        <v>Xã Cư Klông</v>
      </c>
    </row>
    <row r="7840" spans="1:7" x14ac:dyDescent="0.25">
      <c r="A7840" s="2">
        <v>7839</v>
      </c>
      <c r="B7840" s="3" t="s">
        <v>44</v>
      </c>
      <c r="C7840" s="4" t="str">
        <f t="shared" si="663"/>
        <v>Đắk Lắk</v>
      </c>
      <c r="D7840" s="3" t="s">
        <v>535</v>
      </c>
      <c r="E7840" s="4" t="str">
        <f t="shared" si="662"/>
        <v>Huyện Krông Năng</v>
      </c>
      <c r="F7840" s="3" t="s">
        <v>8600</v>
      </c>
      <c r="G7840" s="4" t="str">
        <f>HYPERLINK("https://diaocthongthai.com/xa-ea-tan-krong-nang/","Xã Ea Tân")</f>
        <v>Xã Ea Tân</v>
      </c>
    </row>
    <row r="7841" spans="1:7" x14ac:dyDescent="0.25">
      <c r="A7841" s="2">
        <v>7840</v>
      </c>
      <c r="B7841" s="3" t="s">
        <v>44</v>
      </c>
      <c r="C7841" s="4" t="str">
        <f t="shared" si="663"/>
        <v>Đắk Lắk</v>
      </c>
      <c r="D7841" s="3" t="s">
        <v>536</v>
      </c>
      <c r="E7841" s="4" t="str">
        <f t="shared" ref="E7841:E7856" si="664">HYPERLINK("https://diaocthongthai.com/ban-do-huyen-ea-kar-dak-lak/","Huyện Ea Kar")</f>
        <v>Huyện Ea Kar</v>
      </c>
      <c r="F7841" s="3" t="s">
        <v>8601</v>
      </c>
      <c r="G7841" s="4" t="str">
        <f>HYPERLINK("https://diaocthongthai.com/thi-tran-ea-kar-ea-kar/","Thị trấn Ea Kar")</f>
        <v>Thị trấn Ea Kar</v>
      </c>
    </row>
    <row r="7842" spans="1:7" x14ac:dyDescent="0.25">
      <c r="A7842" s="2">
        <v>7841</v>
      </c>
      <c r="B7842" s="3" t="s">
        <v>44</v>
      </c>
      <c r="C7842" s="4" t="str">
        <f t="shared" si="663"/>
        <v>Đắk Lắk</v>
      </c>
      <c r="D7842" s="3" t="s">
        <v>536</v>
      </c>
      <c r="E7842" s="4" t="str">
        <f t="shared" si="664"/>
        <v>Huyện Ea Kar</v>
      </c>
      <c r="F7842" s="3" t="s">
        <v>8602</v>
      </c>
      <c r="G7842" s="4" t="str">
        <f>HYPERLINK("https://diaocthongthai.com/thi-tran-ea-knop-ea-kar/","Thị trấn Ea Knốp")</f>
        <v>Thị trấn Ea Knốp</v>
      </c>
    </row>
    <row r="7843" spans="1:7" x14ac:dyDescent="0.25">
      <c r="A7843" s="2">
        <v>7842</v>
      </c>
      <c r="B7843" s="3" t="s">
        <v>44</v>
      </c>
      <c r="C7843" s="4" t="str">
        <f t="shared" si="663"/>
        <v>Đắk Lắk</v>
      </c>
      <c r="D7843" s="3" t="s">
        <v>536</v>
      </c>
      <c r="E7843" s="4" t="str">
        <f t="shared" si="664"/>
        <v>Huyện Ea Kar</v>
      </c>
      <c r="F7843" s="3" t="s">
        <v>8603</v>
      </c>
      <c r="G7843" s="4" t="str">
        <f>HYPERLINK("https://diaocthongthai.com/xa-ea-so-ea-kar/","Xã Ea Sô")</f>
        <v>Xã Ea Sô</v>
      </c>
    </row>
    <row r="7844" spans="1:7" x14ac:dyDescent="0.25">
      <c r="A7844" s="2">
        <v>7843</v>
      </c>
      <c r="B7844" s="3" t="s">
        <v>44</v>
      </c>
      <c r="C7844" s="4" t="str">
        <f t="shared" si="663"/>
        <v>Đắk Lắk</v>
      </c>
      <c r="D7844" s="3" t="s">
        <v>536</v>
      </c>
      <c r="E7844" s="4" t="str">
        <f t="shared" si="664"/>
        <v>Huyện Ea Kar</v>
      </c>
      <c r="F7844" s="3" t="s">
        <v>8604</v>
      </c>
      <c r="G7844" s="4" t="str">
        <f>HYPERLINK("https://diaocthongthai.com/xa-ea-sar-ea-kar/","Xã Ea Sar")</f>
        <v>Xã Ea Sar</v>
      </c>
    </row>
    <row r="7845" spans="1:7" x14ac:dyDescent="0.25">
      <c r="A7845" s="2">
        <v>7844</v>
      </c>
      <c r="B7845" s="3" t="s">
        <v>44</v>
      </c>
      <c r="C7845" s="4" t="str">
        <f t="shared" si="663"/>
        <v>Đắk Lắk</v>
      </c>
      <c r="D7845" s="3" t="s">
        <v>536</v>
      </c>
      <c r="E7845" s="4" t="str">
        <f t="shared" si="664"/>
        <v>Huyện Ea Kar</v>
      </c>
      <c r="F7845" s="3" t="s">
        <v>8605</v>
      </c>
      <c r="G7845" s="4" t="str">
        <f>HYPERLINK("https://diaocthongthai.com/xa-xuan-phu-ea-kar/","Xã Xuân Phú")</f>
        <v>Xã Xuân Phú</v>
      </c>
    </row>
    <row r="7846" spans="1:7" x14ac:dyDescent="0.25">
      <c r="A7846" s="2">
        <v>7845</v>
      </c>
      <c r="B7846" s="3" t="s">
        <v>44</v>
      </c>
      <c r="C7846" s="4" t="str">
        <f t="shared" si="663"/>
        <v>Đắk Lắk</v>
      </c>
      <c r="D7846" s="3" t="s">
        <v>536</v>
      </c>
      <c r="E7846" s="4" t="str">
        <f t="shared" si="664"/>
        <v>Huyện Ea Kar</v>
      </c>
      <c r="F7846" s="3" t="s">
        <v>8606</v>
      </c>
      <c r="G7846" s="4" t="str">
        <f>HYPERLINK("https://diaocthongthai.com/xa-cu-hue-ea-kar/","Xã Cư Huê")</f>
        <v>Xã Cư Huê</v>
      </c>
    </row>
    <row r="7847" spans="1:7" x14ac:dyDescent="0.25">
      <c r="A7847" s="2">
        <v>7846</v>
      </c>
      <c r="B7847" s="3" t="s">
        <v>44</v>
      </c>
      <c r="C7847" s="4" t="str">
        <f t="shared" si="663"/>
        <v>Đắk Lắk</v>
      </c>
      <c r="D7847" s="3" t="s">
        <v>536</v>
      </c>
      <c r="E7847" s="4" t="str">
        <f t="shared" si="664"/>
        <v>Huyện Ea Kar</v>
      </c>
      <c r="F7847" s="3" t="s">
        <v>8607</v>
      </c>
      <c r="G7847" s="4" t="str">
        <f>HYPERLINK("https://diaocthongthai.com/xa-ea-tih-ea-kar/","Xã Ea Tih")</f>
        <v>Xã Ea Tih</v>
      </c>
    </row>
    <row r="7848" spans="1:7" x14ac:dyDescent="0.25">
      <c r="A7848" s="2">
        <v>7847</v>
      </c>
      <c r="B7848" s="3" t="s">
        <v>44</v>
      </c>
      <c r="C7848" s="4" t="str">
        <f t="shared" si="663"/>
        <v>Đắk Lắk</v>
      </c>
      <c r="D7848" s="3" t="s">
        <v>536</v>
      </c>
      <c r="E7848" s="4" t="str">
        <f t="shared" si="664"/>
        <v>Huyện Ea Kar</v>
      </c>
      <c r="F7848" s="3" t="s">
        <v>8608</v>
      </c>
      <c r="G7848" s="4" t="str">
        <f>HYPERLINK("https://diaocthongthai.com/xa-ea-dar-ea-kar/","Xã Ea Đar")</f>
        <v>Xã Ea Đar</v>
      </c>
    </row>
    <row r="7849" spans="1:7" x14ac:dyDescent="0.25">
      <c r="A7849" s="2">
        <v>7848</v>
      </c>
      <c r="B7849" s="3" t="s">
        <v>44</v>
      </c>
      <c r="C7849" s="4" t="str">
        <f t="shared" si="663"/>
        <v>Đắk Lắk</v>
      </c>
      <c r="D7849" s="3" t="s">
        <v>536</v>
      </c>
      <c r="E7849" s="4" t="str">
        <f t="shared" si="664"/>
        <v>Huyện Ea Kar</v>
      </c>
      <c r="F7849" s="3" t="s">
        <v>8609</v>
      </c>
      <c r="G7849" s="4" t="str">
        <f>HYPERLINK("https://diaocthongthai.com/xa-ea-kmut-ea-kar/","Xã Ea Kmút")</f>
        <v>Xã Ea Kmút</v>
      </c>
    </row>
    <row r="7850" spans="1:7" x14ac:dyDescent="0.25">
      <c r="A7850" s="2">
        <v>7849</v>
      </c>
      <c r="B7850" s="3" t="s">
        <v>44</v>
      </c>
      <c r="C7850" s="4" t="str">
        <f t="shared" si="663"/>
        <v>Đắk Lắk</v>
      </c>
      <c r="D7850" s="3" t="s">
        <v>536</v>
      </c>
      <c r="E7850" s="4" t="str">
        <f t="shared" si="664"/>
        <v>Huyện Ea Kar</v>
      </c>
      <c r="F7850" s="3" t="s">
        <v>8610</v>
      </c>
      <c r="G7850" s="4" t="str">
        <f>HYPERLINK("https://diaocthongthai.com/xa-cu-ni-ea-kar/","Xã Cư Ni")</f>
        <v>Xã Cư Ni</v>
      </c>
    </row>
    <row r="7851" spans="1:7" x14ac:dyDescent="0.25">
      <c r="A7851" s="2">
        <v>7850</v>
      </c>
      <c r="B7851" s="3" t="s">
        <v>44</v>
      </c>
      <c r="C7851" s="4" t="str">
        <f t="shared" si="663"/>
        <v>Đắk Lắk</v>
      </c>
      <c r="D7851" s="3" t="s">
        <v>536</v>
      </c>
      <c r="E7851" s="4" t="str">
        <f t="shared" si="664"/>
        <v>Huyện Ea Kar</v>
      </c>
      <c r="F7851" s="3" t="s">
        <v>8611</v>
      </c>
      <c r="G7851" s="4" t="str">
        <f>HYPERLINK("https://diaocthongthai.com/xa-ea-pal-ea-kar/","Xã Ea Păl")</f>
        <v>Xã Ea Păl</v>
      </c>
    </row>
    <row r="7852" spans="1:7" x14ac:dyDescent="0.25">
      <c r="A7852" s="2">
        <v>7851</v>
      </c>
      <c r="B7852" s="3" t="s">
        <v>44</v>
      </c>
      <c r="C7852" s="4" t="str">
        <f t="shared" si="663"/>
        <v>Đắk Lắk</v>
      </c>
      <c r="D7852" s="3" t="s">
        <v>536</v>
      </c>
      <c r="E7852" s="4" t="str">
        <f t="shared" si="664"/>
        <v>Huyện Ea Kar</v>
      </c>
      <c r="F7852" s="3" t="s">
        <v>8612</v>
      </c>
      <c r="G7852" s="4" t="str">
        <f>HYPERLINK("https://diaocthongthai.com/xa-cu-prong-ea-kar/","Xã Cư Prông")</f>
        <v>Xã Cư Prông</v>
      </c>
    </row>
    <row r="7853" spans="1:7" x14ac:dyDescent="0.25">
      <c r="A7853" s="2">
        <v>7852</v>
      </c>
      <c r="B7853" s="3" t="s">
        <v>44</v>
      </c>
      <c r="C7853" s="4" t="str">
        <f t="shared" si="663"/>
        <v>Đắk Lắk</v>
      </c>
      <c r="D7853" s="3" t="s">
        <v>536</v>
      </c>
      <c r="E7853" s="4" t="str">
        <f t="shared" si="664"/>
        <v>Huyện Ea Kar</v>
      </c>
      <c r="F7853" s="3" t="s">
        <v>8613</v>
      </c>
      <c r="G7853" s="4" t="str">
        <f>HYPERLINK("https://diaocthongthai.com/xa-ea-o-ea-kar/","Xã Ea Ô")</f>
        <v>Xã Ea Ô</v>
      </c>
    </row>
    <row r="7854" spans="1:7" x14ac:dyDescent="0.25">
      <c r="A7854" s="2">
        <v>7853</v>
      </c>
      <c r="B7854" s="3" t="s">
        <v>44</v>
      </c>
      <c r="C7854" s="4" t="str">
        <f t="shared" si="663"/>
        <v>Đắk Lắk</v>
      </c>
      <c r="D7854" s="3" t="s">
        <v>536</v>
      </c>
      <c r="E7854" s="4" t="str">
        <f t="shared" si="664"/>
        <v>Huyện Ea Kar</v>
      </c>
      <c r="F7854" s="3" t="s">
        <v>8614</v>
      </c>
      <c r="G7854" s="4" t="str">
        <f>HYPERLINK("https://diaocthongthai.com/xa-cu-elang-ea-kar/","Xã Cư ELang")</f>
        <v>Xã Cư ELang</v>
      </c>
    </row>
    <row r="7855" spans="1:7" x14ac:dyDescent="0.25">
      <c r="A7855" s="2">
        <v>7854</v>
      </c>
      <c r="B7855" s="3" t="s">
        <v>44</v>
      </c>
      <c r="C7855" s="4" t="str">
        <f t="shared" si="663"/>
        <v>Đắk Lắk</v>
      </c>
      <c r="D7855" s="3" t="s">
        <v>536</v>
      </c>
      <c r="E7855" s="4" t="str">
        <f t="shared" si="664"/>
        <v>Huyện Ea Kar</v>
      </c>
      <c r="F7855" s="3" t="s">
        <v>8615</v>
      </c>
      <c r="G7855" s="4" t="str">
        <f>HYPERLINK("https://diaocthongthai.com/xa-cu-bong-ea-kar/","Xã Cư Bông")</f>
        <v>Xã Cư Bông</v>
      </c>
    </row>
    <row r="7856" spans="1:7" x14ac:dyDescent="0.25">
      <c r="A7856" s="2">
        <v>7855</v>
      </c>
      <c r="B7856" s="3" t="s">
        <v>44</v>
      </c>
      <c r="C7856" s="4" t="str">
        <f t="shared" si="663"/>
        <v>Đắk Lắk</v>
      </c>
      <c r="D7856" s="3" t="s">
        <v>536</v>
      </c>
      <c r="E7856" s="4" t="str">
        <f t="shared" si="664"/>
        <v>Huyện Ea Kar</v>
      </c>
      <c r="F7856" s="3" t="s">
        <v>8616</v>
      </c>
      <c r="G7856" s="4" t="str">
        <f>HYPERLINK("https://diaocthongthai.com/xa-cu-yang-ea-kar/","Xã Cư Jang")</f>
        <v>Xã Cư Jang</v>
      </c>
    </row>
    <row r="7857" spans="1:7" x14ac:dyDescent="0.25">
      <c r="A7857" s="2">
        <v>7856</v>
      </c>
      <c r="B7857" s="3" t="s">
        <v>44</v>
      </c>
      <c r="C7857" s="4" t="str">
        <f t="shared" si="663"/>
        <v>Đắk Lắk</v>
      </c>
      <c r="D7857" s="3" t="s">
        <v>537</v>
      </c>
      <c r="E7857" s="4" t="str">
        <f t="shared" ref="E7857:E7869" si="665">HYPERLINK("https://diaocthongthai.com/ban-do-huyen-m'drak-dak-lak/","Huyện M'Đrắk")</f>
        <v>Huyện M'Đrắk</v>
      </c>
      <c r="F7857" s="3" t="s">
        <v>8617</v>
      </c>
      <c r="G7857" s="4" t="str">
        <f>HYPERLINK("https://diaocthongthai.com/thi-tran-m-drak-m-drak/","Thị trấn M'Đrắk")</f>
        <v>Thị trấn M'Đrắk</v>
      </c>
    </row>
    <row r="7858" spans="1:7" x14ac:dyDescent="0.25">
      <c r="A7858" s="2">
        <v>7857</v>
      </c>
      <c r="B7858" s="3" t="s">
        <v>44</v>
      </c>
      <c r="C7858" s="4" t="str">
        <f t="shared" si="663"/>
        <v>Đắk Lắk</v>
      </c>
      <c r="D7858" s="3" t="s">
        <v>537</v>
      </c>
      <c r="E7858" s="4" t="str">
        <f t="shared" si="665"/>
        <v>Huyện M'Đrắk</v>
      </c>
      <c r="F7858" s="3" t="s">
        <v>8618</v>
      </c>
      <c r="G7858" s="4" t="str">
        <f>HYPERLINK("https://diaocthongthai.com/xa-cu-prao-m-drak/","Xã Cư Prao")</f>
        <v>Xã Cư Prao</v>
      </c>
    </row>
    <row r="7859" spans="1:7" x14ac:dyDescent="0.25">
      <c r="A7859" s="2">
        <v>7858</v>
      </c>
      <c r="B7859" s="3" t="s">
        <v>44</v>
      </c>
      <c r="C7859" s="4" t="str">
        <f t="shared" si="663"/>
        <v>Đắk Lắk</v>
      </c>
      <c r="D7859" s="3" t="s">
        <v>537</v>
      </c>
      <c r="E7859" s="4" t="str">
        <f t="shared" si="665"/>
        <v>Huyện M'Đrắk</v>
      </c>
      <c r="F7859" s="3" t="s">
        <v>8619</v>
      </c>
      <c r="G7859" s="4" t="str">
        <f>HYPERLINK("https://diaocthongthai.com/xa-ea-pil-m-drak/","Xã Ea Pil")</f>
        <v>Xã Ea Pil</v>
      </c>
    </row>
    <row r="7860" spans="1:7" x14ac:dyDescent="0.25">
      <c r="A7860" s="2">
        <v>7859</v>
      </c>
      <c r="B7860" s="3" t="s">
        <v>44</v>
      </c>
      <c r="C7860" s="4" t="str">
        <f t="shared" si="663"/>
        <v>Đắk Lắk</v>
      </c>
      <c r="D7860" s="3" t="s">
        <v>537</v>
      </c>
      <c r="E7860" s="4" t="str">
        <f t="shared" si="665"/>
        <v>Huyện M'Đrắk</v>
      </c>
      <c r="F7860" s="3" t="s">
        <v>8620</v>
      </c>
      <c r="G7860" s="4" t="str">
        <f>HYPERLINK("https://diaocthongthai.com/xa-ea-lai-m-drak/","Xã Ea Lai")</f>
        <v>Xã Ea Lai</v>
      </c>
    </row>
    <row r="7861" spans="1:7" x14ac:dyDescent="0.25">
      <c r="A7861" s="2">
        <v>7860</v>
      </c>
      <c r="B7861" s="3" t="s">
        <v>44</v>
      </c>
      <c r="C7861" s="4" t="str">
        <f t="shared" si="663"/>
        <v>Đắk Lắk</v>
      </c>
      <c r="D7861" s="3" t="s">
        <v>537</v>
      </c>
      <c r="E7861" s="4" t="str">
        <f t="shared" si="665"/>
        <v>Huyện M'Đrắk</v>
      </c>
      <c r="F7861" s="3" t="s">
        <v>8621</v>
      </c>
      <c r="G7861" s="4" t="str">
        <f>HYPERLINK("https://diaocthongthai.com/xa-ea-mlay-m-drak/","Xã Ea H'MLay")</f>
        <v>Xã Ea H'MLay</v>
      </c>
    </row>
    <row r="7862" spans="1:7" x14ac:dyDescent="0.25">
      <c r="A7862" s="2">
        <v>7861</v>
      </c>
      <c r="B7862" s="3" t="s">
        <v>44</v>
      </c>
      <c r="C7862" s="4" t="str">
        <f t="shared" si="663"/>
        <v>Đắk Lắk</v>
      </c>
      <c r="D7862" s="3" t="s">
        <v>537</v>
      </c>
      <c r="E7862" s="4" t="str">
        <f t="shared" si="665"/>
        <v>Huyện M'Đrắk</v>
      </c>
      <c r="F7862" s="3" t="s">
        <v>8622</v>
      </c>
      <c r="G7862" s="4" t="str">
        <f>HYPERLINK("https://diaocthongthai.com/xa-krong-jing-m-drak/","Xã Krông Jing")</f>
        <v>Xã Krông Jing</v>
      </c>
    </row>
    <row r="7863" spans="1:7" x14ac:dyDescent="0.25">
      <c r="A7863" s="2">
        <v>7862</v>
      </c>
      <c r="B7863" s="3" t="s">
        <v>44</v>
      </c>
      <c r="C7863" s="4" t="str">
        <f t="shared" si="663"/>
        <v>Đắk Lắk</v>
      </c>
      <c r="D7863" s="3" t="s">
        <v>537</v>
      </c>
      <c r="E7863" s="4" t="str">
        <f t="shared" si="665"/>
        <v>Huyện M'Đrắk</v>
      </c>
      <c r="F7863" s="3" t="s">
        <v>8623</v>
      </c>
      <c r="G7863" s="4" t="str">
        <f>HYPERLINK("https://diaocthongthai.com/xa-ea-m-doal-m-drak/","Xã Ea M' Doal")</f>
        <v>Xã Ea M' Doal</v>
      </c>
    </row>
    <row r="7864" spans="1:7" x14ac:dyDescent="0.25">
      <c r="A7864" s="2">
        <v>7863</v>
      </c>
      <c r="B7864" s="3" t="s">
        <v>44</v>
      </c>
      <c r="C7864" s="4" t="str">
        <f t="shared" si="663"/>
        <v>Đắk Lắk</v>
      </c>
      <c r="D7864" s="3" t="s">
        <v>537</v>
      </c>
      <c r="E7864" s="4" t="str">
        <f t="shared" si="665"/>
        <v>Huyện M'Đrắk</v>
      </c>
      <c r="F7864" s="3" t="s">
        <v>8624</v>
      </c>
      <c r="G7864" s="4" t="str">
        <f>HYPERLINK("https://diaocthongthai.com/xa-ea-rieng-m-drak/","Xã Ea Riêng")</f>
        <v>Xã Ea Riêng</v>
      </c>
    </row>
    <row r="7865" spans="1:7" x14ac:dyDescent="0.25">
      <c r="A7865" s="2">
        <v>7864</v>
      </c>
      <c r="B7865" s="3" t="s">
        <v>44</v>
      </c>
      <c r="C7865" s="4" t="str">
        <f t="shared" si="663"/>
        <v>Đắk Lắk</v>
      </c>
      <c r="D7865" s="3" t="s">
        <v>537</v>
      </c>
      <c r="E7865" s="4" t="str">
        <f t="shared" si="665"/>
        <v>Huyện M'Đrắk</v>
      </c>
      <c r="F7865" s="3" t="s">
        <v>8625</v>
      </c>
      <c r="G7865" s="4" t="str">
        <f>HYPERLINK("https://diaocthongthai.com/xa-cu-mta-m-drak/","Xã Cư M'ta")</f>
        <v>Xã Cư M'ta</v>
      </c>
    </row>
    <row r="7866" spans="1:7" x14ac:dyDescent="0.25">
      <c r="A7866" s="2">
        <v>7865</v>
      </c>
      <c r="B7866" s="3" t="s">
        <v>44</v>
      </c>
      <c r="C7866" s="4" t="str">
        <f t="shared" si="663"/>
        <v>Đắk Lắk</v>
      </c>
      <c r="D7866" s="3" t="s">
        <v>537</v>
      </c>
      <c r="E7866" s="4" t="str">
        <f t="shared" si="665"/>
        <v>Huyện M'Đrắk</v>
      </c>
      <c r="F7866" s="3" t="s">
        <v>8626</v>
      </c>
      <c r="G7866" s="4" t="str">
        <f>HYPERLINK("https://diaocthongthai.com/xa-cu-kroa-m-drak/","Xã Cư K Róa")</f>
        <v>Xã Cư K Róa</v>
      </c>
    </row>
    <row r="7867" spans="1:7" x14ac:dyDescent="0.25">
      <c r="A7867" s="2">
        <v>7866</v>
      </c>
      <c r="B7867" s="3" t="s">
        <v>44</v>
      </c>
      <c r="C7867" s="4" t="str">
        <f t="shared" si="663"/>
        <v>Đắk Lắk</v>
      </c>
      <c r="D7867" s="3" t="s">
        <v>537</v>
      </c>
      <c r="E7867" s="4" t="str">
        <f t="shared" si="665"/>
        <v>Huyện M'Đrắk</v>
      </c>
      <c r="F7867" s="3" t="s">
        <v>8627</v>
      </c>
      <c r="G7867" s="4" t="str">
        <f>HYPERLINK("https://diaocthongthai.com/xa-krong-a-m-drak/","Xã Krông Á")</f>
        <v>Xã Krông Á</v>
      </c>
    </row>
    <row r="7868" spans="1:7" x14ac:dyDescent="0.25">
      <c r="A7868" s="2">
        <v>7867</v>
      </c>
      <c r="B7868" s="3" t="s">
        <v>44</v>
      </c>
      <c r="C7868" s="4" t="str">
        <f t="shared" si="663"/>
        <v>Đắk Lắk</v>
      </c>
      <c r="D7868" s="3" t="s">
        <v>537</v>
      </c>
      <c r="E7868" s="4" t="str">
        <f t="shared" si="665"/>
        <v>Huyện M'Đrắk</v>
      </c>
      <c r="F7868" s="3" t="s">
        <v>8628</v>
      </c>
      <c r="G7868" s="4" t="str">
        <f>HYPERLINK("https://diaocthongthai.com/xa-cu-san-m-drak/","Xã Cư San")</f>
        <v>Xã Cư San</v>
      </c>
    </row>
    <row r="7869" spans="1:7" x14ac:dyDescent="0.25">
      <c r="A7869" s="2">
        <v>7868</v>
      </c>
      <c r="B7869" s="3" t="s">
        <v>44</v>
      </c>
      <c r="C7869" s="4" t="str">
        <f t="shared" si="663"/>
        <v>Đắk Lắk</v>
      </c>
      <c r="D7869" s="3" t="s">
        <v>537</v>
      </c>
      <c r="E7869" s="4" t="str">
        <f t="shared" si="665"/>
        <v>Huyện M'Đrắk</v>
      </c>
      <c r="F7869" s="3" t="s">
        <v>8629</v>
      </c>
      <c r="G7869" s="4" t="str">
        <f>HYPERLINK("https://diaocthongthai.com/xa-ea-trang-m-drak/","Xã Ea Trang")</f>
        <v>Xã Ea Trang</v>
      </c>
    </row>
    <row r="7870" spans="1:7" x14ac:dyDescent="0.25">
      <c r="A7870" s="2">
        <v>7869</v>
      </c>
      <c r="B7870" s="3" t="s">
        <v>44</v>
      </c>
      <c r="C7870" s="4" t="str">
        <f t="shared" si="663"/>
        <v>Đắk Lắk</v>
      </c>
      <c r="D7870" s="3" t="s">
        <v>538</v>
      </c>
      <c r="E7870" s="4" t="str">
        <f t="shared" ref="E7870:E7883" si="666">HYPERLINK("https://diaocthongthai.com/ban-do-huyen-krong-bong-dak-lak/","Huyện Krông Bông")</f>
        <v>Huyện Krông Bông</v>
      </c>
      <c r="F7870" s="3" t="s">
        <v>8630</v>
      </c>
      <c r="G7870" s="4" t="str">
        <f>HYPERLINK("https://diaocthongthai.com/thi-tran-krong-kmar-krong-bong/","Thị trấn Krông Kmar")</f>
        <v>Thị trấn Krông Kmar</v>
      </c>
    </row>
    <row r="7871" spans="1:7" x14ac:dyDescent="0.25">
      <c r="A7871" s="2">
        <v>7870</v>
      </c>
      <c r="B7871" s="3" t="s">
        <v>44</v>
      </c>
      <c r="C7871" s="4" t="str">
        <f t="shared" ref="C7871:C7902" si="667">HYPERLINK("https://diaocthongthai.com/ban-do-dak-lak/","Đắk Lắk")</f>
        <v>Đắk Lắk</v>
      </c>
      <c r="D7871" s="3" t="s">
        <v>538</v>
      </c>
      <c r="E7871" s="4" t="str">
        <f t="shared" si="666"/>
        <v>Huyện Krông Bông</v>
      </c>
      <c r="F7871" s="3" t="s">
        <v>8631</v>
      </c>
      <c r="G7871" s="4" t="str">
        <f>HYPERLINK("https://diaocthongthai.com/xa-dang-kang-krong-bong/","Xã Dang Kang")</f>
        <v>Xã Dang Kang</v>
      </c>
    </row>
    <row r="7872" spans="1:7" x14ac:dyDescent="0.25">
      <c r="A7872" s="2">
        <v>7871</v>
      </c>
      <c r="B7872" s="3" t="s">
        <v>44</v>
      </c>
      <c r="C7872" s="4" t="str">
        <f t="shared" si="667"/>
        <v>Đắk Lắk</v>
      </c>
      <c r="D7872" s="3" t="s">
        <v>538</v>
      </c>
      <c r="E7872" s="4" t="str">
        <f t="shared" si="666"/>
        <v>Huyện Krông Bông</v>
      </c>
      <c r="F7872" s="3" t="s">
        <v>8632</v>
      </c>
      <c r="G7872" s="4" t="str">
        <f>HYPERLINK("https://diaocthongthai.com/xa-cu-kty-krong-bong/","Xã Cư KTy")</f>
        <v>Xã Cư KTy</v>
      </c>
    </row>
    <row r="7873" spans="1:7" x14ac:dyDescent="0.25">
      <c r="A7873" s="2">
        <v>7872</v>
      </c>
      <c r="B7873" s="3" t="s">
        <v>44</v>
      </c>
      <c r="C7873" s="4" t="str">
        <f t="shared" si="667"/>
        <v>Đắk Lắk</v>
      </c>
      <c r="D7873" s="3" t="s">
        <v>538</v>
      </c>
      <c r="E7873" s="4" t="str">
        <f t="shared" si="666"/>
        <v>Huyện Krông Bông</v>
      </c>
      <c r="F7873" s="3" t="s">
        <v>8633</v>
      </c>
      <c r="G7873" s="4" t="str">
        <f>HYPERLINK("https://diaocthongthai.com/xa-hoa-thanh-krong-bong/","Xã Hòa Thành")</f>
        <v>Xã Hòa Thành</v>
      </c>
    </row>
    <row r="7874" spans="1:7" x14ac:dyDescent="0.25">
      <c r="A7874" s="2">
        <v>7873</v>
      </c>
      <c r="B7874" s="3" t="s">
        <v>44</v>
      </c>
      <c r="C7874" s="4" t="str">
        <f t="shared" si="667"/>
        <v>Đắk Lắk</v>
      </c>
      <c r="D7874" s="3" t="s">
        <v>538</v>
      </c>
      <c r="E7874" s="4" t="str">
        <f t="shared" si="666"/>
        <v>Huyện Krông Bông</v>
      </c>
      <c r="F7874" s="3" t="s">
        <v>8634</v>
      </c>
      <c r="G7874" s="4" t="str">
        <f>HYPERLINK("https://diaocthongthai.com/xa-hoa-tan-krong-bong/","Xã Hòa Tân")</f>
        <v>Xã Hòa Tân</v>
      </c>
    </row>
    <row r="7875" spans="1:7" x14ac:dyDescent="0.25">
      <c r="A7875" s="2">
        <v>7874</v>
      </c>
      <c r="B7875" s="3" t="s">
        <v>44</v>
      </c>
      <c r="C7875" s="4" t="str">
        <f t="shared" si="667"/>
        <v>Đắk Lắk</v>
      </c>
      <c r="D7875" s="3" t="s">
        <v>538</v>
      </c>
      <c r="E7875" s="4" t="str">
        <f t="shared" si="666"/>
        <v>Huyện Krông Bông</v>
      </c>
      <c r="F7875" s="3" t="s">
        <v>8635</v>
      </c>
      <c r="G7875" s="4" t="str">
        <f>HYPERLINK("https://diaocthongthai.com/xa-hoa-phong-krong-bong/","Xã Hòa Phong")</f>
        <v>Xã Hòa Phong</v>
      </c>
    </row>
    <row r="7876" spans="1:7" x14ac:dyDescent="0.25">
      <c r="A7876" s="2">
        <v>7875</v>
      </c>
      <c r="B7876" s="3" t="s">
        <v>44</v>
      </c>
      <c r="C7876" s="4" t="str">
        <f t="shared" si="667"/>
        <v>Đắk Lắk</v>
      </c>
      <c r="D7876" s="3" t="s">
        <v>538</v>
      </c>
      <c r="E7876" s="4" t="str">
        <f t="shared" si="666"/>
        <v>Huyện Krông Bông</v>
      </c>
      <c r="F7876" s="3" t="s">
        <v>8636</v>
      </c>
      <c r="G7876" s="4" t="str">
        <f>HYPERLINK("https://diaocthongthai.com/xa-hoa-le-krong-bong/","Xã Hòa Lễ")</f>
        <v>Xã Hòa Lễ</v>
      </c>
    </row>
    <row r="7877" spans="1:7" x14ac:dyDescent="0.25">
      <c r="A7877" s="2">
        <v>7876</v>
      </c>
      <c r="B7877" s="3" t="s">
        <v>44</v>
      </c>
      <c r="C7877" s="4" t="str">
        <f t="shared" si="667"/>
        <v>Đắk Lắk</v>
      </c>
      <c r="D7877" s="3" t="s">
        <v>538</v>
      </c>
      <c r="E7877" s="4" t="str">
        <f t="shared" si="666"/>
        <v>Huyện Krông Bông</v>
      </c>
      <c r="F7877" s="3" t="s">
        <v>8637</v>
      </c>
      <c r="G7877" s="4" t="str">
        <f>HYPERLINK("https://diaocthongthai.com/xa-yang-reh-krong-bong/","Xã Yang Reh")</f>
        <v>Xã Yang Reh</v>
      </c>
    </row>
    <row r="7878" spans="1:7" x14ac:dyDescent="0.25">
      <c r="A7878" s="2">
        <v>7877</v>
      </c>
      <c r="B7878" s="3" t="s">
        <v>44</v>
      </c>
      <c r="C7878" s="4" t="str">
        <f t="shared" si="667"/>
        <v>Đắk Lắk</v>
      </c>
      <c r="D7878" s="3" t="s">
        <v>538</v>
      </c>
      <c r="E7878" s="4" t="str">
        <f t="shared" si="666"/>
        <v>Huyện Krông Bông</v>
      </c>
      <c r="F7878" s="3" t="s">
        <v>8638</v>
      </c>
      <c r="G7878" s="4" t="str">
        <f>HYPERLINK("https://diaocthongthai.com/xa-ea-trul-krong-bong/","Xã Ea Trul")</f>
        <v>Xã Ea Trul</v>
      </c>
    </row>
    <row r="7879" spans="1:7" x14ac:dyDescent="0.25">
      <c r="A7879" s="2">
        <v>7878</v>
      </c>
      <c r="B7879" s="3" t="s">
        <v>44</v>
      </c>
      <c r="C7879" s="4" t="str">
        <f t="shared" si="667"/>
        <v>Đắk Lắk</v>
      </c>
      <c r="D7879" s="3" t="s">
        <v>538</v>
      </c>
      <c r="E7879" s="4" t="str">
        <f t="shared" si="666"/>
        <v>Huyện Krông Bông</v>
      </c>
      <c r="F7879" s="3" t="s">
        <v>8639</v>
      </c>
      <c r="G7879" s="4" t="str">
        <f>HYPERLINK("https://diaocthongthai.com/xa-khue-ngoc-dien-krong-bong/","Xã Khuê Ngọc Điền")</f>
        <v>Xã Khuê Ngọc Điền</v>
      </c>
    </row>
    <row r="7880" spans="1:7" x14ac:dyDescent="0.25">
      <c r="A7880" s="2">
        <v>7879</v>
      </c>
      <c r="B7880" s="3" t="s">
        <v>44</v>
      </c>
      <c r="C7880" s="4" t="str">
        <f t="shared" si="667"/>
        <v>Đắk Lắk</v>
      </c>
      <c r="D7880" s="3" t="s">
        <v>538</v>
      </c>
      <c r="E7880" s="4" t="str">
        <f t="shared" si="666"/>
        <v>Huyện Krông Bông</v>
      </c>
      <c r="F7880" s="3" t="s">
        <v>8640</v>
      </c>
      <c r="G7880" s="4" t="str">
        <f>HYPERLINK("https://diaocthongthai.com/xa-cu-pui-krong-bong/","Xã Cư Pui")</f>
        <v>Xã Cư Pui</v>
      </c>
    </row>
    <row r="7881" spans="1:7" x14ac:dyDescent="0.25">
      <c r="A7881" s="2">
        <v>7880</v>
      </c>
      <c r="B7881" s="3" t="s">
        <v>44</v>
      </c>
      <c r="C7881" s="4" t="str">
        <f t="shared" si="667"/>
        <v>Đắk Lắk</v>
      </c>
      <c r="D7881" s="3" t="s">
        <v>538</v>
      </c>
      <c r="E7881" s="4" t="str">
        <f t="shared" si="666"/>
        <v>Huyện Krông Bông</v>
      </c>
      <c r="F7881" s="3" t="s">
        <v>8641</v>
      </c>
      <c r="G7881" s="4" t="str">
        <f>HYPERLINK("https://diaocthongthai.com/xa-hoa-son-krong-bong/","Xã Hòa Sơn")</f>
        <v>Xã Hòa Sơn</v>
      </c>
    </row>
    <row r="7882" spans="1:7" x14ac:dyDescent="0.25">
      <c r="A7882" s="2">
        <v>7881</v>
      </c>
      <c r="B7882" s="3" t="s">
        <v>44</v>
      </c>
      <c r="C7882" s="4" t="str">
        <f t="shared" si="667"/>
        <v>Đắk Lắk</v>
      </c>
      <c r="D7882" s="3" t="s">
        <v>538</v>
      </c>
      <c r="E7882" s="4" t="str">
        <f t="shared" si="666"/>
        <v>Huyện Krông Bông</v>
      </c>
      <c r="F7882" s="3" t="s">
        <v>8642</v>
      </c>
      <c r="G7882" s="4" t="str">
        <f>HYPERLINK("https://diaocthongthai.com/xa-cu-dram-krong-bong/","Xã Cư Drăm")</f>
        <v>Xã Cư Drăm</v>
      </c>
    </row>
    <row r="7883" spans="1:7" x14ac:dyDescent="0.25">
      <c r="A7883" s="2">
        <v>7882</v>
      </c>
      <c r="B7883" s="3" t="s">
        <v>44</v>
      </c>
      <c r="C7883" s="4" t="str">
        <f t="shared" si="667"/>
        <v>Đắk Lắk</v>
      </c>
      <c r="D7883" s="3" t="s">
        <v>538</v>
      </c>
      <c r="E7883" s="4" t="str">
        <f t="shared" si="666"/>
        <v>Huyện Krông Bông</v>
      </c>
      <c r="F7883" s="3" t="s">
        <v>8643</v>
      </c>
      <c r="G7883" s="4" t="str">
        <f>HYPERLINK("https://diaocthongthai.com/xa-yang-mao-krong-bong/","Xã Yang Mao")</f>
        <v>Xã Yang Mao</v>
      </c>
    </row>
    <row r="7884" spans="1:7" x14ac:dyDescent="0.25">
      <c r="A7884" s="2">
        <v>7883</v>
      </c>
      <c r="B7884" s="3" t="s">
        <v>44</v>
      </c>
      <c r="C7884" s="4" t="str">
        <f t="shared" si="667"/>
        <v>Đắk Lắk</v>
      </c>
      <c r="D7884" s="3" t="s">
        <v>539</v>
      </c>
      <c r="E7884" s="4" t="str">
        <f t="shared" ref="E7884:E7899" si="668">HYPERLINK("https://diaocthongthai.com/ban-do-huyen-krong-pac-dak-lak/","Huyện Krông Pắc")</f>
        <v>Huyện Krông Pắc</v>
      </c>
      <c r="F7884" s="3" t="s">
        <v>8644</v>
      </c>
      <c r="G7884" s="4" t="str">
        <f>HYPERLINK("https://diaocthongthai.com/thi-tran-phuoc-an-krong-pak/","Thị trấn Phước An")</f>
        <v>Thị trấn Phước An</v>
      </c>
    </row>
    <row r="7885" spans="1:7" x14ac:dyDescent="0.25">
      <c r="A7885" s="2">
        <v>7884</v>
      </c>
      <c r="B7885" s="3" t="s">
        <v>44</v>
      </c>
      <c r="C7885" s="4" t="str">
        <f t="shared" si="667"/>
        <v>Đắk Lắk</v>
      </c>
      <c r="D7885" s="3" t="s">
        <v>539</v>
      </c>
      <c r="E7885" s="4" t="str">
        <f t="shared" si="668"/>
        <v>Huyện Krông Pắc</v>
      </c>
      <c r="F7885" s="3" t="s">
        <v>8645</v>
      </c>
      <c r="G7885" s="4" t="str">
        <f>HYPERLINK("https://diaocthongthai.com/xa-krong-buk-krong-pak/","Xã KRông Búk")</f>
        <v>Xã KRông Búk</v>
      </c>
    </row>
    <row r="7886" spans="1:7" x14ac:dyDescent="0.25">
      <c r="A7886" s="2">
        <v>7885</v>
      </c>
      <c r="B7886" s="3" t="s">
        <v>44</v>
      </c>
      <c r="C7886" s="4" t="str">
        <f t="shared" si="667"/>
        <v>Đắk Lắk</v>
      </c>
      <c r="D7886" s="3" t="s">
        <v>539</v>
      </c>
      <c r="E7886" s="4" t="str">
        <f t="shared" si="668"/>
        <v>Huyện Krông Pắc</v>
      </c>
      <c r="F7886" s="3" t="s">
        <v>8646</v>
      </c>
      <c r="G7886" s="4" t="str">
        <f>HYPERLINK("https://diaocthongthai.com/xa-ea-kly-krong-pak/","Xã Ea Kly")</f>
        <v>Xã Ea Kly</v>
      </c>
    </row>
    <row r="7887" spans="1:7" x14ac:dyDescent="0.25">
      <c r="A7887" s="2">
        <v>7886</v>
      </c>
      <c r="B7887" s="3" t="s">
        <v>44</v>
      </c>
      <c r="C7887" s="4" t="str">
        <f t="shared" si="667"/>
        <v>Đắk Lắk</v>
      </c>
      <c r="D7887" s="3" t="s">
        <v>539</v>
      </c>
      <c r="E7887" s="4" t="str">
        <f t="shared" si="668"/>
        <v>Huyện Krông Pắc</v>
      </c>
      <c r="F7887" s="3" t="s">
        <v>8647</v>
      </c>
      <c r="G7887" s="4" t="str">
        <f>HYPERLINK("https://diaocthongthai.com/xa-ea-kenh-krong-pak/","Xã Ea Kênh")</f>
        <v>Xã Ea Kênh</v>
      </c>
    </row>
    <row r="7888" spans="1:7" x14ac:dyDescent="0.25">
      <c r="A7888" s="2">
        <v>7887</v>
      </c>
      <c r="B7888" s="3" t="s">
        <v>44</v>
      </c>
      <c r="C7888" s="4" t="str">
        <f t="shared" si="667"/>
        <v>Đắk Lắk</v>
      </c>
      <c r="D7888" s="3" t="s">
        <v>539</v>
      </c>
      <c r="E7888" s="4" t="str">
        <f t="shared" si="668"/>
        <v>Huyện Krông Pắc</v>
      </c>
      <c r="F7888" s="3" t="s">
        <v>8648</v>
      </c>
      <c r="G7888" s="4" t="str">
        <f>HYPERLINK("https://diaocthongthai.com/xa-ea-phe-krong-pak/","Xã Ea Phê")</f>
        <v>Xã Ea Phê</v>
      </c>
    </row>
    <row r="7889" spans="1:7" x14ac:dyDescent="0.25">
      <c r="A7889" s="2">
        <v>7888</v>
      </c>
      <c r="B7889" s="3" t="s">
        <v>44</v>
      </c>
      <c r="C7889" s="4" t="str">
        <f t="shared" si="667"/>
        <v>Đắk Lắk</v>
      </c>
      <c r="D7889" s="3" t="s">
        <v>539</v>
      </c>
      <c r="E7889" s="4" t="str">
        <f t="shared" si="668"/>
        <v>Huyện Krông Pắc</v>
      </c>
      <c r="F7889" s="3" t="s">
        <v>8649</v>
      </c>
      <c r="G7889" s="4" t="str">
        <f>HYPERLINK("https://diaocthongthai.com/xa-ea-knuec-krong-pak/","Xã Ea KNuec")</f>
        <v>Xã Ea KNuec</v>
      </c>
    </row>
    <row r="7890" spans="1:7" x14ac:dyDescent="0.25">
      <c r="A7890" s="2">
        <v>7889</v>
      </c>
      <c r="B7890" s="3" t="s">
        <v>44</v>
      </c>
      <c r="C7890" s="4" t="str">
        <f t="shared" si="667"/>
        <v>Đắk Lắk</v>
      </c>
      <c r="D7890" s="3" t="s">
        <v>539</v>
      </c>
      <c r="E7890" s="4" t="str">
        <f t="shared" si="668"/>
        <v>Huyện Krông Pắc</v>
      </c>
      <c r="F7890" s="3" t="s">
        <v>8650</v>
      </c>
      <c r="G7890" s="4" t="str">
        <f>HYPERLINK("https://diaocthongthai.com/xa-ea-yong-krong-pak/","Xã Ea Yông")</f>
        <v>Xã Ea Yông</v>
      </c>
    </row>
    <row r="7891" spans="1:7" x14ac:dyDescent="0.25">
      <c r="A7891" s="2">
        <v>7890</v>
      </c>
      <c r="B7891" s="3" t="s">
        <v>44</v>
      </c>
      <c r="C7891" s="4" t="str">
        <f t="shared" si="667"/>
        <v>Đắk Lắk</v>
      </c>
      <c r="D7891" s="3" t="s">
        <v>539</v>
      </c>
      <c r="E7891" s="4" t="str">
        <f t="shared" si="668"/>
        <v>Huyện Krông Pắc</v>
      </c>
      <c r="F7891" s="3" t="s">
        <v>8651</v>
      </c>
      <c r="G7891" s="4" t="str">
        <f>HYPERLINK("https://diaocthongthai.com/xa-hoa-an-krong-pak/","Xã Hòa An")</f>
        <v>Xã Hòa An</v>
      </c>
    </row>
    <row r="7892" spans="1:7" x14ac:dyDescent="0.25">
      <c r="A7892" s="2">
        <v>7891</v>
      </c>
      <c r="B7892" s="3" t="s">
        <v>44</v>
      </c>
      <c r="C7892" s="4" t="str">
        <f t="shared" si="667"/>
        <v>Đắk Lắk</v>
      </c>
      <c r="D7892" s="3" t="s">
        <v>539</v>
      </c>
      <c r="E7892" s="4" t="str">
        <f t="shared" si="668"/>
        <v>Huyện Krông Pắc</v>
      </c>
      <c r="F7892" s="3" t="s">
        <v>8652</v>
      </c>
      <c r="G7892" s="4" t="str">
        <f>HYPERLINK("https://diaocthongthai.com/xa-ea-kuang-krong-pak/","Xã Ea Kuăng")</f>
        <v>Xã Ea Kuăng</v>
      </c>
    </row>
    <row r="7893" spans="1:7" x14ac:dyDescent="0.25">
      <c r="A7893" s="2">
        <v>7892</v>
      </c>
      <c r="B7893" s="3" t="s">
        <v>44</v>
      </c>
      <c r="C7893" s="4" t="str">
        <f t="shared" si="667"/>
        <v>Đắk Lắk</v>
      </c>
      <c r="D7893" s="3" t="s">
        <v>539</v>
      </c>
      <c r="E7893" s="4" t="str">
        <f t="shared" si="668"/>
        <v>Huyện Krông Pắc</v>
      </c>
      <c r="F7893" s="3" t="s">
        <v>8653</v>
      </c>
      <c r="G7893" s="4" t="str">
        <f>HYPERLINK("https://diaocthongthai.com/xa-hoa-dong-krong-pak/","Xã Hòa Đông")</f>
        <v>Xã Hòa Đông</v>
      </c>
    </row>
    <row r="7894" spans="1:7" x14ac:dyDescent="0.25">
      <c r="A7894" s="2">
        <v>7893</v>
      </c>
      <c r="B7894" s="3" t="s">
        <v>44</v>
      </c>
      <c r="C7894" s="4" t="str">
        <f t="shared" si="667"/>
        <v>Đắk Lắk</v>
      </c>
      <c r="D7894" s="3" t="s">
        <v>539</v>
      </c>
      <c r="E7894" s="4" t="str">
        <f t="shared" si="668"/>
        <v>Huyện Krông Pắc</v>
      </c>
      <c r="F7894" s="3" t="s">
        <v>8654</v>
      </c>
      <c r="G7894" s="4" t="str">
        <f>HYPERLINK("https://diaocthongthai.com/xa-ea-hiu-krong-pak/","Xã Ea Hiu")</f>
        <v>Xã Ea Hiu</v>
      </c>
    </row>
    <row r="7895" spans="1:7" x14ac:dyDescent="0.25">
      <c r="A7895" s="2">
        <v>7894</v>
      </c>
      <c r="B7895" s="3" t="s">
        <v>44</v>
      </c>
      <c r="C7895" s="4" t="str">
        <f t="shared" si="667"/>
        <v>Đắk Lắk</v>
      </c>
      <c r="D7895" s="3" t="s">
        <v>539</v>
      </c>
      <c r="E7895" s="4" t="str">
        <f t="shared" si="668"/>
        <v>Huyện Krông Pắc</v>
      </c>
      <c r="F7895" s="3" t="s">
        <v>8655</v>
      </c>
      <c r="G7895" s="4" t="str">
        <f>HYPERLINK("https://diaocthongthai.com/xa-hoa-tien-krong-pak/","Xã Hòa Tiến")</f>
        <v>Xã Hòa Tiến</v>
      </c>
    </row>
    <row r="7896" spans="1:7" x14ac:dyDescent="0.25">
      <c r="A7896" s="2">
        <v>7895</v>
      </c>
      <c r="B7896" s="3" t="s">
        <v>44</v>
      </c>
      <c r="C7896" s="4" t="str">
        <f t="shared" si="667"/>
        <v>Đắk Lắk</v>
      </c>
      <c r="D7896" s="3" t="s">
        <v>539</v>
      </c>
      <c r="E7896" s="4" t="str">
        <f t="shared" si="668"/>
        <v>Huyện Krông Pắc</v>
      </c>
      <c r="F7896" s="3" t="s">
        <v>8656</v>
      </c>
      <c r="G7896" s="4" t="str">
        <f>HYPERLINK("https://diaocthongthai.com/xa-tan-tien-krong-pak/","Xã Tân Tiến")</f>
        <v>Xã Tân Tiến</v>
      </c>
    </row>
    <row r="7897" spans="1:7" x14ac:dyDescent="0.25">
      <c r="A7897" s="2">
        <v>7896</v>
      </c>
      <c r="B7897" s="3" t="s">
        <v>44</v>
      </c>
      <c r="C7897" s="4" t="str">
        <f t="shared" si="667"/>
        <v>Đắk Lắk</v>
      </c>
      <c r="D7897" s="3" t="s">
        <v>539</v>
      </c>
      <c r="E7897" s="4" t="str">
        <f t="shared" si="668"/>
        <v>Huyện Krông Pắc</v>
      </c>
      <c r="F7897" s="3" t="s">
        <v>8657</v>
      </c>
      <c r="G7897" s="4" t="str">
        <f>HYPERLINK("https://diaocthongthai.com/xa-vu-bon-krong-pak/","Xã Vụ Bổn")</f>
        <v>Xã Vụ Bổn</v>
      </c>
    </row>
    <row r="7898" spans="1:7" x14ac:dyDescent="0.25">
      <c r="A7898" s="2">
        <v>7897</v>
      </c>
      <c r="B7898" s="3" t="s">
        <v>44</v>
      </c>
      <c r="C7898" s="4" t="str">
        <f t="shared" si="667"/>
        <v>Đắk Lắk</v>
      </c>
      <c r="D7898" s="3" t="s">
        <v>539</v>
      </c>
      <c r="E7898" s="4" t="str">
        <f t="shared" si="668"/>
        <v>Huyện Krông Pắc</v>
      </c>
      <c r="F7898" s="3" t="s">
        <v>8658</v>
      </c>
      <c r="G7898" s="4" t="str">
        <f>HYPERLINK("https://diaocthongthai.com/xa-ea-uy-krong-pak/","Xã Ea Uy")</f>
        <v>Xã Ea Uy</v>
      </c>
    </row>
    <row r="7899" spans="1:7" x14ac:dyDescent="0.25">
      <c r="A7899" s="2">
        <v>7898</v>
      </c>
      <c r="B7899" s="3" t="s">
        <v>44</v>
      </c>
      <c r="C7899" s="4" t="str">
        <f t="shared" si="667"/>
        <v>Đắk Lắk</v>
      </c>
      <c r="D7899" s="3" t="s">
        <v>539</v>
      </c>
      <c r="E7899" s="4" t="str">
        <f t="shared" si="668"/>
        <v>Huyện Krông Pắc</v>
      </c>
      <c r="F7899" s="3" t="s">
        <v>8659</v>
      </c>
      <c r="G7899" s="4" t="str">
        <f>HYPERLINK("https://diaocthongthai.com/xa-ea-yieng-krong-pak/","Xã Ea Yiêng")</f>
        <v>Xã Ea Yiêng</v>
      </c>
    </row>
    <row r="7900" spans="1:7" x14ac:dyDescent="0.25">
      <c r="A7900" s="2">
        <v>7899</v>
      </c>
      <c r="B7900" s="3" t="s">
        <v>44</v>
      </c>
      <c r="C7900" s="4" t="str">
        <f t="shared" si="667"/>
        <v>Đắk Lắk</v>
      </c>
      <c r="D7900" s="3" t="s">
        <v>540</v>
      </c>
      <c r="E7900" s="4" t="str">
        <f t="shared" ref="E7900:E7907" si="669">HYPERLINK("https://diaocthongthai.com/ban-do-huyen-krong-a-na-dak-lak/","Huyện Krông A Na")</f>
        <v>Huyện Krông A Na</v>
      </c>
      <c r="F7900" s="3" t="s">
        <v>8660</v>
      </c>
      <c r="G7900" s="4" t="str">
        <f>HYPERLINK("https://diaocthongthai.com/thi-tran-buon-trap-krong-ana/","Thị trấn Buôn Trấp")</f>
        <v>Thị trấn Buôn Trấp</v>
      </c>
    </row>
    <row r="7901" spans="1:7" x14ac:dyDescent="0.25">
      <c r="A7901" s="2">
        <v>7900</v>
      </c>
      <c r="B7901" s="3" t="s">
        <v>44</v>
      </c>
      <c r="C7901" s="4" t="str">
        <f t="shared" si="667"/>
        <v>Đắk Lắk</v>
      </c>
      <c r="D7901" s="3" t="s">
        <v>540</v>
      </c>
      <c r="E7901" s="4" t="str">
        <f t="shared" si="669"/>
        <v>Huyện Krông A Na</v>
      </c>
      <c r="F7901" s="3" t="s">
        <v>8661</v>
      </c>
      <c r="G7901" s="4" t="str">
        <f>HYPERLINK("https://diaocthongthai.com/xa-dray-sap-krong-ana/","Xã Dray Sáp")</f>
        <v>Xã Dray Sáp</v>
      </c>
    </row>
    <row r="7902" spans="1:7" x14ac:dyDescent="0.25">
      <c r="A7902" s="2">
        <v>7901</v>
      </c>
      <c r="B7902" s="3" t="s">
        <v>44</v>
      </c>
      <c r="C7902" s="4" t="str">
        <f t="shared" si="667"/>
        <v>Đắk Lắk</v>
      </c>
      <c r="D7902" s="3" t="s">
        <v>540</v>
      </c>
      <c r="E7902" s="4" t="str">
        <f t="shared" si="669"/>
        <v>Huyện Krông A Na</v>
      </c>
      <c r="F7902" s="3" t="s">
        <v>8662</v>
      </c>
      <c r="G7902" s="4" t="str">
        <f>HYPERLINK("https://diaocthongthai.com/xa-ea-na-krong-ana/","Xã Ea Na")</f>
        <v>Xã Ea Na</v>
      </c>
    </row>
    <row r="7903" spans="1:7" x14ac:dyDescent="0.25">
      <c r="A7903" s="2">
        <v>7902</v>
      </c>
      <c r="B7903" s="3" t="s">
        <v>44</v>
      </c>
      <c r="C7903" s="4" t="str">
        <f t="shared" ref="C7903:C7926" si="670">HYPERLINK("https://diaocthongthai.com/ban-do-dak-lak/","Đắk Lắk")</f>
        <v>Đắk Lắk</v>
      </c>
      <c r="D7903" s="3" t="s">
        <v>540</v>
      </c>
      <c r="E7903" s="4" t="str">
        <f t="shared" si="669"/>
        <v>Huyện Krông A Na</v>
      </c>
      <c r="F7903" s="3" t="s">
        <v>8663</v>
      </c>
      <c r="G7903" s="4" t="str">
        <f>HYPERLINK("https://diaocthongthai.com/xa-ea-bong-krong-ana/","Xã Ea Bông")</f>
        <v>Xã Ea Bông</v>
      </c>
    </row>
    <row r="7904" spans="1:7" x14ac:dyDescent="0.25">
      <c r="A7904" s="2">
        <v>7903</v>
      </c>
      <c r="B7904" s="3" t="s">
        <v>44</v>
      </c>
      <c r="C7904" s="4" t="str">
        <f t="shared" si="670"/>
        <v>Đắk Lắk</v>
      </c>
      <c r="D7904" s="3" t="s">
        <v>540</v>
      </c>
      <c r="E7904" s="4" t="str">
        <f t="shared" si="669"/>
        <v>Huyện Krông A Na</v>
      </c>
      <c r="F7904" s="3" t="s">
        <v>8664</v>
      </c>
      <c r="G7904" s="4" t="str">
        <f>HYPERLINK("https://diaocthongthai.com/xa-bang-adrenh-krong-ana/","Xã Băng A Drênh")</f>
        <v>Xã Băng A Drênh</v>
      </c>
    </row>
    <row r="7905" spans="1:7" x14ac:dyDescent="0.25">
      <c r="A7905" s="2">
        <v>7904</v>
      </c>
      <c r="B7905" s="3" t="s">
        <v>44</v>
      </c>
      <c r="C7905" s="4" t="str">
        <f t="shared" si="670"/>
        <v>Đắk Lắk</v>
      </c>
      <c r="D7905" s="3" t="s">
        <v>540</v>
      </c>
      <c r="E7905" s="4" t="str">
        <f t="shared" si="669"/>
        <v>Huyện Krông A Na</v>
      </c>
      <c r="F7905" s="3" t="s">
        <v>8665</v>
      </c>
      <c r="G7905" s="4" t="str">
        <f>HYPERLINK("https://diaocthongthai.com/xa-dur-kmal-krong-ana/","Xã Dur KMăl")</f>
        <v>Xã Dur KMăl</v>
      </c>
    </row>
    <row r="7906" spans="1:7" x14ac:dyDescent="0.25">
      <c r="A7906" s="2">
        <v>7905</v>
      </c>
      <c r="B7906" s="3" t="s">
        <v>44</v>
      </c>
      <c r="C7906" s="4" t="str">
        <f t="shared" si="670"/>
        <v>Đắk Lắk</v>
      </c>
      <c r="D7906" s="3" t="s">
        <v>540</v>
      </c>
      <c r="E7906" s="4" t="str">
        <f t="shared" si="669"/>
        <v>Huyện Krông A Na</v>
      </c>
      <c r="F7906" s="3" t="s">
        <v>8666</v>
      </c>
      <c r="G7906" s="4" t="str">
        <f>HYPERLINK("https://diaocthongthai.com/xa-binh-hoa-krong-ana/","Xã Bình Hòa")</f>
        <v>Xã Bình Hòa</v>
      </c>
    </row>
    <row r="7907" spans="1:7" x14ac:dyDescent="0.25">
      <c r="A7907" s="2">
        <v>7906</v>
      </c>
      <c r="B7907" s="3" t="s">
        <v>44</v>
      </c>
      <c r="C7907" s="4" t="str">
        <f t="shared" si="670"/>
        <v>Đắk Lắk</v>
      </c>
      <c r="D7907" s="3" t="s">
        <v>540</v>
      </c>
      <c r="E7907" s="4" t="str">
        <f t="shared" si="669"/>
        <v>Huyện Krông A Na</v>
      </c>
      <c r="F7907" s="3" t="s">
        <v>8667</v>
      </c>
      <c r="G7907" s="4" t="str">
        <f>HYPERLINK("https://diaocthongthai.com/xa-quang-dien-krong-ana/","Xã Quảng Điền")</f>
        <v>Xã Quảng Điền</v>
      </c>
    </row>
    <row r="7908" spans="1:7" x14ac:dyDescent="0.25">
      <c r="A7908" s="2">
        <v>7907</v>
      </c>
      <c r="B7908" s="3" t="s">
        <v>44</v>
      </c>
      <c r="C7908" s="4" t="str">
        <f t="shared" si="670"/>
        <v>Đắk Lắk</v>
      </c>
      <c r="D7908" s="3" t="s">
        <v>541</v>
      </c>
      <c r="E7908" s="4" t="str">
        <f t="shared" ref="E7908:E7918" si="671">HYPERLINK("https://diaocthongthai.com/ban-do-huyen-lak-dak-lak/","Huyện Lắk")</f>
        <v>Huyện Lắk</v>
      </c>
      <c r="F7908" s="3" t="s">
        <v>8668</v>
      </c>
      <c r="G7908" s="4" t="str">
        <f>HYPERLINK("https://diaocthongthai.com/thi-tran-lien-son-lak/","Thị trấn Liên Sơn")</f>
        <v>Thị trấn Liên Sơn</v>
      </c>
    </row>
    <row r="7909" spans="1:7" x14ac:dyDescent="0.25">
      <c r="A7909" s="2">
        <v>7908</v>
      </c>
      <c r="B7909" s="3" t="s">
        <v>44</v>
      </c>
      <c r="C7909" s="4" t="str">
        <f t="shared" si="670"/>
        <v>Đắk Lắk</v>
      </c>
      <c r="D7909" s="3" t="s">
        <v>541</v>
      </c>
      <c r="E7909" s="4" t="str">
        <f t="shared" si="671"/>
        <v>Huyện Lắk</v>
      </c>
      <c r="F7909" s="3" t="s">
        <v>8669</v>
      </c>
      <c r="G7909" s="4" t="str">
        <f>HYPERLINK("https://diaocthongthai.com/xa-yang-tao-lak/","Xã Yang Tao")</f>
        <v>Xã Yang Tao</v>
      </c>
    </row>
    <row r="7910" spans="1:7" x14ac:dyDescent="0.25">
      <c r="A7910" s="2">
        <v>7909</v>
      </c>
      <c r="B7910" s="3" t="s">
        <v>44</v>
      </c>
      <c r="C7910" s="4" t="str">
        <f t="shared" si="670"/>
        <v>Đắk Lắk</v>
      </c>
      <c r="D7910" s="3" t="s">
        <v>541</v>
      </c>
      <c r="E7910" s="4" t="str">
        <f t="shared" si="671"/>
        <v>Huyện Lắk</v>
      </c>
      <c r="F7910" s="3" t="s">
        <v>8670</v>
      </c>
      <c r="G7910" s="4" t="str">
        <f>HYPERLINK("https://diaocthongthai.com/xa-bong-krang-lak/","Xã Bông Krang")</f>
        <v>Xã Bông Krang</v>
      </c>
    </row>
    <row r="7911" spans="1:7" x14ac:dyDescent="0.25">
      <c r="A7911" s="2">
        <v>7910</v>
      </c>
      <c r="B7911" s="3" t="s">
        <v>44</v>
      </c>
      <c r="C7911" s="4" t="str">
        <f t="shared" si="670"/>
        <v>Đắk Lắk</v>
      </c>
      <c r="D7911" s="3" t="s">
        <v>541</v>
      </c>
      <c r="E7911" s="4" t="str">
        <f t="shared" si="671"/>
        <v>Huyện Lắk</v>
      </c>
      <c r="F7911" s="3" t="s">
        <v>8671</v>
      </c>
      <c r="G7911" s="4" t="str">
        <f>HYPERLINK("https://diaocthongthai.com/xa-dak-lieng-lak/","Xã Đắk Liêng")</f>
        <v>Xã Đắk Liêng</v>
      </c>
    </row>
    <row r="7912" spans="1:7" x14ac:dyDescent="0.25">
      <c r="A7912" s="2">
        <v>7911</v>
      </c>
      <c r="B7912" s="3" t="s">
        <v>44</v>
      </c>
      <c r="C7912" s="4" t="str">
        <f t="shared" si="670"/>
        <v>Đắk Lắk</v>
      </c>
      <c r="D7912" s="3" t="s">
        <v>541</v>
      </c>
      <c r="E7912" s="4" t="str">
        <f t="shared" si="671"/>
        <v>Huyện Lắk</v>
      </c>
      <c r="F7912" s="3" t="s">
        <v>8672</v>
      </c>
      <c r="G7912" s="4" t="str">
        <f>HYPERLINK("https://diaocthongthai.com/xa-buon-triet-lak/","Xã Buôn Triết")</f>
        <v>Xã Buôn Triết</v>
      </c>
    </row>
    <row r="7913" spans="1:7" x14ac:dyDescent="0.25">
      <c r="A7913" s="2">
        <v>7912</v>
      </c>
      <c r="B7913" s="3" t="s">
        <v>44</v>
      </c>
      <c r="C7913" s="4" t="str">
        <f t="shared" si="670"/>
        <v>Đắk Lắk</v>
      </c>
      <c r="D7913" s="3" t="s">
        <v>541</v>
      </c>
      <c r="E7913" s="4" t="str">
        <f t="shared" si="671"/>
        <v>Huyện Lắk</v>
      </c>
      <c r="F7913" s="3" t="s">
        <v>8673</v>
      </c>
      <c r="G7913" s="4" t="str">
        <f>HYPERLINK("https://diaocthongthai.com/xa-buon-tria-lak/","Xã Buôn Tría")</f>
        <v>Xã Buôn Tría</v>
      </c>
    </row>
    <row r="7914" spans="1:7" x14ac:dyDescent="0.25">
      <c r="A7914" s="2">
        <v>7913</v>
      </c>
      <c r="B7914" s="3" t="s">
        <v>44</v>
      </c>
      <c r="C7914" s="4" t="str">
        <f t="shared" si="670"/>
        <v>Đắk Lắk</v>
      </c>
      <c r="D7914" s="3" t="s">
        <v>541</v>
      </c>
      <c r="E7914" s="4" t="str">
        <f t="shared" si="671"/>
        <v>Huyện Lắk</v>
      </c>
      <c r="F7914" s="3" t="s">
        <v>8674</v>
      </c>
      <c r="G7914" s="4" t="str">
        <f>HYPERLINK("https://diaocthongthai.com/xa-dak-phoi-lak/","Xã Đắk Phơi")</f>
        <v>Xã Đắk Phơi</v>
      </c>
    </row>
    <row r="7915" spans="1:7" x14ac:dyDescent="0.25">
      <c r="A7915" s="2">
        <v>7914</v>
      </c>
      <c r="B7915" s="3" t="s">
        <v>44</v>
      </c>
      <c r="C7915" s="4" t="str">
        <f t="shared" si="670"/>
        <v>Đắk Lắk</v>
      </c>
      <c r="D7915" s="3" t="s">
        <v>541</v>
      </c>
      <c r="E7915" s="4" t="str">
        <f t="shared" si="671"/>
        <v>Huyện Lắk</v>
      </c>
      <c r="F7915" s="3" t="s">
        <v>8675</v>
      </c>
      <c r="G7915" s="4" t="str">
        <f>HYPERLINK("https://diaocthongthai.com/xa-dak-nue-lak/","Xã Đắk Nuê")</f>
        <v>Xã Đắk Nuê</v>
      </c>
    </row>
    <row r="7916" spans="1:7" x14ac:dyDescent="0.25">
      <c r="A7916" s="2">
        <v>7915</v>
      </c>
      <c r="B7916" s="3" t="s">
        <v>44</v>
      </c>
      <c r="C7916" s="4" t="str">
        <f t="shared" si="670"/>
        <v>Đắk Lắk</v>
      </c>
      <c r="D7916" s="3" t="s">
        <v>541</v>
      </c>
      <c r="E7916" s="4" t="str">
        <f t="shared" si="671"/>
        <v>Huyện Lắk</v>
      </c>
      <c r="F7916" s="3" t="s">
        <v>8676</v>
      </c>
      <c r="G7916" s="4" t="str">
        <f>HYPERLINK("https://diaocthongthai.com/xa-krong-no-lak/","Xã Krông Nô")</f>
        <v>Xã Krông Nô</v>
      </c>
    </row>
    <row r="7917" spans="1:7" x14ac:dyDescent="0.25">
      <c r="A7917" s="2">
        <v>7916</v>
      </c>
      <c r="B7917" s="3" t="s">
        <v>44</v>
      </c>
      <c r="C7917" s="4" t="str">
        <f t="shared" si="670"/>
        <v>Đắk Lắk</v>
      </c>
      <c r="D7917" s="3" t="s">
        <v>541</v>
      </c>
      <c r="E7917" s="4" t="str">
        <f t="shared" si="671"/>
        <v>Huyện Lắk</v>
      </c>
      <c r="F7917" s="3" t="s">
        <v>8677</v>
      </c>
      <c r="G7917" s="4" t="str">
        <f>HYPERLINK("https://diaocthongthai.com/xa-nam-ka-lak/","Xã Nam Ka")</f>
        <v>Xã Nam Ka</v>
      </c>
    </row>
    <row r="7918" spans="1:7" x14ac:dyDescent="0.25">
      <c r="A7918" s="2">
        <v>7917</v>
      </c>
      <c r="B7918" s="3" t="s">
        <v>44</v>
      </c>
      <c r="C7918" s="4" t="str">
        <f t="shared" si="670"/>
        <v>Đắk Lắk</v>
      </c>
      <c r="D7918" s="3" t="s">
        <v>541</v>
      </c>
      <c r="E7918" s="4" t="str">
        <f t="shared" si="671"/>
        <v>Huyện Lắk</v>
      </c>
      <c r="F7918" s="3" t="s">
        <v>8678</v>
      </c>
      <c r="G7918" s="4" t="str">
        <f>HYPERLINK("https://diaocthongthai.com/xa-ea-rbin-lak/","Xã Ea R'Bin")</f>
        <v>Xã Ea R'Bin</v>
      </c>
    </row>
    <row r="7919" spans="1:7" x14ac:dyDescent="0.25">
      <c r="A7919" s="2">
        <v>7918</v>
      </c>
      <c r="B7919" s="3" t="s">
        <v>44</v>
      </c>
      <c r="C7919" s="4" t="str">
        <f t="shared" si="670"/>
        <v>Đắk Lắk</v>
      </c>
      <c r="D7919" s="3" t="s">
        <v>542</v>
      </c>
      <c r="E7919" s="4" t="str">
        <f t="shared" ref="E7919:E7926" si="672">HYPERLINK("https://diaocthongthai.com/ban-do-huyen-cu-kuin-dak-lak/","Huyện Cư Kuin")</f>
        <v>Huyện Cư Kuin</v>
      </c>
      <c r="F7919" s="3" t="s">
        <v>8679</v>
      </c>
      <c r="G7919" s="4" t="str">
        <f>HYPERLINK("https://diaocthongthai.com/xa-ea-ning-cu-kuin/","Xã Ea Ning")</f>
        <v>Xã Ea Ning</v>
      </c>
    </row>
    <row r="7920" spans="1:7" x14ac:dyDescent="0.25">
      <c r="A7920" s="2">
        <v>7919</v>
      </c>
      <c r="B7920" s="3" t="s">
        <v>44</v>
      </c>
      <c r="C7920" s="4" t="str">
        <f t="shared" si="670"/>
        <v>Đắk Lắk</v>
      </c>
      <c r="D7920" s="3" t="s">
        <v>542</v>
      </c>
      <c r="E7920" s="4" t="str">
        <f t="shared" si="672"/>
        <v>Huyện Cư Kuin</v>
      </c>
      <c r="F7920" s="3" t="s">
        <v>8680</v>
      </c>
      <c r="G7920" s="4" t="str">
        <f>HYPERLINK("https://diaocthongthai.com/xa-cu-ewi-cu-kuin/","Xã Cư Ê Wi")</f>
        <v>Xã Cư Ê Wi</v>
      </c>
    </row>
    <row r="7921" spans="1:7" x14ac:dyDescent="0.25">
      <c r="A7921" s="2">
        <v>7920</v>
      </c>
      <c r="B7921" s="3" t="s">
        <v>44</v>
      </c>
      <c r="C7921" s="4" t="str">
        <f t="shared" si="670"/>
        <v>Đắk Lắk</v>
      </c>
      <c r="D7921" s="3" t="s">
        <v>542</v>
      </c>
      <c r="E7921" s="4" t="str">
        <f t="shared" si="672"/>
        <v>Huyện Cư Kuin</v>
      </c>
      <c r="F7921" s="3" t="s">
        <v>8681</v>
      </c>
      <c r="G7921" s="4" t="str">
        <f>HYPERLINK("https://diaocthongthai.com/xa-ea-ktur-cu-kuin/","Xã Ea Ktur")</f>
        <v>Xã Ea Ktur</v>
      </c>
    </row>
    <row r="7922" spans="1:7" x14ac:dyDescent="0.25">
      <c r="A7922" s="2">
        <v>7921</v>
      </c>
      <c r="B7922" s="3" t="s">
        <v>44</v>
      </c>
      <c r="C7922" s="4" t="str">
        <f t="shared" si="670"/>
        <v>Đắk Lắk</v>
      </c>
      <c r="D7922" s="3" t="s">
        <v>542</v>
      </c>
      <c r="E7922" s="4" t="str">
        <f t="shared" si="672"/>
        <v>Huyện Cư Kuin</v>
      </c>
      <c r="F7922" s="3" t="s">
        <v>8682</v>
      </c>
      <c r="G7922" s="4" t="str">
        <f>HYPERLINK("https://diaocthongthai.com/xa-ea-tieu-cu-kuin/","Xã Ea Tiêu")</f>
        <v>Xã Ea Tiêu</v>
      </c>
    </row>
    <row r="7923" spans="1:7" x14ac:dyDescent="0.25">
      <c r="A7923" s="2">
        <v>7922</v>
      </c>
      <c r="B7923" s="3" t="s">
        <v>44</v>
      </c>
      <c r="C7923" s="4" t="str">
        <f t="shared" si="670"/>
        <v>Đắk Lắk</v>
      </c>
      <c r="D7923" s="3" t="s">
        <v>542</v>
      </c>
      <c r="E7923" s="4" t="str">
        <f t="shared" si="672"/>
        <v>Huyện Cư Kuin</v>
      </c>
      <c r="F7923" s="3" t="s">
        <v>8683</v>
      </c>
      <c r="G7923" s="4" t="str">
        <f>HYPERLINK("https://diaocthongthai.com/xa-ea-bhok-cu-kuin/","Xã Ea BHốk")</f>
        <v>Xã Ea BHốk</v>
      </c>
    </row>
    <row r="7924" spans="1:7" x14ac:dyDescent="0.25">
      <c r="A7924" s="2">
        <v>7923</v>
      </c>
      <c r="B7924" s="3" t="s">
        <v>44</v>
      </c>
      <c r="C7924" s="4" t="str">
        <f t="shared" si="670"/>
        <v>Đắk Lắk</v>
      </c>
      <c r="D7924" s="3" t="s">
        <v>542</v>
      </c>
      <c r="E7924" s="4" t="str">
        <f t="shared" si="672"/>
        <v>Huyện Cư Kuin</v>
      </c>
      <c r="F7924" s="3" t="s">
        <v>8684</v>
      </c>
      <c r="G7924" s="4" t="str">
        <f>HYPERLINK("https://diaocthongthai.com/xa-ea-hu-cu-kuin/","Xã Ea Hu")</f>
        <v>Xã Ea Hu</v>
      </c>
    </row>
    <row r="7925" spans="1:7" x14ac:dyDescent="0.25">
      <c r="A7925" s="2">
        <v>7924</v>
      </c>
      <c r="B7925" s="3" t="s">
        <v>44</v>
      </c>
      <c r="C7925" s="4" t="str">
        <f t="shared" si="670"/>
        <v>Đắk Lắk</v>
      </c>
      <c r="D7925" s="3" t="s">
        <v>542</v>
      </c>
      <c r="E7925" s="4" t="str">
        <f t="shared" si="672"/>
        <v>Huyện Cư Kuin</v>
      </c>
      <c r="F7925" s="3" t="s">
        <v>8685</v>
      </c>
      <c r="G7925" s="4" t="str">
        <f>HYPERLINK("https://diaocthongthai.com/xa-dray-bhang-cu-kuin/","Xã Dray Bhăng")</f>
        <v>Xã Dray Bhăng</v>
      </c>
    </row>
    <row r="7926" spans="1:7" x14ac:dyDescent="0.25">
      <c r="A7926" s="2">
        <v>7925</v>
      </c>
      <c r="B7926" s="3" t="s">
        <v>44</v>
      </c>
      <c r="C7926" s="4" t="str">
        <f t="shared" si="670"/>
        <v>Đắk Lắk</v>
      </c>
      <c r="D7926" s="3" t="s">
        <v>542</v>
      </c>
      <c r="E7926" s="4" t="str">
        <f t="shared" si="672"/>
        <v>Huyện Cư Kuin</v>
      </c>
      <c r="F7926" s="3" t="s">
        <v>8686</v>
      </c>
      <c r="G7926" s="4" t="str">
        <f>HYPERLINK("https://diaocthongthai.com/xa-hoa-hiep-cu-kuin/","Xã Hòa Hiệp")</f>
        <v>Xã Hòa Hiệp</v>
      </c>
    </row>
    <row r="7927" spans="1:7" x14ac:dyDescent="0.25">
      <c r="A7927" s="2">
        <v>7926</v>
      </c>
      <c r="B7927" s="3" t="s">
        <v>45</v>
      </c>
      <c r="C7927" s="4" t="str">
        <f t="shared" ref="C7927:C7958" si="673">HYPERLINK("https://diaocthongthai.com/ban-do-dak-nong/","Đắk Nông")</f>
        <v>Đắk Nông</v>
      </c>
      <c r="D7927" s="3" t="s">
        <v>543</v>
      </c>
      <c r="E7927" s="4" t="str">
        <f t="shared" ref="E7927:E7934" si="674">HYPERLINK("https://diaocthongthai.com/ban-do-thi-xa-gia-nghia-dak-nong/","Thành phố Gia Nghĩa")</f>
        <v>Thành phố Gia Nghĩa</v>
      </c>
      <c r="F7927" s="3" t="s">
        <v>8687</v>
      </c>
      <c r="G7927" s="4" t="str">
        <f>HYPERLINK("https://diaocthongthai.com/phuong-nghia-duc-tp-gia-nghia/","Phường Nghĩa Đức")</f>
        <v>Phường Nghĩa Đức</v>
      </c>
    </row>
    <row r="7928" spans="1:7" x14ac:dyDescent="0.25">
      <c r="A7928" s="2">
        <v>7927</v>
      </c>
      <c r="B7928" s="3" t="s">
        <v>45</v>
      </c>
      <c r="C7928" s="4" t="str">
        <f t="shared" si="673"/>
        <v>Đắk Nông</v>
      </c>
      <c r="D7928" s="3" t="s">
        <v>543</v>
      </c>
      <c r="E7928" s="4" t="str">
        <f t="shared" si="674"/>
        <v>Thành phố Gia Nghĩa</v>
      </c>
      <c r="F7928" s="3" t="s">
        <v>8688</v>
      </c>
      <c r="G7928" s="4" t="str">
        <f>HYPERLINK("https://diaocthongthai.com/phuong-nghia-thanh-tp-gia-nghia/","Phường Nghĩa Thành")</f>
        <v>Phường Nghĩa Thành</v>
      </c>
    </row>
    <row r="7929" spans="1:7" x14ac:dyDescent="0.25">
      <c r="A7929" s="2">
        <v>7928</v>
      </c>
      <c r="B7929" s="3" t="s">
        <v>45</v>
      </c>
      <c r="C7929" s="4" t="str">
        <f t="shared" si="673"/>
        <v>Đắk Nông</v>
      </c>
      <c r="D7929" s="3" t="s">
        <v>543</v>
      </c>
      <c r="E7929" s="4" t="str">
        <f t="shared" si="674"/>
        <v>Thành phố Gia Nghĩa</v>
      </c>
      <c r="F7929" s="3" t="s">
        <v>8689</v>
      </c>
      <c r="G7929" s="4" t="str">
        <f>HYPERLINK("https://diaocthongthai.com/phuong-nghia-phu-tp-gia-nghia/","Phường Nghĩa Phú")</f>
        <v>Phường Nghĩa Phú</v>
      </c>
    </row>
    <row r="7930" spans="1:7" x14ac:dyDescent="0.25">
      <c r="A7930" s="2">
        <v>7929</v>
      </c>
      <c r="B7930" s="3" t="s">
        <v>45</v>
      </c>
      <c r="C7930" s="4" t="str">
        <f t="shared" si="673"/>
        <v>Đắk Nông</v>
      </c>
      <c r="D7930" s="3" t="s">
        <v>543</v>
      </c>
      <c r="E7930" s="4" t="str">
        <f t="shared" si="674"/>
        <v>Thành phố Gia Nghĩa</v>
      </c>
      <c r="F7930" s="3" t="s">
        <v>8690</v>
      </c>
      <c r="G7930" s="4" t="str">
        <f>HYPERLINK("https://diaocthongthai.com/phuong-nghia-tan-tp-gia-nghia/","Phường Nghĩa Tân")</f>
        <v>Phường Nghĩa Tân</v>
      </c>
    </row>
    <row r="7931" spans="1:7" x14ac:dyDescent="0.25">
      <c r="A7931" s="2">
        <v>7930</v>
      </c>
      <c r="B7931" s="3" t="s">
        <v>45</v>
      </c>
      <c r="C7931" s="4" t="str">
        <f t="shared" si="673"/>
        <v>Đắk Nông</v>
      </c>
      <c r="D7931" s="3" t="s">
        <v>543</v>
      </c>
      <c r="E7931" s="4" t="str">
        <f t="shared" si="674"/>
        <v>Thành phố Gia Nghĩa</v>
      </c>
      <c r="F7931" s="3" t="s">
        <v>8691</v>
      </c>
      <c r="G7931" s="4" t="str">
        <f>HYPERLINK("https://diaocthongthai.com/phuong-nghia-trung-tp-gia-nghia/","Phường Nghĩa Trung")</f>
        <v>Phường Nghĩa Trung</v>
      </c>
    </row>
    <row r="7932" spans="1:7" x14ac:dyDescent="0.25">
      <c r="A7932" s="2">
        <v>7931</v>
      </c>
      <c r="B7932" s="3" t="s">
        <v>45</v>
      </c>
      <c r="C7932" s="4" t="str">
        <f t="shared" si="673"/>
        <v>Đắk Nông</v>
      </c>
      <c r="D7932" s="3" t="s">
        <v>543</v>
      </c>
      <c r="E7932" s="4" t="str">
        <f t="shared" si="674"/>
        <v>Thành phố Gia Nghĩa</v>
      </c>
      <c r="F7932" s="3" t="s">
        <v>8692</v>
      </c>
      <c r="G7932" s="4" t="str">
        <f>HYPERLINK("https://diaocthongthai.com/xa-dak-r-moan-tp-gia-nghia/","Xã Đăk R'Moan")</f>
        <v>Xã Đăk R'Moan</v>
      </c>
    </row>
    <row r="7933" spans="1:7" x14ac:dyDescent="0.25">
      <c r="A7933" s="2">
        <v>7932</v>
      </c>
      <c r="B7933" s="3" t="s">
        <v>45</v>
      </c>
      <c r="C7933" s="4" t="str">
        <f t="shared" si="673"/>
        <v>Đắk Nông</v>
      </c>
      <c r="D7933" s="3" t="s">
        <v>543</v>
      </c>
      <c r="E7933" s="4" t="str">
        <f t="shared" si="674"/>
        <v>Thành phố Gia Nghĩa</v>
      </c>
      <c r="F7933" s="3" t="s">
        <v>8693</v>
      </c>
      <c r="G7933" s="4" t="str">
        <f>HYPERLINK("https://diaocthongthai.com/phuong-quang-thanh-tp-gia-nghia/","Phường Quảng Thành")</f>
        <v>Phường Quảng Thành</v>
      </c>
    </row>
    <row r="7934" spans="1:7" x14ac:dyDescent="0.25">
      <c r="A7934" s="2">
        <v>7933</v>
      </c>
      <c r="B7934" s="3" t="s">
        <v>45</v>
      </c>
      <c r="C7934" s="4" t="str">
        <f t="shared" si="673"/>
        <v>Đắk Nông</v>
      </c>
      <c r="D7934" s="3" t="s">
        <v>543</v>
      </c>
      <c r="E7934" s="4" t="str">
        <f t="shared" si="674"/>
        <v>Thành phố Gia Nghĩa</v>
      </c>
      <c r="F7934" s="3" t="s">
        <v>8694</v>
      </c>
      <c r="G7934" s="4" t="str">
        <f>HYPERLINK("https://diaocthongthai.com/xa-dak-nia-tp-gia-nghia/","Xã Đắk Nia")</f>
        <v>Xã Đắk Nia</v>
      </c>
    </row>
    <row r="7935" spans="1:7" x14ac:dyDescent="0.25">
      <c r="A7935" s="2">
        <v>7934</v>
      </c>
      <c r="B7935" s="3" t="s">
        <v>45</v>
      </c>
      <c r="C7935" s="4" t="str">
        <f t="shared" si="673"/>
        <v>Đắk Nông</v>
      </c>
      <c r="D7935" s="3" t="s">
        <v>544</v>
      </c>
      <c r="E7935" s="4" t="str">
        <f t="shared" ref="E7935:E7941" si="675">HYPERLINK("https://diaocthongthai.com/ban-do-huyen-dak-glong-dak-nong/","Huyện Đăk Glong")</f>
        <v>Huyện Đăk Glong</v>
      </c>
      <c r="F7935" s="3" t="s">
        <v>8695</v>
      </c>
      <c r="G7935" s="4" t="str">
        <f>HYPERLINK("https://diaocthongthai.com/xa-quang-son-dak-glong/","Xã Quảng Sơn")</f>
        <v>Xã Quảng Sơn</v>
      </c>
    </row>
    <row r="7936" spans="1:7" x14ac:dyDescent="0.25">
      <c r="A7936" s="2">
        <v>7935</v>
      </c>
      <c r="B7936" s="3" t="s">
        <v>45</v>
      </c>
      <c r="C7936" s="4" t="str">
        <f t="shared" si="673"/>
        <v>Đắk Nông</v>
      </c>
      <c r="D7936" s="3" t="s">
        <v>544</v>
      </c>
      <c r="E7936" s="4" t="str">
        <f t="shared" si="675"/>
        <v>Huyện Đăk Glong</v>
      </c>
      <c r="F7936" s="3" t="s">
        <v>8696</v>
      </c>
      <c r="G7936" s="4" t="str">
        <f>HYPERLINK("https://diaocthongthai.com/xa-quang-hoa-dak-glong/","Xã Quảng Hoà")</f>
        <v>Xã Quảng Hoà</v>
      </c>
    </row>
    <row r="7937" spans="1:7" x14ac:dyDescent="0.25">
      <c r="A7937" s="2">
        <v>7936</v>
      </c>
      <c r="B7937" s="3" t="s">
        <v>45</v>
      </c>
      <c r="C7937" s="4" t="str">
        <f t="shared" si="673"/>
        <v>Đắk Nông</v>
      </c>
      <c r="D7937" s="3" t="s">
        <v>544</v>
      </c>
      <c r="E7937" s="4" t="str">
        <f t="shared" si="675"/>
        <v>Huyện Đăk Glong</v>
      </c>
      <c r="F7937" s="3" t="s">
        <v>8697</v>
      </c>
      <c r="G7937" s="4" t="str">
        <f>HYPERLINK("https://diaocthongthai.com/xa-dak-ha-dak-glong/","Xã Đắk Ha")</f>
        <v>Xã Đắk Ha</v>
      </c>
    </row>
    <row r="7938" spans="1:7" x14ac:dyDescent="0.25">
      <c r="A7938" s="2">
        <v>7937</v>
      </c>
      <c r="B7938" s="3" t="s">
        <v>45</v>
      </c>
      <c r="C7938" s="4" t="str">
        <f t="shared" si="673"/>
        <v>Đắk Nông</v>
      </c>
      <c r="D7938" s="3" t="s">
        <v>544</v>
      </c>
      <c r="E7938" s="4" t="str">
        <f t="shared" si="675"/>
        <v>Huyện Đăk Glong</v>
      </c>
      <c r="F7938" s="3" t="s">
        <v>8698</v>
      </c>
      <c r="G7938" s="4" t="str">
        <f>HYPERLINK("https://diaocthongthai.com/xa-dak-r-mang-dak-glong/","Xã Đắk R'Măng")</f>
        <v>Xã Đắk R'Măng</v>
      </c>
    </row>
    <row r="7939" spans="1:7" x14ac:dyDescent="0.25">
      <c r="A7939" s="2">
        <v>7938</v>
      </c>
      <c r="B7939" s="3" t="s">
        <v>45</v>
      </c>
      <c r="C7939" s="4" t="str">
        <f t="shared" si="673"/>
        <v>Đắk Nông</v>
      </c>
      <c r="D7939" s="3" t="s">
        <v>544</v>
      </c>
      <c r="E7939" s="4" t="str">
        <f t="shared" si="675"/>
        <v>Huyện Đăk Glong</v>
      </c>
      <c r="F7939" s="3" t="s">
        <v>8699</v>
      </c>
      <c r="G7939" s="4" t="str">
        <f>HYPERLINK("https://diaocthongthai.com/xa-quang-khe-dak-glong/","Xã Quảng Khê")</f>
        <v>Xã Quảng Khê</v>
      </c>
    </row>
    <row r="7940" spans="1:7" x14ac:dyDescent="0.25">
      <c r="A7940" s="2">
        <v>7939</v>
      </c>
      <c r="B7940" s="3" t="s">
        <v>45</v>
      </c>
      <c r="C7940" s="4" t="str">
        <f t="shared" si="673"/>
        <v>Đắk Nông</v>
      </c>
      <c r="D7940" s="3" t="s">
        <v>544</v>
      </c>
      <c r="E7940" s="4" t="str">
        <f t="shared" si="675"/>
        <v>Huyện Đăk Glong</v>
      </c>
      <c r="F7940" s="3" t="s">
        <v>8700</v>
      </c>
      <c r="G7940" s="4" t="str">
        <f>HYPERLINK("https://diaocthongthai.com/xa-dak-plao-dak-glong/","Xã Đắk Plao")</f>
        <v>Xã Đắk Plao</v>
      </c>
    </row>
    <row r="7941" spans="1:7" x14ac:dyDescent="0.25">
      <c r="A7941" s="2">
        <v>7940</v>
      </c>
      <c r="B7941" s="3" t="s">
        <v>45</v>
      </c>
      <c r="C7941" s="4" t="str">
        <f t="shared" si="673"/>
        <v>Đắk Nông</v>
      </c>
      <c r="D7941" s="3" t="s">
        <v>544</v>
      </c>
      <c r="E7941" s="4" t="str">
        <f t="shared" si="675"/>
        <v>Huyện Đăk Glong</v>
      </c>
      <c r="F7941" s="3" t="s">
        <v>8701</v>
      </c>
      <c r="G7941" s="4" t="str">
        <f>HYPERLINK("https://diaocthongthai.com/xa-dak-som-dak-glong/","Xã Đắk Som")</f>
        <v>Xã Đắk Som</v>
      </c>
    </row>
    <row r="7942" spans="1:7" x14ac:dyDescent="0.25">
      <c r="A7942" s="2">
        <v>7941</v>
      </c>
      <c r="B7942" s="3" t="s">
        <v>45</v>
      </c>
      <c r="C7942" s="4" t="str">
        <f t="shared" si="673"/>
        <v>Đắk Nông</v>
      </c>
      <c r="D7942" s="3" t="s">
        <v>545</v>
      </c>
      <c r="E7942" s="4" t="str">
        <f t="shared" ref="E7942:E7949" si="676">HYPERLINK("https://diaocthongthai.com/ban-do-huyen-cu-jut-dak-nong/","Huyện Cư Jút")</f>
        <v>Huyện Cư Jút</v>
      </c>
      <c r="F7942" s="3" t="s">
        <v>8702</v>
      </c>
      <c r="G7942" s="4" t="str">
        <f>HYPERLINK("https://diaocthongthai.com/thi-tran-ea-t-ling-cu-jut/","Thị trấn Ea T'Ling")</f>
        <v>Thị trấn Ea T'Ling</v>
      </c>
    </row>
    <row r="7943" spans="1:7" x14ac:dyDescent="0.25">
      <c r="A7943" s="2">
        <v>7942</v>
      </c>
      <c r="B7943" s="3" t="s">
        <v>45</v>
      </c>
      <c r="C7943" s="4" t="str">
        <f t="shared" si="673"/>
        <v>Đắk Nông</v>
      </c>
      <c r="D7943" s="3" t="s">
        <v>545</v>
      </c>
      <c r="E7943" s="4" t="str">
        <f t="shared" si="676"/>
        <v>Huyện Cư Jút</v>
      </c>
      <c r="F7943" s="3" t="s">
        <v>8703</v>
      </c>
      <c r="G7943" s="4" t="str">
        <f>HYPERLINK("https://diaocthongthai.com/xa-dak-wil-cu-jut/","Xã Đắk Wil")</f>
        <v>Xã Đắk Wil</v>
      </c>
    </row>
    <row r="7944" spans="1:7" x14ac:dyDescent="0.25">
      <c r="A7944" s="2">
        <v>7943</v>
      </c>
      <c r="B7944" s="3" t="s">
        <v>45</v>
      </c>
      <c r="C7944" s="4" t="str">
        <f t="shared" si="673"/>
        <v>Đắk Nông</v>
      </c>
      <c r="D7944" s="3" t="s">
        <v>545</v>
      </c>
      <c r="E7944" s="4" t="str">
        <f t="shared" si="676"/>
        <v>Huyện Cư Jút</v>
      </c>
      <c r="F7944" s="3" t="s">
        <v>8704</v>
      </c>
      <c r="G7944" s="4" t="str">
        <f>HYPERLINK("https://diaocthongthai.com/xa-ea-po-cu-jut/","Xã Ea Pô")</f>
        <v>Xã Ea Pô</v>
      </c>
    </row>
    <row r="7945" spans="1:7" x14ac:dyDescent="0.25">
      <c r="A7945" s="2">
        <v>7944</v>
      </c>
      <c r="B7945" s="3" t="s">
        <v>45</v>
      </c>
      <c r="C7945" s="4" t="str">
        <f t="shared" si="673"/>
        <v>Đắk Nông</v>
      </c>
      <c r="D7945" s="3" t="s">
        <v>545</v>
      </c>
      <c r="E7945" s="4" t="str">
        <f t="shared" si="676"/>
        <v>Huyện Cư Jút</v>
      </c>
      <c r="F7945" s="3" t="s">
        <v>8705</v>
      </c>
      <c r="G7945" s="4" t="str">
        <f>HYPERLINK("https://diaocthongthai.com/xa-nam-dong-cu-jut/","Xã Nam Dong")</f>
        <v>Xã Nam Dong</v>
      </c>
    </row>
    <row r="7946" spans="1:7" x14ac:dyDescent="0.25">
      <c r="A7946" s="2">
        <v>7945</v>
      </c>
      <c r="B7946" s="3" t="s">
        <v>45</v>
      </c>
      <c r="C7946" s="4" t="str">
        <f t="shared" si="673"/>
        <v>Đắk Nông</v>
      </c>
      <c r="D7946" s="3" t="s">
        <v>545</v>
      </c>
      <c r="E7946" s="4" t="str">
        <f t="shared" si="676"/>
        <v>Huyện Cư Jút</v>
      </c>
      <c r="F7946" s="3" t="s">
        <v>8706</v>
      </c>
      <c r="G7946" s="4" t="str">
        <f>HYPERLINK("https://diaocthongthai.com/xa-dak-d-rong-cu-jut/","Xã Đắk DRông")</f>
        <v>Xã Đắk DRông</v>
      </c>
    </row>
    <row r="7947" spans="1:7" x14ac:dyDescent="0.25">
      <c r="A7947" s="2">
        <v>7946</v>
      </c>
      <c r="B7947" s="3" t="s">
        <v>45</v>
      </c>
      <c r="C7947" s="4" t="str">
        <f t="shared" si="673"/>
        <v>Đắk Nông</v>
      </c>
      <c r="D7947" s="3" t="s">
        <v>545</v>
      </c>
      <c r="E7947" s="4" t="str">
        <f t="shared" si="676"/>
        <v>Huyện Cư Jút</v>
      </c>
      <c r="F7947" s="3" t="s">
        <v>8707</v>
      </c>
      <c r="G7947" s="4" t="str">
        <f>HYPERLINK("https://diaocthongthai.com/xa-tam-thang-cu-jut/","Xã Tâm Thắng")</f>
        <v>Xã Tâm Thắng</v>
      </c>
    </row>
    <row r="7948" spans="1:7" x14ac:dyDescent="0.25">
      <c r="A7948" s="2">
        <v>7947</v>
      </c>
      <c r="B7948" s="3" t="s">
        <v>45</v>
      </c>
      <c r="C7948" s="4" t="str">
        <f t="shared" si="673"/>
        <v>Đắk Nông</v>
      </c>
      <c r="D7948" s="3" t="s">
        <v>545</v>
      </c>
      <c r="E7948" s="4" t="str">
        <f t="shared" si="676"/>
        <v>Huyện Cư Jút</v>
      </c>
      <c r="F7948" s="3" t="s">
        <v>8708</v>
      </c>
      <c r="G7948" s="4" t="str">
        <f>HYPERLINK("https://diaocthongthai.com/xa-cu-knia-cu-jut/","Xã Cư Knia")</f>
        <v>Xã Cư Knia</v>
      </c>
    </row>
    <row r="7949" spans="1:7" x14ac:dyDescent="0.25">
      <c r="A7949" s="2">
        <v>7948</v>
      </c>
      <c r="B7949" s="3" t="s">
        <v>45</v>
      </c>
      <c r="C7949" s="4" t="str">
        <f t="shared" si="673"/>
        <v>Đắk Nông</v>
      </c>
      <c r="D7949" s="3" t="s">
        <v>545</v>
      </c>
      <c r="E7949" s="4" t="str">
        <f t="shared" si="676"/>
        <v>Huyện Cư Jút</v>
      </c>
      <c r="F7949" s="3" t="s">
        <v>8709</v>
      </c>
      <c r="G7949" s="4" t="str">
        <f>HYPERLINK("https://diaocthongthai.com/xa-truc-son-cu-jut/","Xã Trúc Sơn")</f>
        <v>Xã Trúc Sơn</v>
      </c>
    </row>
    <row r="7950" spans="1:7" x14ac:dyDescent="0.25">
      <c r="A7950" s="2">
        <v>7949</v>
      </c>
      <c r="B7950" s="3" t="s">
        <v>45</v>
      </c>
      <c r="C7950" s="4" t="str">
        <f t="shared" si="673"/>
        <v>Đắk Nông</v>
      </c>
      <c r="D7950" s="3" t="s">
        <v>546</v>
      </c>
      <c r="E7950" s="4" t="str">
        <f t="shared" ref="E7950:E7959" si="677">HYPERLINK("https://diaocthongthai.com/ban-do-huyen-dak-mil-dak-nong/","Huyện Đắk Mil")</f>
        <v>Huyện Đắk Mil</v>
      </c>
      <c r="F7950" s="3" t="s">
        <v>8710</v>
      </c>
      <c r="G7950" s="4" t="str">
        <f>HYPERLINK("https://diaocthongthai.com/thi-tran-dak-mil-dak-mil/","Thị trấn Đắk Mil")</f>
        <v>Thị trấn Đắk Mil</v>
      </c>
    </row>
    <row r="7951" spans="1:7" x14ac:dyDescent="0.25">
      <c r="A7951" s="2">
        <v>7950</v>
      </c>
      <c r="B7951" s="3" t="s">
        <v>45</v>
      </c>
      <c r="C7951" s="4" t="str">
        <f t="shared" si="673"/>
        <v>Đắk Nông</v>
      </c>
      <c r="D7951" s="3" t="s">
        <v>546</v>
      </c>
      <c r="E7951" s="4" t="str">
        <f t="shared" si="677"/>
        <v>Huyện Đắk Mil</v>
      </c>
      <c r="F7951" s="3" t="s">
        <v>8711</v>
      </c>
      <c r="G7951" s="4" t="str">
        <f>HYPERLINK("https://diaocthongthai.com/xa-dak-lao-dak-mil/","Xã  Đắk Lao")</f>
        <v>Xã  Đắk Lao</v>
      </c>
    </row>
    <row r="7952" spans="1:7" x14ac:dyDescent="0.25">
      <c r="A7952" s="2">
        <v>7951</v>
      </c>
      <c r="B7952" s="3" t="s">
        <v>45</v>
      </c>
      <c r="C7952" s="4" t="str">
        <f t="shared" si="673"/>
        <v>Đắk Nông</v>
      </c>
      <c r="D7952" s="3" t="s">
        <v>546</v>
      </c>
      <c r="E7952" s="4" t="str">
        <f t="shared" si="677"/>
        <v>Huyện Đắk Mil</v>
      </c>
      <c r="F7952" s="3" t="s">
        <v>8712</v>
      </c>
      <c r="G7952" s="4" t="str">
        <f>HYPERLINK("https://diaocthongthai.com/xa-dak-r-la-dak-mil/","Xã Đắk R'La")</f>
        <v>Xã Đắk R'La</v>
      </c>
    </row>
    <row r="7953" spans="1:7" x14ac:dyDescent="0.25">
      <c r="A7953" s="2">
        <v>7952</v>
      </c>
      <c r="B7953" s="3" t="s">
        <v>45</v>
      </c>
      <c r="C7953" s="4" t="str">
        <f t="shared" si="673"/>
        <v>Đắk Nông</v>
      </c>
      <c r="D7953" s="3" t="s">
        <v>546</v>
      </c>
      <c r="E7953" s="4" t="str">
        <f t="shared" si="677"/>
        <v>Huyện Đắk Mil</v>
      </c>
      <c r="F7953" s="3" t="s">
        <v>8713</v>
      </c>
      <c r="G7953" s="4" t="str">
        <f>HYPERLINK("https://diaocthongthai.com/xa-dak-gan-dak-mil/","Xã Đắk Gằn")</f>
        <v>Xã Đắk Gằn</v>
      </c>
    </row>
    <row r="7954" spans="1:7" x14ac:dyDescent="0.25">
      <c r="A7954" s="2">
        <v>7953</v>
      </c>
      <c r="B7954" s="3" t="s">
        <v>45</v>
      </c>
      <c r="C7954" s="4" t="str">
        <f t="shared" si="673"/>
        <v>Đắk Nông</v>
      </c>
      <c r="D7954" s="3" t="s">
        <v>546</v>
      </c>
      <c r="E7954" s="4" t="str">
        <f t="shared" si="677"/>
        <v>Huyện Đắk Mil</v>
      </c>
      <c r="F7954" s="3" t="s">
        <v>8714</v>
      </c>
      <c r="G7954" s="4" t="str">
        <f>HYPERLINK("https://diaocthongthai.com/xa-duc-manh-dak-mil/","Xã Đức Mạnh")</f>
        <v>Xã Đức Mạnh</v>
      </c>
    </row>
    <row r="7955" spans="1:7" x14ac:dyDescent="0.25">
      <c r="A7955" s="2">
        <v>7954</v>
      </c>
      <c r="B7955" s="3" t="s">
        <v>45</v>
      </c>
      <c r="C7955" s="4" t="str">
        <f t="shared" si="673"/>
        <v>Đắk Nông</v>
      </c>
      <c r="D7955" s="3" t="s">
        <v>546</v>
      </c>
      <c r="E7955" s="4" t="str">
        <f t="shared" si="677"/>
        <v>Huyện Đắk Mil</v>
      </c>
      <c r="F7955" s="3" t="s">
        <v>8715</v>
      </c>
      <c r="G7955" s="4" t="str">
        <f>HYPERLINK("https://diaocthongthai.com/xa-dak-n-drot-dak-mil/","Xã Đắk N'Drót")</f>
        <v>Xã Đắk N'Drót</v>
      </c>
    </row>
    <row r="7956" spans="1:7" x14ac:dyDescent="0.25">
      <c r="A7956" s="2">
        <v>7955</v>
      </c>
      <c r="B7956" s="3" t="s">
        <v>45</v>
      </c>
      <c r="C7956" s="4" t="str">
        <f t="shared" si="673"/>
        <v>Đắk Nông</v>
      </c>
      <c r="D7956" s="3" t="s">
        <v>546</v>
      </c>
      <c r="E7956" s="4" t="str">
        <f t="shared" si="677"/>
        <v>Huyện Đắk Mil</v>
      </c>
      <c r="F7956" s="3" t="s">
        <v>8716</v>
      </c>
      <c r="G7956" s="4" t="str">
        <f>HYPERLINK("https://diaocthongthai.com/xa-long-son-dak-mil/","Xã Long Sơn")</f>
        <v>Xã Long Sơn</v>
      </c>
    </row>
    <row r="7957" spans="1:7" x14ac:dyDescent="0.25">
      <c r="A7957" s="2">
        <v>7956</v>
      </c>
      <c r="B7957" s="3" t="s">
        <v>45</v>
      </c>
      <c r="C7957" s="4" t="str">
        <f t="shared" si="673"/>
        <v>Đắk Nông</v>
      </c>
      <c r="D7957" s="3" t="s">
        <v>546</v>
      </c>
      <c r="E7957" s="4" t="str">
        <f t="shared" si="677"/>
        <v>Huyện Đắk Mil</v>
      </c>
      <c r="F7957" s="3" t="s">
        <v>8717</v>
      </c>
      <c r="G7957" s="4" t="str">
        <f>HYPERLINK("https://diaocthongthai.com/xa-dak-sak-dak-mil/","Xã Đắk Sắk")</f>
        <v>Xã Đắk Sắk</v>
      </c>
    </row>
    <row r="7958" spans="1:7" x14ac:dyDescent="0.25">
      <c r="A7958" s="2">
        <v>7957</v>
      </c>
      <c r="B7958" s="3" t="s">
        <v>45</v>
      </c>
      <c r="C7958" s="4" t="str">
        <f t="shared" si="673"/>
        <v>Đắk Nông</v>
      </c>
      <c r="D7958" s="3" t="s">
        <v>546</v>
      </c>
      <c r="E7958" s="4" t="str">
        <f t="shared" si="677"/>
        <v>Huyện Đắk Mil</v>
      </c>
      <c r="F7958" s="3" t="s">
        <v>8718</v>
      </c>
      <c r="G7958" s="4" t="str">
        <f>HYPERLINK("https://diaocthongthai.com/xa-thuan-an-dak-mil/","Xã Thuận An")</f>
        <v>Xã Thuận An</v>
      </c>
    </row>
    <row r="7959" spans="1:7" x14ac:dyDescent="0.25">
      <c r="A7959" s="2">
        <v>7958</v>
      </c>
      <c r="B7959" s="3" t="s">
        <v>45</v>
      </c>
      <c r="C7959" s="4" t="str">
        <f t="shared" ref="C7959:C7990" si="678">HYPERLINK("https://diaocthongthai.com/ban-do-dak-nong/","Đắk Nông")</f>
        <v>Đắk Nông</v>
      </c>
      <c r="D7959" s="3" t="s">
        <v>546</v>
      </c>
      <c r="E7959" s="4" t="str">
        <f t="shared" si="677"/>
        <v>Huyện Đắk Mil</v>
      </c>
      <c r="F7959" s="3" t="s">
        <v>8719</v>
      </c>
      <c r="G7959" s="4" t="str">
        <f>HYPERLINK("https://diaocthongthai.com/xa-duc-minh-dak-mil/","Xã Đức Minh")</f>
        <v>Xã Đức Minh</v>
      </c>
    </row>
    <row r="7960" spans="1:7" x14ac:dyDescent="0.25">
      <c r="A7960" s="2">
        <v>7959</v>
      </c>
      <c r="B7960" s="3" t="s">
        <v>45</v>
      </c>
      <c r="C7960" s="4" t="str">
        <f t="shared" si="678"/>
        <v>Đắk Nông</v>
      </c>
      <c r="D7960" s="3" t="s">
        <v>547</v>
      </c>
      <c r="E7960" s="4" t="str">
        <f t="shared" ref="E7960:E7971" si="679">HYPERLINK("https://diaocthongthai.com/ban-do-huyen-krong-no-dak-nong/","Huyện Krông Nô")</f>
        <v>Huyện Krông Nô</v>
      </c>
      <c r="F7960" s="3" t="s">
        <v>8720</v>
      </c>
      <c r="G7960" s="4" t="str">
        <f>HYPERLINK("https://diaocthongthai.com/thi-tran-dak-mam-krong-no/","Thị trấn Đắk Mâm")</f>
        <v>Thị trấn Đắk Mâm</v>
      </c>
    </row>
    <row r="7961" spans="1:7" x14ac:dyDescent="0.25">
      <c r="A7961" s="2">
        <v>7960</v>
      </c>
      <c r="B7961" s="3" t="s">
        <v>45</v>
      </c>
      <c r="C7961" s="4" t="str">
        <f t="shared" si="678"/>
        <v>Đắk Nông</v>
      </c>
      <c r="D7961" s="3" t="s">
        <v>547</v>
      </c>
      <c r="E7961" s="4" t="str">
        <f t="shared" si="679"/>
        <v>Huyện Krông Nô</v>
      </c>
      <c r="F7961" s="3" t="s">
        <v>8721</v>
      </c>
      <c r="G7961" s="4" t="str">
        <f>HYPERLINK("https://diaocthongthai.com/xa-dak-sor-krong-no/","Xã Đắk Sôr")</f>
        <v>Xã Đắk Sôr</v>
      </c>
    </row>
    <row r="7962" spans="1:7" x14ac:dyDescent="0.25">
      <c r="A7962" s="2">
        <v>7961</v>
      </c>
      <c r="B7962" s="3" t="s">
        <v>45</v>
      </c>
      <c r="C7962" s="4" t="str">
        <f t="shared" si="678"/>
        <v>Đắk Nông</v>
      </c>
      <c r="D7962" s="3" t="s">
        <v>547</v>
      </c>
      <c r="E7962" s="4" t="str">
        <f t="shared" si="679"/>
        <v>Huyện Krông Nô</v>
      </c>
      <c r="F7962" s="3" t="s">
        <v>8722</v>
      </c>
      <c r="G7962" s="4" t="str">
        <f>HYPERLINK("https://diaocthongthai.com/xa-nam-xuan-krong-no/","Xã Nam Xuân")</f>
        <v>Xã Nam Xuân</v>
      </c>
    </row>
    <row r="7963" spans="1:7" x14ac:dyDescent="0.25">
      <c r="A7963" s="2">
        <v>7962</v>
      </c>
      <c r="B7963" s="3" t="s">
        <v>45</v>
      </c>
      <c r="C7963" s="4" t="str">
        <f t="shared" si="678"/>
        <v>Đắk Nông</v>
      </c>
      <c r="D7963" s="3" t="s">
        <v>547</v>
      </c>
      <c r="E7963" s="4" t="str">
        <f t="shared" si="679"/>
        <v>Huyện Krông Nô</v>
      </c>
      <c r="F7963" s="3" t="s">
        <v>8723</v>
      </c>
      <c r="G7963" s="4" t="str">
        <f>HYPERLINK("https://diaocthongthai.com/xa-buon-choah-krong-no/","Xã Buôn Choah")</f>
        <v>Xã Buôn Choah</v>
      </c>
    </row>
    <row r="7964" spans="1:7" x14ac:dyDescent="0.25">
      <c r="A7964" s="2">
        <v>7963</v>
      </c>
      <c r="B7964" s="3" t="s">
        <v>45</v>
      </c>
      <c r="C7964" s="4" t="str">
        <f t="shared" si="678"/>
        <v>Đắk Nông</v>
      </c>
      <c r="D7964" s="3" t="s">
        <v>547</v>
      </c>
      <c r="E7964" s="4" t="str">
        <f t="shared" si="679"/>
        <v>Huyện Krông Nô</v>
      </c>
      <c r="F7964" s="3" t="s">
        <v>8724</v>
      </c>
      <c r="G7964" s="4" t="str">
        <f>HYPERLINK("https://diaocthongthai.com/xa-nam-da-krong-no/","Xã Nam Đà")</f>
        <v>Xã Nam Đà</v>
      </c>
    </row>
    <row r="7965" spans="1:7" x14ac:dyDescent="0.25">
      <c r="A7965" s="2">
        <v>7964</v>
      </c>
      <c r="B7965" s="3" t="s">
        <v>45</v>
      </c>
      <c r="C7965" s="4" t="str">
        <f t="shared" si="678"/>
        <v>Đắk Nông</v>
      </c>
      <c r="D7965" s="3" t="s">
        <v>547</v>
      </c>
      <c r="E7965" s="4" t="str">
        <f t="shared" si="679"/>
        <v>Huyện Krông Nô</v>
      </c>
      <c r="F7965" s="3" t="s">
        <v>8725</v>
      </c>
      <c r="G7965" s="4" t="str">
        <f>HYPERLINK("https://diaocthongthai.com/xa-tan-thanh-krong-no/","Xã Tân Thành")</f>
        <v>Xã Tân Thành</v>
      </c>
    </row>
    <row r="7966" spans="1:7" x14ac:dyDescent="0.25">
      <c r="A7966" s="2">
        <v>7965</v>
      </c>
      <c r="B7966" s="3" t="s">
        <v>45</v>
      </c>
      <c r="C7966" s="4" t="str">
        <f t="shared" si="678"/>
        <v>Đắk Nông</v>
      </c>
      <c r="D7966" s="3" t="s">
        <v>547</v>
      </c>
      <c r="E7966" s="4" t="str">
        <f t="shared" si="679"/>
        <v>Huyện Krông Nô</v>
      </c>
      <c r="F7966" s="3" t="s">
        <v>8726</v>
      </c>
      <c r="G7966" s="4" t="str">
        <f>HYPERLINK("https://diaocthongthai.com/xa-dak-dro-krong-no/","Xã Đắk Drô")</f>
        <v>Xã Đắk Drô</v>
      </c>
    </row>
    <row r="7967" spans="1:7" x14ac:dyDescent="0.25">
      <c r="A7967" s="2">
        <v>7966</v>
      </c>
      <c r="B7967" s="3" t="s">
        <v>45</v>
      </c>
      <c r="C7967" s="4" t="str">
        <f t="shared" si="678"/>
        <v>Đắk Nông</v>
      </c>
      <c r="D7967" s="3" t="s">
        <v>547</v>
      </c>
      <c r="E7967" s="4" t="str">
        <f t="shared" si="679"/>
        <v>Huyện Krông Nô</v>
      </c>
      <c r="F7967" s="3" t="s">
        <v>8727</v>
      </c>
      <c r="G7967" s="4" t="str">
        <f>HYPERLINK("https://diaocthongthai.com/xa-nam-nung-krong-no/","Xã Nâm Nung")</f>
        <v>Xã Nâm Nung</v>
      </c>
    </row>
    <row r="7968" spans="1:7" x14ac:dyDescent="0.25">
      <c r="A7968" s="2">
        <v>7967</v>
      </c>
      <c r="B7968" s="3" t="s">
        <v>45</v>
      </c>
      <c r="C7968" s="4" t="str">
        <f t="shared" si="678"/>
        <v>Đắk Nông</v>
      </c>
      <c r="D7968" s="3" t="s">
        <v>547</v>
      </c>
      <c r="E7968" s="4" t="str">
        <f t="shared" si="679"/>
        <v>Huyện Krông Nô</v>
      </c>
      <c r="F7968" s="3" t="s">
        <v>8728</v>
      </c>
      <c r="G7968" s="4" t="str">
        <f>HYPERLINK("https://diaocthongthai.com/xa-duc-xuyen-krong-no/","Xã Đức Xuyên")</f>
        <v>Xã Đức Xuyên</v>
      </c>
    </row>
    <row r="7969" spans="1:7" x14ac:dyDescent="0.25">
      <c r="A7969" s="2">
        <v>7968</v>
      </c>
      <c r="B7969" s="3" t="s">
        <v>45</v>
      </c>
      <c r="C7969" s="4" t="str">
        <f t="shared" si="678"/>
        <v>Đắk Nông</v>
      </c>
      <c r="D7969" s="3" t="s">
        <v>547</v>
      </c>
      <c r="E7969" s="4" t="str">
        <f t="shared" si="679"/>
        <v>Huyện Krông Nô</v>
      </c>
      <c r="F7969" s="3" t="s">
        <v>8729</v>
      </c>
      <c r="G7969" s="4" t="str">
        <f>HYPERLINK("https://diaocthongthai.com/xa-dak-nang-krong-no/","Xã Đắk Nang")</f>
        <v>Xã Đắk Nang</v>
      </c>
    </row>
    <row r="7970" spans="1:7" x14ac:dyDescent="0.25">
      <c r="A7970" s="2">
        <v>7969</v>
      </c>
      <c r="B7970" s="3" t="s">
        <v>45</v>
      </c>
      <c r="C7970" s="4" t="str">
        <f t="shared" si="678"/>
        <v>Đắk Nông</v>
      </c>
      <c r="D7970" s="3" t="s">
        <v>547</v>
      </c>
      <c r="E7970" s="4" t="str">
        <f t="shared" si="679"/>
        <v>Huyện Krông Nô</v>
      </c>
      <c r="F7970" s="3" t="s">
        <v>8730</v>
      </c>
      <c r="G7970" s="4" t="str">
        <f>HYPERLINK("https://diaocthongthai.com/xa-quang-phu-krong-no/","Xã Quảng Phú")</f>
        <v>Xã Quảng Phú</v>
      </c>
    </row>
    <row r="7971" spans="1:7" x14ac:dyDescent="0.25">
      <c r="A7971" s="2">
        <v>7970</v>
      </c>
      <c r="B7971" s="3" t="s">
        <v>45</v>
      </c>
      <c r="C7971" s="4" t="str">
        <f t="shared" si="678"/>
        <v>Đắk Nông</v>
      </c>
      <c r="D7971" s="3" t="s">
        <v>547</v>
      </c>
      <c r="E7971" s="4" t="str">
        <f t="shared" si="679"/>
        <v>Huyện Krông Nô</v>
      </c>
      <c r="F7971" s="3" t="s">
        <v>8731</v>
      </c>
      <c r="G7971" s="4" t="str">
        <f>HYPERLINK("https://diaocthongthai.com/xa-nam-n-dir-krong-no/","Xã Nâm N'Đir")</f>
        <v>Xã Nâm N'Đir</v>
      </c>
    </row>
    <row r="7972" spans="1:7" x14ac:dyDescent="0.25">
      <c r="A7972" s="2">
        <v>7971</v>
      </c>
      <c r="B7972" s="3" t="s">
        <v>45</v>
      </c>
      <c r="C7972" s="4" t="str">
        <f t="shared" si="678"/>
        <v>Đắk Nông</v>
      </c>
      <c r="D7972" s="3" t="s">
        <v>548</v>
      </c>
      <c r="E7972" s="4" t="str">
        <f t="shared" ref="E7972:E7980" si="680">HYPERLINK("https://diaocthongthai.com/ban-do-huyen-dak-song-dak-nong/","Huyện Đắk Song")</f>
        <v>Huyện Đắk Song</v>
      </c>
      <c r="F7972" s="3" t="s">
        <v>8732</v>
      </c>
      <c r="G7972" s="4" t="str">
        <f>HYPERLINK("https://diaocthongthai.com/thi-tran-duc-an-dak-song/","Thị trấn Đức An")</f>
        <v>Thị trấn Đức An</v>
      </c>
    </row>
    <row r="7973" spans="1:7" x14ac:dyDescent="0.25">
      <c r="A7973" s="2">
        <v>7972</v>
      </c>
      <c r="B7973" s="3" t="s">
        <v>45</v>
      </c>
      <c r="C7973" s="4" t="str">
        <f t="shared" si="678"/>
        <v>Đắk Nông</v>
      </c>
      <c r="D7973" s="3" t="s">
        <v>548</v>
      </c>
      <c r="E7973" s="4" t="str">
        <f t="shared" si="680"/>
        <v>Huyện Đắk Song</v>
      </c>
      <c r="F7973" s="3" t="s">
        <v>8733</v>
      </c>
      <c r="G7973" s="4" t="str">
        <f>HYPERLINK("https://diaocthongthai.com/xa-dak-mol-dak-song/","Xã Đắk Môl")</f>
        <v>Xã Đắk Môl</v>
      </c>
    </row>
    <row r="7974" spans="1:7" x14ac:dyDescent="0.25">
      <c r="A7974" s="2">
        <v>7973</v>
      </c>
      <c r="B7974" s="3" t="s">
        <v>45</v>
      </c>
      <c r="C7974" s="4" t="str">
        <f t="shared" si="678"/>
        <v>Đắk Nông</v>
      </c>
      <c r="D7974" s="3" t="s">
        <v>548</v>
      </c>
      <c r="E7974" s="4" t="str">
        <f t="shared" si="680"/>
        <v>Huyện Đắk Song</v>
      </c>
      <c r="F7974" s="3" t="s">
        <v>8734</v>
      </c>
      <c r="G7974" s="4" t="str">
        <f>HYPERLINK("https://diaocthongthai.com/xa-dak-hoa-dak-song/","Xã Đắk Hòa")</f>
        <v>Xã Đắk Hòa</v>
      </c>
    </row>
    <row r="7975" spans="1:7" x14ac:dyDescent="0.25">
      <c r="A7975" s="2">
        <v>7974</v>
      </c>
      <c r="B7975" s="3" t="s">
        <v>45</v>
      </c>
      <c r="C7975" s="4" t="str">
        <f t="shared" si="678"/>
        <v>Đắk Nông</v>
      </c>
      <c r="D7975" s="3" t="s">
        <v>548</v>
      </c>
      <c r="E7975" s="4" t="str">
        <f t="shared" si="680"/>
        <v>Huyện Đắk Song</v>
      </c>
      <c r="F7975" s="3" t="s">
        <v>8735</v>
      </c>
      <c r="G7975" s="4" t="str">
        <f>HYPERLINK("https://diaocthongthai.com/xa-nam-binh-dak-song/","Xã Nam Bình")</f>
        <v>Xã Nam Bình</v>
      </c>
    </row>
    <row r="7976" spans="1:7" x14ac:dyDescent="0.25">
      <c r="A7976" s="2">
        <v>7975</v>
      </c>
      <c r="B7976" s="3" t="s">
        <v>45</v>
      </c>
      <c r="C7976" s="4" t="str">
        <f t="shared" si="678"/>
        <v>Đắk Nông</v>
      </c>
      <c r="D7976" s="3" t="s">
        <v>548</v>
      </c>
      <c r="E7976" s="4" t="str">
        <f t="shared" si="680"/>
        <v>Huyện Đắk Song</v>
      </c>
      <c r="F7976" s="3" t="s">
        <v>8736</v>
      </c>
      <c r="G7976" s="4" t="str">
        <f>HYPERLINK("https://diaocthongthai.com/xa-thuan-ha-dak-song/","Xã Thuận Hà")</f>
        <v>Xã Thuận Hà</v>
      </c>
    </row>
    <row r="7977" spans="1:7" x14ac:dyDescent="0.25">
      <c r="A7977" s="2">
        <v>7976</v>
      </c>
      <c r="B7977" s="3" t="s">
        <v>45</v>
      </c>
      <c r="C7977" s="4" t="str">
        <f t="shared" si="678"/>
        <v>Đắk Nông</v>
      </c>
      <c r="D7977" s="3" t="s">
        <v>548</v>
      </c>
      <c r="E7977" s="4" t="str">
        <f t="shared" si="680"/>
        <v>Huyện Đắk Song</v>
      </c>
      <c r="F7977" s="3" t="s">
        <v>8737</v>
      </c>
      <c r="G7977" s="4" t="str">
        <f>HYPERLINK("https://diaocthongthai.com/xa-thuan-hanh-dak-song/","Xã Thuận Hạnh")</f>
        <v>Xã Thuận Hạnh</v>
      </c>
    </row>
    <row r="7978" spans="1:7" x14ac:dyDescent="0.25">
      <c r="A7978" s="2">
        <v>7977</v>
      </c>
      <c r="B7978" s="3" t="s">
        <v>45</v>
      </c>
      <c r="C7978" s="4" t="str">
        <f t="shared" si="678"/>
        <v>Đắk Nông</v>
      </c>
      <c r="D7978" s="3" t="s">
        <v>548</v>
      </c>
      <c r="E7978" s="4" t="str">
        <f t="shared" si="680"/>
        <v>Huyện Đắk Song</v>
      </c>
      <c r="F7978" s="3" t="s">
        <v>8738</v>
      </c>
      <c r="G7978" s="4" t="str">
        <f>HYPERLINK("https://diaocthongthai.com/xa-dak-n-drung-dak-song/","Xã Đắk N'Dung")</f>
        <v>Xã Đắk N'Dung</v>
      </c>
    </row>
    <row r="7979" spans="1:7" x14ac:dyDescent="0.25">
      <c r="A7979" s="2">
        <v>7978</v>
      </c>
      <c r="B7979" s="3" t="s">
        <v>45</v>
      </c>
      <c r="C7979" s="4" t="str">
        <f t="shared" si="678"/>
        <v>Đắk Nông</v>
      </c>
      <c r="D7979" s="3" t="s">
        <v>548</v>
      </c>
      <c r="E7979" s="4" t="str">
        <f t="shared" si="680"/>
        <v>Huyện Đắk Song</v>
      </c>
      <c r="F7979" s="3" t="s">
        <v>8739</v>
      </c>
      <c r="G7979" s="4" t="str">
        <f>HYPERLINK("https://diaocthongthai.com/xa-nam-n-jang-dak-song/","Xã Nâm N'Jang")</f>
        <v>Xã Nâm N'Jang</v>
      </c>
    </row>
    <row r="7980" spans="1:7" x14ac:dyDescent="0.25">
      <c r="A7980" s="2">
        <v>7979</v>
      </c>
      <c r="B7980" s="3" t="s">
        <v>45</v>
      </c>
      <c r="C7980" s="4" t="str">
        <f t="shared" si="678"/>
        <v>Đắk Nông</v>
      </c>
      <c r="D7980" s="3" t="s">
        <v>548</v>
      </c>
      <c r="E7980" s="4" t="str">
        <f t="shared" si="680"/>
        <v>Huyện Đắk Song</v>
      </c>
      <c r="F7980" s="3" t="s">
        <v>8740</v>
      </c>
      <c r="G7980" s="4" t="str">
        <f>HYPERLINK("https://diaocthongthai.com/xa-truong-xuan-dak-song/","Xã Trường Xuân")</f>
        <v>Xã Trường Xuân</v>
      </c>
    </row>
    <row r="7981" spans="1:7" x14ac:dyDescent="0.25">
      <c r="A7981" s="2">
        <v>7980</v>
      </c>
      <c r="B7981" s="3" t="s">
        <v>45</v>
      </c>
      <c r="C7981" s="4" t="str">
        <f t="shared" si="678"/>
        <v>Đắk Nông</v>
      </c>
      <c r="D7981" s="3" t="s">
        <v>549</v>
      </c>
      <c r="E7981" s="4" t="str">
        <f t="shared" ref="E7981:E7991" si="681">HYPERLINK("https://diaocthongthai.com/ban-do-huyen-dak-r'lap-dak-nong/","Huyện Đắk R'Lấp")</f>
        <v>Huyện Đắk R'Lấp</v>
      </c>
      <c r="F7981" s="3" t="s">
        <v>8741</v>
      </c>
      <c r="G7981" s="4" t="str">
        <f>HYPERLINK("https://diaocthongthai.com/thi-tran-kien-duc-dak-rlap/","Thị trấn Kiến Đức")</f>
        <v>Thị trấn Kiến Đức</v>
      </c>
    </row>
    <row r="7982" spans="1:7" x14ac:dyDescent="0.25">
      <c r="A7982" s="2">
        <v>7981</v>
      </c>
      <c r="B7982" s="3" t="s">
        <v>45</v>
      </c>
      <c r="C7982" s="4" t="str">
        <f t="shared" si="678"/>
        <v>Đắk Nông</v>
      </c>
      <c r="D7982" s="3" t="s">
        <v>549</v>
      </c>
      <c r="E7982" s="4" t="str">
        <f t="shared" si="681"/>
        <v>Huyện Đắk R'Lấp</v>
      </c>
      <c r="F7982" s="3" t="s">
        <v>8742</v>
      </c>
      <c r="G7982" s="4" t="str">
        <f>HYPERLINK("https://diaocthongthai.com/xa-quang-tin-dak-rlap/","Xã Quảng Tín")</f>
        <v>Xã Quảng Tín</v>
      </c>
    </row>
    <row r="7983" spans="1:7" x14ac:dyDescent="0.25">
      <c r="A7983" s="2">
        <v>7982</v>
      </c>
      <c r="B7983" s="3" t="s">
        <v>45</v>
      </c>
      <c r="C7983" s="4" t="str">
        <f t="shared" si="678"/>
        <v>Đắk Nông</v>
      </c>
      <c r="D7983" s="3" t="s">
        <v>549</v>
      </c>
      <c r="E7983" s="4" t="str">
        <f t="shared" si="681"/>
        <v>Huyện Đắk R'Lấp</v>
      </c>
      <c r="F7983" s="3" t="s">
        <v>8743</v>
      </c>
      <c r="G7983" s="4" t="str">
        <f>HYPERLINK("https://diaocthongthai.com/xa-dak-wer-dak-rlap/","Xã Đắk Wer")</f>
        <v>Xã Đắk Wer</v>
      </c>
    </row>
    <row r="7984" spans="1:7" x14ac:dyDescent="0.25">
      <c r="A7984" s="2">
        <v>7983</v>
      </c>
      <c r="B7984" s="3" t="s">
        <v>45</v>
      </c>
      <c r="C7984" s="4" t="str">
        <f t="shared" si="678"/>
        <v>Đắk Nông</v>
      </c>
      <c r="D7984" s="3" t="s">
        <v>549</v>
      </c>
      <c r="E7984" s="4" t="str">
        <f t="shared" si="681"/>
        <v>Huyện Đắk R'Lấp</v>
      </c>
      <c r="F7984" s="3" t="s">
        <v>8744</v>
      </c>
      <c r="G7984" s="4" t="str">
        <f>HYPERLINK("https://diaocthongthai.com/xa-nhan-co-dak-rlap/","Xã Nhân Cơ")</f>
        <v>Xã Nhân Cơ</v>
      </c>
    </row>
    <row r="7985" spans="1:7" x14ac:dyDescent="0.25">
      <c r="A7985" s="2">
        <v>7984</v>
      </c>
      <c r="B7985" s="3" t="s">
        <v>45</v>
      </c>
      <c r="C7985" s="4" t="str">
        <f t="shared" si="678"/>
        <v>Đắk Nông</v>
      </c>
      <c r="D7985" s="3" t="s">
        <v>549</v>
      </c>
      <c r="E7985" s="4" t="str">
        <f t="shared" si="681"/>
        <v>Huyện Đắk R'Lấp</v>
      </c>
      <c r="F7985" s="3" t="s">
        <v>8745</v>
      </c>
      <c r="G7985" s="4" t="str">
        <f>HYPERLINK("https://diaocthongthai.com/xa-kien-thanh-dak-rlap/","Xã Kiến Thành")</f>
        <v>Xã Kiến Thành</v>
      </c>
    </row>
    <row r="7986" spans="1:7" x14ac:dyDescent="0.25">
      <c r="A7986" s="2">
        <v>7985</v>
      </c>
      <c r="B7986" s="3" t="s">
        <v>45</v>
      </c>
      <c r="C7986" s="4" t="str">
        <f t="shared" si="678"/>
        <v>Đắk Nông</v>
      </c>
      <c r="D7986" s="3" t="s">
        <v>549</v>
      </c>
      <c r="E7986" s="4" t="str">
        <f t="shared" si="681"/>
        <v>Huyện Đắk R'Lấp</v>
      </c>
      <c r="F7986" s="3" t="s">
        <v>8746</v>
      </c>
      <c r="G7986" s="4" t="str">
        <f>HYPERLINK("https://diaocthongthai.com/xa-nghia-thang-dak-rlap/","Xã Nghĩa Thắng")</f>
        <v>Xã Nghĩa Thắng</v>
      </c>
    </row>
    <row r="7987" spans="1:7" x14ac:dyDescent="0.25">
      <c r="A7987" s="2">
        <v>7986</v>
      </c>
      <c r="B7987" s="3" t="s">
        <v>45</v>
      </c>
      <c r="C7987" s="4" t="str">
        <f t="shared" si="678"/>
        <v>Đắk Nông</v>
      </c>
      <c r="D7987" s="3" t="s">
        <v>549</v>
      </c>
      <c r="E7987" s="4" t="str">
        <f t="shared" si="681"/>
        <v>Huyện Đắk R'Lấp</v>
      </c>
      <c r="F7987" s="3" t="s">
        <v>8747</v>
      </c>
      <c r="G7987" s="4" t="str">
        <f>HYPERLINK("https://diaocthongthai.com/xa-dao-nghia-dak-rlap/","Xã Đạo Nghĩa")</f>
        <v>Xã Đạo Nghĩa</v>
      </c>
    </row>
    <row r="7988" spans="1:7" x14ac:dyDescent="0.25">
      <c r="A7988" s="2">
        <v>7987</v>
      </c>
      <c r="B7988" s="3" t="s">
        <v>45</v>
      </c>
      <c r="C7988" s="4" t="str">
        <f t="shared" si="678"/>
        <v>Đắk Nông</v>
      </c>
      <c r="D7988" s="3" t="s">
        <v>549</v>
      </c>
      <c r="E7988" s="4" t="str">
        <f t="shared" si="681"/>
        <v>Huyện Đắk R'Lấp</v>
      </c>
      <c r="F7988" s="3" t="s">
        <v>8748</v>
      </c>
      <c r="G7988" s="4" t="str">
        <f>HYPERLINK("https://diaocthongthai.com/xa-dak-sin-dak-rlap/","Xã Đắk Sin")</f>
        <v>Xã Đắk Sin</v>
      </c>
    </row>
    <row r="7989" spans="1:7" x14ac:dyDescent="0.25">
      <c r="A7989" s="2">
        <v>7988</v>
      </c>
      <c r="B7989" s="3" t="s">
        <v>45</v>
      </c>
      <c r="C7989" s="4" t="str">
        <f t="shared" si="678"/>
        <v>Đắk Nông</v>
      </c>
      <c r="D7989" s="3" t="s">
        <v>549</v>
      </c>
      <c r="E7989" s="4" t="str">
        <f t="shared" si="681"/>
        <v>Huyện Đắk R'Lấp</v>
      </c>
      <c r="F7989" s="3" t="s">
        <v>8749</v>
      </c>
      <c r="G7989" s="4" t="str">
        <f>HYPERLINK("https://diaocthongthai.com/xa-hung-binh-dak-rlap/","Xã Hưng Bình")</f>
        <v>Xã Hưng Bình</v>
      </c>
    </row>
    <row r="7990" spans="1:7" x14ac:dyDescent="0.25">
      <c r="A7990" s="2">
        <v>7989</v>
      </c>
      <c r="B7990" s="3" t="s">
        <v>45</v>
      </c>
      <c r="C7990" s="4" t="str">
        <f t="shared" si="678"/>
        <v>Đắk Nông</v>
      </c>
      <c r="D7990" s="3" t="s">
        <v>549</v>
      </c>
      <c r="E7990" s="4" t="str">
        <f t="shared" si="681"/>
        <v>Huyện Đắk R'Lấp</v>
      </c>
      <c r="F7990" s="3" t="s">
        <v>8750</v>
      </c>
      <c r="G7990" s="4" t="str">
        <f>HYPERLINK("https://diaocthongthai.com/xa-dak-ru-dak-rlap/","Xã Đắk Ru")</f>
        <v>Xã Đắk Ru</v>
      </c>
    </row>
    <row r="7991" spans="1:7" x14ac:dyDescent="0.25">
      <c r="A7991" s="2">
        <v>7990</v>
      </c>
      <c r="B7991" s="3" t="s">
        <v>45</v>
      </c>
      <c r="C7991" s="4" t="str">
        <f t="shared" ref="C7991:C7997" si="682">HYPERLINK("https://diaocthongthai.com/ban-do-dak-nong/","Đắk Nông")</f>
        <v>Đắk Nông</v>
      </c>
      <c r="D7991" s="3" t="s">
        <v>549</v>
      </c>
      <c r="E7991" s="4" t="str">
        <f t="shared" si="681"/>
        <v>Huyện Đắk R'Lấp</v>
      </c>
      <c r="F7991" s="3" t="s">
        <v>8751</v>
      </c>
      <c r="G7991" s="4" t="str">
        <f>HYPERLINK("https://diaocthongthai.com/xa-nhan-dao-dak-rlap/","Xã Nhân Đạo")</f>
        <v>Xã Nhân Đạo</v>
      </c>
    </row>
    <row r="7992" spans="1:7" x14ac:dyDescent="0.25">
      <c r="A7992" s="2">
        <v>7991</v>
      </c>
      <c r="B7992" s="3" t="s">
        <v>45</v>
      </c>
      <c r="C7992" s="4" t="str">
        <f t="shared" si="682"/>
        <v>Đắk Nông</v>
      </c>
      <c r="D7992" s="3" t="s">
        <v>550</v>
      </c>
      <c r="E7992" s="4" t="str">
        <f t="shared" ref="E7992:E7997" si="683">HYPERLINK("https://diaocthongthai.com/ban-do-huyen-tuy-duc-dak-nong/","Huyện Tuy Đức")</f>
        <v>Huyện Tuy Đức</v>
      </c>
      <c r="F7992" s="3" t="s">
        <v>8752</v>
      </c>
      <c r="G7992" s="4" t="str">
        <f>HYPERLINK("https://diaocthongthai.com/xa-quang-truc-tuy-duc/","Xã Quảng Trực")</f>
        <v>Xã Quảng Trực</v>
      </c>
    </row>
    <row r="7993" spans="1:7" x14ac:dyDescent="0.25">
      <c r="A7993" s="2">
        <v>7992</v>
      </c>
      <c r="B7993" s="3" t="s">
        <v>45</v>
      </c>
      <c r="C7993" s="4" t="str">
        <f t="shared" si="682"/>
        <v>Đắk Nông</v>
      </c>
      <c r="D7993" s="3" t="s">
        <v>550</v>
      </c>
      <c r="E7993" s="4" t="str">
        <f t="shared" si="683"/>
        <v>Huyện Tuy Đức</v>
      </c>
      <c r="F7993" s="3" t="s">
        <v>8753</v>
      </c>
      <c r="G7993" s="4" t="str">
        <f>HYPERLINK("https://diaocthongthai.com/xa-dak-buk-so-tuy-duc/","Xã Đắk Búk So")</f>
        <v>Xã Đắk Búk So</v>
      </c>
    </row>
    <row r="7994" spans="1:7" x14ac:dyDescent="0.25">
      <c r="A7994" s="2">
        <v>7993</v>
      </c>
      <c r="B7994" s="3" t="s">
        <v>45</v>
      </c>
      <c r="C7994" s="4" t="str">
        <f t="shared" si="682"/>
        <v>Đắk Nông</v>
      </c>
      <c r="D7994" s="3" t="s">
        <v>550</v>
      </c>
      <c r="E7994" s="4" t="str">
        <f t="shared" si="683"/>
        <v>Huyện Tuy Đức</v>
      </c>
      <c r="F7994" s="3" t="s">
        <v>8754</v>
      </c>
      <c r="G7994" s="4" t="str">
        <f>HYPERLINK("https://diaocthongthai.com/xa-quang-tam-tuy-duc/","Xã Quảng Tâm")</f>
        <v>Xã Quảng Tâm</v>
      </c>
    </row>
    <row r="7995" spans="1:7" x14ac:dyDescent="0.25">
      <c r="A7995" s="2">
        <v>7994</v>
      </c>
      <c r="B7995" s="3" t="s">
        <v>45</v>
      </c>
      <c r="C7995" s="4" t="str">
        <f t="shared" si="682"/>
        <v>Đắk Nông</v>
      </c>
      <c r="D7995" s="3" t="s">
        <v>550</v>
      </c>
      <c r="E7995" s="4" t="str">
        <f t="shared" si="683"/>
        <v>Huyện Tuy Đức</v>
      </c>
      <c r="F7995" s="3" t="s">
        <v>8755</v>
      </c>
      <c r="G7995" s="4" t="str">
        <f>HYPERLINK("https://diaocthongthai.com/xa-dak-r-tih-tuy-duc/","Xã Đắk R'Tíh")</f>
        <v>Xã Đắk R'Tíh</v>
      </c>
    </row>
    <row r="7996" spans="1:7" x14ac:dyDescent="0.25">
      <c r="A7996" s="2">
        <v>7995</v>
      </c>
      <c r="B7996" s="3" t="s">
        <v>45</v>
      </c>
      <c r="C7996" s="4" t="str">
        <f t="shared" si="682"/>
        <v>Đắk Nông</v>
      </c>
      <c r="D7996" s="3" t="s">
        <v>550</v>
      </c>
      <c r="E7996" s="4" t="str">
        <f t="shared" si="683"/>
        <v>Huyện Tuy Đức</v>
      </c>
      <c r="F7996" s="3" t="s">
        <v>8756</v>
      </c>
      <c r="G7996" s="4" t="str">
        <f>HYPERLINK("https://diaocthongthai.com/xa-dak-ngo-tuy-duc/","Xã Đắk Ngo")</f>
        <v>Xã Đắk Ngo</v>
      </c>
    </row>
    <row r="7997" spans="1:7" x14ac:dyDescent="0.25">
      <c r="A7997" s="2">
        <v>7996</v>
      </c>
      <c r="B7997" s="3" t="s">
        <v>45</v>
      </c>
      <c r="C7997" s="4" t="str">
        <f t="shared" si="682"/>
        <v>Đắk Nông</v>
      </c>
      <c r="D7997" s="3" t="s">
        <v>550</v>
      </c>
      <c r="E7997" s="4" t="str">
        <f t="shared" si="683"/>
        <v>Huyện Tuy Đức</v>
      </c>
      <c r="F7997" s="3" t="s">
        <v>8757</v>
      </c>
      <c r="G7997" s="4" t="str">
        <f>HYPERLINK("https://diaocthongthai.com/xa-quang-tan-tuy-duc/","Xã Quảng Tân")</f>
        <v>Xã Quảng Tân</v>
      </c>
    </row>
    <row r="7998" spans="1:7" x14ac:dyDescent="0.25">
      <c r="A7998" s="2">
        <v>7997</v>
      </c>
      <c r="B7998" s="3" t="s">
        <v>46</v>
      </c>
      <c r="C7998" s="4" t="str">
        <f t="shared" ref="C7998:C8029" si="684">HYPERLINK("https://diaocthongthai.com/ban-do-lam-dong/","Lâm Đồng")</f>
        <v>Lâm Đồng</v>
      </c>
      <c r="D7998" s="3" t="s">
        <v>551</v>
      </c>
      <c r="E7998" s="4" t="str">
        <f t="shared" ref="E7998:E8013" si="685">HYPERLINK("https://diaocthongthai.com/ban-do-tp-da-lat-lam-dong/","Thành phố Đà Lạt")</f>
        <v>Thành phố Đà Lạt</v>
      </c>
      <c r="F7998" s="3" t="s">
        <v>8758</v>
      </c>
      <c r="G7998" s="4" t="str">
        <f>HYPERLINK("https://diaocthongthai.com/phuong-7-tp-da-lat/","Phường 7")</f>
        <v>Phường 7</v>
      </c>
    </row>
    <row r="7999" spans="1:7" x14ac:dyDescent="0.25">
      <c r="A7999" s="2">
        <v>7998</v>
      </c>
      <c r="B7999" s="3" t="s">
        <v>46</v>
      </c>
      <c r="C7999" s="4" t="str">
        <f t="shared" si="684"/>
        <v>Lâm Đồng</v>
      </c>
      <c r="D7999" s="3" t="s">
        <v>551</v>
      </c>
      <c r="E7999" s="4" t="str">
        <f t="shared" si="685"/>
        <v>Thành phố Đà Lạt</v>
      </c>
      <c r="F7999" s="3" t="s">
        <v>8759</v>
      </c>
      <c r="G7999" s="4" t="str">
        <f>HYPERLINK("https://diaocthongthai.com/phuong-8-tp-da-lat/","Phường 8")</f>
        <v>Phường 8</v>
      </c>
    </row>
    <row r="8000" spans="1:7" x14ac:dyDescent="0.25">
      <c r="A8000" s="2">
        <v>7999</v>
      </c>
      <c r="B8000" s="3" t="s">
        <v>46</v>
      </c>
      <c r="C8000" s="4" t="str">
        <f t="shared" si="684"/>
        <v>Lâm Đồng</v>
      </c>
      <c r="D8000" s="3" t="s">
        <v>551</v>
      </c>
      <c r="E8000" s="4" t="str">
        <f t="shared" si="685"/>
        <v>Thành phố Đà Lạt</v>
      </c>
      <c r="F8000" s="3" t="s">
        <v>8760</v>
      </c>
      <c r="G8000" s="4" t="str">
        <f>HYPERLINK("https://diaocthongthai.com/phuong-12-tp-da-lat/","Phường 12")</f>
        <v>Phường 12</v>
      </c>
    </row>
    <row r="8001" spans="1:7" x14ac:dyDescent="0.25">
      <c r="A8001" s="2">
        <v>8000</v>
      </c>
      <c r="B8001" s="3" t="s">
        <v>46</v>
      </c>
      <c r="C8001" s="4" t="str">
        <f t="shared" si="684"/>
        <v>Lâm Đồng</v>
      </c>
      <c r="D8001" s="3" t="s">
        <v>551</v>
      </c>
      <c r="E8001" s="4" t="str">
        <f t="shared" si="685"/>
        <v>Thành phố Đà Lạt</v>
      </c>
      <c r="F8001" s="3" t="s">
        <v>8761</v>
      </c>
      <c r="G8001" s="4" t="str">
        <f>HYPERLINK("https://diaocthongthai.com/phuong-9-tp-da-lat/","Phường 9")</f>
        <v>Phường 9</v>
      </c>
    </row>
    <row r="8002" spans="1:7" x14ac:dyDescent="0.25">
      <c r="A8002" s="2">
        <v>8001</v>
      </c>
      <c r="B8002" s="3" t="s">
        <v>46</v>
      </c>
      <c r="C8002" s="4" t="str">
        <f t="shared" si="684"/>
        <v>Lâm Đồng</v>
      </c>
      <c r="D8002" s="3" t="s">
        <v>551</v>
      </c>
      <c r="E8002" s="4" t="str">
        <f t="shared" si="685"/>
        <v>Thành phố Đà Lạt</v>
      </c>
      <c r="F8002" s="3" t="s">
        <v>8762</v>
      </c>
      <c r="G8002" s="4" t="str">
        <f>HYPERLINK("https://diaocthongthai.com/phuong-2-tp-da-lat/","Phường 2")</f>
        <v>Phường 2</v>
      </c>
    </row>
    <row r="8003" spans="1:7" x14ac:dyDescent="0.25">
      <c r="A8003" s="2">
        <v>8002</v>
      </c>
      <c r="B8003" s="3" t="s">
        <v>46</v>
      </c>
      <c r="C8003" s="4" t="str">
        <f t="shared" si="684"/>
        <v>Lâm Đồng</v>
      </c>
      <c r="D8003" s="3" t="s">
        <v>551</v>
      </c>
      <c r="E8003" s="4" t="str">
        <f t="shared" si="685"/>
        <v>Thành phố Đà Lạt</v>
      </c>
      <c r="F8003" s="3" t="s">
        <v>8763</v>
      </c>
      <c r="G8003" s="4" t="str">
        <f>HYPERLINK("https://diaocthongthai.com/phuong-1-tp-da-lat/","Phường 1")</f>
        <v>Phường 1</v>
      </c>
    </row>
    <row r="8004" spans="1:7" x14ac:dyDescent="0.25">
      <c r="A8004" s="2">
        <v>8003</v>
      </c>
      <c r="B8004" s="3" t="s">
        <v>46</v>
      </c>
      <c r="C8004" s="4" t="str">
        <f t="shared" si="684"/>
        <v>Lâm Đồng</v>
      </c>
      <c r="D8004" s="3" t="s">
        <v>551</v>
      </c>
      <c r="E8004" s="4" t="str">
        <f t="shared" si="685"/>
        <v>Thành phố Đà Lạt</v>
      </c>
      <c r="F8004" s="3" t="s">
        <v>8764</v>
      </c>
      <c r="G8004" s="4" t="str">
        <f>HYPERLINK("https://diaocthongthai.com/phuong-6-tp-da-lat/","Phường 6")</f>
        <v>Phường 6</v>
      </c>
    </row>
    <row r="8005" spans="1:7" x14ac:dyDescent="0.25">
      <c r="A8005" s="2">
        <v>8004</v>
      </c>
      <c r="B8005" s="3" t="s">
        <v>46</v>
      </c>
      <c r="C8005" s="4" t="str">
        <f t="shared" si="684"/>
        <v>Lâm Đồng</v>
      </c>
      <c r="D8005" s="3" t="s">
        <v>551</v>
      </c>
      <c r="E8005" s="4" t="str">
        <f t="shared" si="685"/>
        <v>Thành phố Đà Lạt</v>
      </c>
      <c r="F8005" s="3" t="s">
        <v>8765</v>
      </c>
      <c r="G8005" s="4" t="str">
        <f>HYPERLINK("https://diaocthongthai.com/phuong-5-tp-da-lat/","Phường 5")</f>
        <v>Phường 5</v>
      </c>
    </row>
    <row r="8006" spans="1:7" x14ac:dyDescent="0.25">
      <c r="A8006" s="2">
        <v>8005</v>
      </c>
      <c r="B8006" s="3" t="s">
        <v>46</v>
      </c>
      <c r="C8006" s="4" t="str">
        <f t="shared" si="684"/>
        <v>Lâm Đồng</v>
      </c>
      <c r="D8006" s="3" t="s">
        <v>551</v>
      </c>
      <c r="E8006" s="4" t="str">
        <f t="shared" si="685"/>
        <v>Thành phố Đà Lạt</v>
      </c>
      <c r="F8006" s="3" t="s">
        <v>8766</v>
      </c>
      <c r="G8006" s="4" t="str">
        <f>HYPERLINK("https://diaocthongthai.com/phuong-4-tp-da-lat/","Phường 4")</f>
        <v>Phường 4</v>
      </c>
    </row>
    <row r="8007" spans="1:7" x14ac:dyDescent="0.25">
      <c r="A8007" s="2">
        <v>8006</v>
      </c>
      <c r="B8007" s="3" t="s">
        <v>46</v>
      </c>
      <c r="C8007" s="4" t="str">
        <f t="shared" si="684"/>
        <v>Lâm Đồng</v>
      </c>
      <c r="D8007" s="3" t="s">
        <v>551</v>
      </c>
      <c r="E8007" s="4" t="str">
        <f t="shared" si="685"/>
        <v>Thành phố Đà Lạt</v>
      </c>
      <c r="F8007" s="3" t="s">
        <v>8767</v>
      </c>
      <c r="G8007" s="4" t="str">
        <f>HYPERLINK("https://diaocthongthai.com/phuong-10-tp-da-lat/","Phường 10")</f>
        <v>Phường 10</v>
      </c>
    </row>
    <row r="8008" spans="1:7" x14ac:dyDescent="0.25">
      <c r="A8008" s="2">
        <v>8007</v>
      </c>
      <c r="B8008" s="3" t="s">
        <v>46</v>
      </c>
      <c r="C8008" s="4" t="str">
        <f t="shared" si="684"/>
        <v>Lâm Đồng</v>
      </c>
      <c r="D8008" s="3" t="s">
        <v>551</v>
      </c>
      <c r="E8008" s="4" t="str">
        <f t="shared" si="685"/>
        <v>Thành phố Đà Lạt</v>
      </c>
      <c r="F8008" s="3" t="s">
        <v>8768</v>
      </c>
      <c r="G8008" s="4" t="str">
        <f>HYPERLINK("https://diaocthongthai.com/phuong-11-tp-da-lat/","Phường 11")</f>
        <v>Phường 11</v>
      </c>
    </row>
    <row r="8009" spans="1:7" x14ac:dyDescent="0.25">
      <c r="A8009" s="2">
        <v>8008</v>
      </c>
      <c r="B8009" s="3" t="s">
        <v>46</v>
      </c>
      <c r="C8009" s="4" t="str">
        <f t="shared" si="684"/>
        <v>Lâm Đồng</v>
      </c>
      <c r="D8009" s="3" t="s">
        <v>551</v>
      </c>
      <c r="E8009" s="4" t="str">
        <f t="shared" si="685"/>
        <v>Thành phố Đà Lạt</v>
      </c>
      <c r="F8009" s="3" t="s">
        <v>8769</v>
      </c>
      <c r="G8009" s="4" t="str">
        <f>HYPERLINK("https://diaocthongthai.com/phuong-3-tp-da-lat/","Phường 3")</f>
        <v>Phường 3</v>
      </c>
    </row>
    <row r="8010" spans="1:7" x14ac:dyDescent="0.25">
      <c r="A8010" s="2">
        <v>8009</v>
      </c>
      <c r="B8010" s="3" t="s">
        <v>46</v>
      </c>
      <c r="C8010" s="4" t="str">
        <f t="shared" si="684"/>
        <v>Lâm Đồng</v>
      </c>
      <c r="D8010" s="3" t="s">
        <v>551</v>
      </c>
      <c r="E8010" s="4" t="str">
        <f t="shared" si="685"/>
        <v>Thành phố Đà Lạt</v>
      </c>
      <c r="F8010" s="3" t="s">
        <v>8770</v>
      </c>
      <c r="G8010" s="4" t="str">
        <f>HYPERLINK("https://diaocthongthai.com/xa-xuan-tho-tp-da-lat/","Xã Xuân Thọ")</f>
        <v>Xã Xuân Thọ</v>
      </c>
    </row>
    <row r="8011" spans="1:7" x14ac:dyDescent="0.25">
      <c r="A8011" s="2">
        <v>8010</v>
      </c>
      <c r="B8011" s="3" t="s">
        <v>46</v>
      </c>
      <c r="C8011" s="4" t="str">
        <f t="shared" si="684"/>
        <v>Lâm Đồng</v>
      </c>
      <c r="D8011" s="3" t="s">
        <v>551</v>
      </c>
      <c r="E8011" s="4" t="str">
        <f t="shared" si="685"/>
        <v>Thành phố Đà Lạt</v>
      </c>
      <c r="F8011" s="3" t="s">
        <v>8771</v>
      </c>
      <c r="G8011" s="4" t="str">
        <f>HYPERLINK("https://diaocthongthai.com/xa-ta-nung-tp-da-lat/","Xã Tà Nung")</f>
        <v>Xã Tà Nung</v>
      </c>
    </row>
    <row r="8012" spans="1:7" x14ac:dyDescent="0.25">
      <c r="A8012" s="2">
        <v>8011</v>
      </c>
      <c r="B8012" s="3" t="s">
        <v>46</v>
      </c>
      <c r="C8012" s="4" t="str">
        <f t="shared" si="684"/>
        <v>Lâm Đồng</v>
      </c>
      <c r="D8012" s="3" t="s">
        <v>551</v>
      </c>
      <c r="E8012" s="4" t="str">
        <f t="shared" si="685"/>
        <v>Thành phố Đà Lạt</v>
      </c>
      <c r="F8012" s="3" t="s">
        <v>8772</v>
      </c>
      <c r="G8012" s="4" t="str">
        <f>HYPERLINK("https://diaocthongthai.com/xa-tram-hanh-tp-da-lat/","Xã Trạm Hành")</f>
        <v>Xã Trạm Hành</v>
      </c>
    </row>
    <row r="8013" spans="1:7" x14ac:dyDescent="0.25">
      <c r="A8013" s="2">
        <v>8012</v>
      </c>
      <c r="B8013" s="3" t="s">
        <v>46</v>
      </c>
      <c r="C8013" s="4" t="str">
        <f t="shared" si="684"/>
        <v>Lâm Đồng</v>
      </c>
      <c r="D8013" s="3" t="s">
        <v>551</v>
      </c>
      <c r="E8013" s="4" t="str">
        <f t="shared" si="685"/>
        <v>Thành phố Đà Lạt</v>
      </c>
      <c r="F8013" s="3" t="s">
        <v>8773</v>
      </c>
      <c r="G8013" s="4" t="str">
        <f>HYPERLINK("https://diaocthongthai.com/xa-xuan-truong-tp-da-lat/","Xã Xuân Trường")</f>
        <v>Xã Xuân Trường</v>
      </c>
    </row>
    <row r="8014" spans="1:7" x14ac:dyDescent="0.25">
      <c r="A8014" s="2">
        <v>8013</v>
      </c>
      <c r="B8014" s="3" t="s">
        <v>46</v>
      </c>
      <c r="C8014" s="4" t="str">
        <f t="shared" si="684"/>
        <v>Lâm Đồng</v>
      </c>
      <c r="D8014" s="3" t="s">
        <v>552</v>
      </c>
      <c r="E8014" s="4" t="str">
        <f t="shared" ref="E8014:E8024" si="686">HYPERLINK("https://diaocthongthai.com/ban-do-tp-bao-loc-lam-dong/","Thành phố Bảo Lộc")</f>
        <v>Thành phố Bảo Lộc</v>
      </c>
      <c r="F8014" s="3" t="s">
        <v>8774</v>
      </c>
      <c r="G8014" s="4" t="str">
        <f>HYPERLINK("https://diaocthongthai.com/phuong-loc-phat-tp-bao-loc/","Phường Lộc Phát")</f>
        <v>Phường Lộc Phát</v>
      </c>
    </row>
    <row r="8015" spans="1:7" x14ac:dyDescent="0.25">
      <c r="A8015" s="2">
        <v>8014</v>
      </c>
      <c r="B8015" s="3" t="s">
        <v>46</v>
      </c>
      <c r="C8015" s="4" t="str">
        <f t="shared" si="684"/>
        <v>Lâm Đồng</v>
      </c>
      <c r="D8015" s="3" t="s">
        <v>552</v>
      </c>
      <c r="E8015" s="4" t="str">
        <f t="shared" si="686"/>
        <v>Thành phố Bảo Lộc</v>
      </c>
      <c r="F8015" s="3" t="s">
        <v>8775</v>
      </c>
      <c r="G8015" s="4" t="str">
        <f>HYPERLINK("https://diaocthongthai.com/phuong-loc-tien-tp-bao-loc/","Phường Lộc Tiến")</f>
        <v>Phường Lộc Tiến</v>
      </c>
    </row>
    <row r="8016" spans="1:7" x14ac:dyDescent="0.25">
      <c r="A8016" s="2">
        <v>8015</v>
      </c>
      <c r="B8016" s="3" t="s">
        <v>46</v>
      </c>
      <c r="C8016" s="4" t="str">
        <f t="shared" si="684"/>
        <v>Lâm Đồng</v>
      </c>
      <c r="D8016" s="3" t="s">
        <v>552</v>
      </c>
      <c r="E8016" s="4" t="str">
        <f t="shared" si="686"/>
        <v>Thành phố Bảo Lộc</v>
      </c>
      <c r="F8016" s="3" t="s">
        <v>8776</v>
      </c>
      <c r="G8016" s="4" t="str">
        <f>HYPERLINK("https://diaocthongthai.com/phuong-2-tp-bao-loc/","Phường 2")</f>
        <v>Phường 2</v>
      </c>
    </row>
    <row r="8017" spans="1:7" x14ac:dyDescent="0.25">
      <c r="A8017" s="2">
        <v>8016</v>
      </c>
      <c r="B8017" s="3" t="s">
        <v>46</v>
      </c>
      <c r="C8017" s="4" t="str">
        <f t="shared" si="684"/>
        <v>Lâm Đồng</v>
      </c>
      <c r="D8017" s="3" t="s">
        <v>552</v>
      </c>
      <c r="E8017" s="4" t="str">
        <f t="shared" si="686"/>
        <v>Thành phố Bảo Lộc</v>
      </c>
      <c r="F8017" s="3" t="s">
        <v>8777</v>
      </c>
      <c r="G8017" s="4" t="str">
        <f>HYPERLINK("https://diaocthongthai.com/phuong-1-tp-bao-loc/","Phường 1")</f>
        <v>Phường 1</v>
      </c>
    </row>
    <row r="8018" spans="1:7" x14ac:dyDescent="0.25">
      <c r="A8018" s="2">
        <v>8017</v>
      </c>
      <c r="B8018" s="3" t="s">
        <v>46</v>
      </c>
      <c r="C8018" s="4" t="str">
        <f t="shared" si="684"/>
        <v>Lâm Đồng</v>
      </c>
      <c r="D8018" s="3" t="s">
        <v>552</v>
      </c>
      <c r="E8018" s="4" t="str">
        <f t="shared" si="686"/>
        <v>Thành phố Bảo Lộc</v>
      </c>
      <c r="F8018" s="3" t="s">
        <v>8778</v>
      </c>
      <c r="G8018" s="4" t="str">
        <f>HYPERLINK("https://diaocthongthai.com/phuong-b-lao-tp-bao-loc/","Phường B'lao")</f>
        <v>Phường B'lao</v>
      </c>
    </row>
    <row r="8019" spans="1:7" x14ac:dyDescent="0.25">
      <c r="A8019" s="2">
        <v>8018</v>
      </c>
      <c r="B8019" s="3" t="s">
        <v>46</v>
      </c>
      <c r="C8019" s="4" t="str">
        <f t="shared" si="684"/>
        <v>Lâm Đồng</v>
      </c>
      <c r="D8019" s="3" t="s">
        <v>552</v>
      </c>
      <c r="E8019" s="4" t="str">
        <f t="shared" si="686"/>
        <v>Thành phố Bảo Lộc</v>
      </c>
      <c r="F8019" s="3" t="s">
        <v>8779</v>
      </c>
      <c r="G8019" s="4" t="str">
        <f>HYPERLINK("https://diaocthongthai.com/phuong-loc-son-tp-bao-loc/","Phường Lộc Sơn")</f>
        <v>Phường Lộc Sơn</v>
      </c>
    </row>
    <row r="8020" spans="1:7" x14ac:dyDescent="0.25">
      <c r="A8020" s="2">
        <v>8019</v>
      </c>
      <c r="B8020" s="3" t="s">
        <v>46</v>
      </c>
      <c r="C8020" s="4" t="str">
        <f t="shared" si="684"/>
        <v>Lâm Đồng</v>
      </c>
      <c r="D8020" s="3" t="s">
        <v>552</v>
      </c>
      <c r="E8020" s="4" t="str">
        <f t="shared" si="686"/>
        <v>Thành phố Bảo Lộc</v>
      </c>
      <c r="F8020" s="3" t="s">
        <v>8780</v>
      </c>
      <c r="G8020" s="4" t="str">
        <f>HYPERLINK("https://diaocthongthai.com/xa-dam-bri-tp-bao-loc/","Xã Đạm Bri")</f>
        <v>Xã Đạm Bri</v>
      </c>
    </row>
    <row r="8021" spans="1:7" x14ac:dyDescent="0.25">
      <c r="A8021" s="2">
        <v>8020</v>
      </c>
      <c r="B8021" s="3" t="s">
        <v>46</v>
      </c>
      <c r="C8021" s="4" t="str">
        <f t="shared" si="684"/>
        <v>Lâm Đồng</v>
      </c>
      <c r="D8021" s="3" t="s">
        <v>552</v>
      </c>
      <c r="E8021" s="4" t="str">
        <f t="shared" si="686"/>
        <v>Thành phố Bảo Lộc</v>
      </c>
      <c r="F8021" s="3" t="s">
        <v>8781</v>
      </c>
      <c r="G8021" s="4" t="str">
        <f>HYPERLINK("https://diaocthongthai.com/xa-loc-thanh-tp-bao-loc/","Xã Lộc Thanh")</f>
        <v>Xã Lộc Thanh</v>
      </c>
    </row>
    <row r="8022" spans="1:7" x14ac:dyDescent="0.25">
      <c r="A8022" s="2">
        <v>8021</v>
      </c>
      <c r="B8022" s="3" t="s">
        <v>46</v>
      </c>
      <c r="C8022" s="4" t="str">
        <f t="shared" si="684"/>
        <v>Lâm Đồng</v>
      </c>
      <c r="D8022" s="3" t="s">
        <v>552</v>
      </c>
      <c r="E8022" s="4" t="str">
        <f t="shared" si="686"/>
        <v>Thành phố Bảo Lộc</v>
      </c>
      <c r="F8022" s="3" t="s">
        <v>8782</v>
      </c>
      <c r="G8022" s="4" t="str">
        <f>HYPERLINK("https://diaocthongthai.com/xa-loc-nga-tp-bao-loc/","Xã Lộc Nga")</f>
        <v>Xã Lộc Nga</v>
      </c>
    </row>
    <row r="8023" spans="1:7" x14ac:dyDescent="0.25">
      <c r="A8023" s="2">
        <v>8022</v>
      </c>
      <c r="B8023" s="3" t="s">
        <v>46</v>
      </c>
      <c r="C8023" s="4" t="str">
        <f t="shared" si="684"/>
        <v>Lâm Đồng</v>
      </c>
      <c r="D8023" s="3" t="s">
        <v>552</v>
      </c>
      <c r="E8023" s="4" t="str">
        <f t="shared" si="686"/>
        <v>Thành phố Bảo Lộc</v>
      </c>
      <c r="F8023" s="3" t="s">
        <v>8783</v>
      </c>
      <c r="G8023" s="4" t="str">
        <f>HYPERLINK("https://diaocthongthai.com/xa-loc-chau-tp-bao-loc/","Xã Lộc Châu")</f>
        <v>Xã Lộc Châu</v>
      </c>
    </row>
    <row r="8024" spans="1:7" x14ac:dyDescent="0.25">
      <c r="A8024" s="2">
        <v>8023</v>
      </c>
      <c r="B8024" s="3" t="s">
        <v>46</v>
      </c>
      <c r="C8024" s="4" t="str">
        <f t="shared" si="684"/>
        <v>Lâm Đồng</v>
      </c>
      <c r="D8024" s="3" t="s">
        <v>552</v>
      </c>
      <c r="E8024" s="4" t="str">
        <f t="shared" si="686"/>
        <v>Thành phố Bảo Lộc</v>
      </c>
      <c r="F8024" s="3" t="s">
        <v>8784</v>
      </c>
      <c r="G8024" s="4" t="str">
        <f>HYPERLINK("https://diaocthongthai.com/xa-dai-lao-tp-bao-loc/","Xã Đại Lào")</f>
        <v>Xã Đại Lào</v>
      </c>
    </row>
    <row r="8025" spans="1:7" x14ac:dyDescent="0.25">
      <c r="A8025" s="2">
        <v>8024</v>
      </c>
      <c r="B8025" s="3" t="s">
        <v>46</v>
      </c>
      <c r="C8025" s="4" t="str">
        <f t="shared" si="684"/>
        <v>Lâm Đồng</v>
      </c>
      <c r="D8025" s="3" t="s">
        <v>553</v>
      </c>
      <c r="E8025" s="4" t="str">
        <f t="shared" ref="E8025:E8032" si="687">HYPERLINK("https://diaocthongthai.com/ban-do-huyen-dam-rong-lam-dong/","Huyện Đam Rông")</f>
        <v>Huyện Đam Rông</v>
      </c>
      <c r="F8025" s="3" t="s">
        <v>8785</v>
      </c>
      <c r="G8025" s="4" t="str">
        <f>HYPERLINK("https://diaocthongthai.com/xa-da-tong-dam-rong/","Xã Đạ Tông")</f>
        <v>Xã Đạ Tông</v>
      </c>
    </row>
    <row r="8026" spans="1:7" x14ac:dyDescent="0.25">
      <c r="A8026" s="2">
        <v>8025</v>
      </c>
      <c r="B8026" s="3" t="s">
        <v>46</v>
      </c>
      <c r="C8026" s="4" t="str">
        <f t="shared" si="684"/>
        <v>Lâm Đồng</v>
      </c>
      <c r="D8026" s="3" t="s">
        <v>553</v>
      </c>
      <c r="E8026" s="4" t="str">
        <f t="shared" si="687"/>
        <v>Huyện Đam Rông</v>
      </c>
      <c r="F8026" s="3" t="s">
        <v>8786</v>
      </c>
      <c r="G8026" s="4" t="str">
        <f>HYPERLINK("https://diaocthongthai.com/xa-da-long-dam-rong/","Xã Đạ Long")</f>
        <v>Xã Đạ Long</v>
      </c>
    </row>
    <row r="8027" spans="1:7" x14ac:dyDescent="0.25">
      <c r="A8027" s="2">
        <v>8026</v>
      </c>
      <c r="B8027" s="3" t="s">
        <v>46</v>
      </c>
      <c r="C8027" s="4" t="str">
        <f t="shared" si="684"/>
        <v>Lâm Đồng</v>
      </c>
      <c r="D8027" s="3" t="s">
        <v>553</v>
      </c>
      <c r="E8027" s="4" t="str">
        <f t="shared" si="687"/>
        <v>Huyện Đam Rông</v>
      </c>
      <c r="F8027" s="3" t="s">
        <v>8787</v>
      </c>
      <c r="G8027" s="4" t="str">
        <f>HYPERLINK("https://diaocthongthai.com/xa-da-m-rong-dam-rong/","Xã Đạ M' Rong")</f>
        <v>Xã Đạ M' Rong</v>
      </c>
    </row>
    <row r="8028" spans="1:7" x14ac:dyDescent="0.25">
      <c r="A8028" s="2">
        <v>8027</v>
      </c>
      <c r="B8028" s="3" t="s">
        <v>46</v>
      </c>
      <c r="C8028" s="4" t="str">
        <f t="shared" si="684"/>
        <v>Lâm Đồng</v>
      </c>
      <c r="D8028" s="3" t="s">
        <v>553</v>
      </c>
      <c r="E8028" s="4" t="str">
        <f t="shared" si="687"/>
        <v>Huyện Đam Rông</v>
      </c>
      <c r="F8028" s="3" t="s">
        <v>8788</v>
      </c>
      <c r="G8028" s="4" t="str">
        <f>HYPERLINK("https://diaocthongthai.com/xa-lieng-s-ronh-dam-rong/","Xã Liêng Srônh")</f>
        <v>Xã Liêng Srônh</v>
      </c>
    </row>
    <row r="8029" spans="1:7" x14ac:dyDescent="0.25">
      <c r="A8029" s="2">
        <v>8028</v>
      </c>
      <c r="B8029" s="3" t="s">
        <v>46</v>
      </c>
      <c r="C8029" s="4" t="str">
        <f t="shared" si="684"/>
        <v>Lâm Đồng</v>
      </c>
      <c r="D8029" s="3" t="s">
        <v>553</v>
      </c>
      <c r="E8029" s="4" t="str">
        <f t="shared" si="687"/>
        <v>Huyện Đam Rông</v>
      </c>
      <c r="F8029" s="3" t="s">
        <v>8789</v>
      </c>
      <c r="G8029" s="4" t="str">
        <f>HYPERLINK("https://diaocthongthai.com/xa-da-rsal-dam-rong/","Xã Đạ Rsal")</f>
        <v>Xã Đạ Rsal</v>
      </c>
    </row>
    <row r="8030" spans="1:7" x14ac:dyDescent="0.25">
      <c r="A8030" s="2">
        <v>8029</v>
      </c>
      <c r="B8030" s="3" t="s">
        <v>46</v>
      </c>
      <c r="C8030" s="4" t="str">
        <f t="shared" ref="C8030:C8061" si="688">HYPERLINK("https://diaocthongthai.com/ban-do-lam-dong/","Lâm Đồng")</f>
        <v>Lâm Đồng</v>
      </c>
      <c r="D8030" s="3" t="s">
        <v>553</v>
      </c>
      <c r="E8030" s="4" t="str">
        <f t="shared" si="687"/>
        <v>Huyện Đam Rông</v>
      </c>
      <c r="F8030" s="3" t="s">
        <v>8790</v>
      </c>
      <c r="G8030" s="4" t="str">
        <f>HYPERLINK("https://diaocthongthai.com/xa-ro-men-dam-rong/","Xã Rô Men")</f>
        <v>Xã Rô Men</v>
      </c>
    </row>
    <row r="8031" spans="1:7" x14ac:dyDescent="0.25">
      <c r="A8031" s="2">
        <v>8030</v>
      </c>
      <c r="B8031" s="3" t="s">
        <v>46</v>
      </c>
      <c r="C8031" s="4" t="str">
        <f t="shared" si="688"/>
        <v>Lâm Đồng</v>
      </c>
      <c r="D8031" s="3" t="s">
        <v>553</v>
      </c>
      <c r="E8031" s="4" t="str">
        <f t="shared" si="687"/>
        <v>Huyện Đam Rông</v>
      </c>
      <c r="F8031" s="3" t="s">
        <v>8791</v>
      </c>
      <c r="G8031" s="4" t="str">
        <f>HYPERLINK("https://diaocthongthai.com/xa-phi-lieng-dam-rong/","Xã Phi Liêng")</f>
        <v>Xã Phi Liêng</v>
      </c>
    </row>
    <row r="8032" spans="1:7" x14ac:dyDescent="0.25">
      <c r="A8032" s="2">
        <v>8031</v>
      </c>
      <c r="B8032" s="3" t="s">
        <v>46</v>
      </c>
      <c r="C8032" s="4" t="str">
        <f t="shared" si="688"/>
        <v>Lâm Đồng</v>
      </c>
      <c r="D8032" s="3" t="s">
        <v>553</v>
      </c>
      <c r="E8032" s="4" t="str">
        <f t="shared" si="687"/>
        <v>Huyện Đam Rông</v>
      </c>
      <c r="F8032" s="3" t="s">
        <v>8792</v>
      </c>
      <c r="G8032" s="4" t="str">
        <f>HYPERLINK("https://diaocthongthai.com/xa-da-k-nang-dam-rong/","Xã Đạ K' Nàng")</f>
        <v>Xã Đạ K' Nàng</v>
      </c>
    </row>
    <row r="8033" spans="1:7" x14ac:dyDescent="0.25">
      <c r="A8033" s="2">
        <v>8032</v>
      </c>
      <c r="B8033" s="3" t="s">
        <v>46</v>
      </c>
      <c r="C8033" s="4" t="str">
        <f t="shared" si="688"/>
        <v>Lâm Đồng</v>
      </c>
      <c r="D8033" s="3" t="s">
        <v>554</v>
      </c>
      <c r="E8033" s="4" t="str">
        <f t="shared" ref="E8033:E8038" si="689">HYPERLINK("https://diaocthongthai.com/ban-do-huyen-lac-duong-lam-dong/","Huyện Lạc Dương")</f>
        <v>Huyện Lạc Dương</v>
      </c>
      <c r="F8033" s="3" t="s">
        <v>8793</v>
      </c>
      <c r="G8033" s="4" t="str">
        <f>HYPERLINK("https://diaocthongthai.com/thi-tran-lac-duong-lac-duong/","Thị trấn Lạc Dương")</f>
        <v>Thị trấn Lạc Dương</v>
      </c>
    </row>
    <row r="8034" spans="1:7" x14ac:dyDescent="0.25">
      <c r="A8034" s="2">
        <v>8033</v>
      </c>
      <c r="B8034" s="3" t="s">
        <v>46</v>
      </c>
      <c r="C8034" s="4" t="str">
        <f t="shared" si="688"/>
        <v>Lâm Đồng</v>
      </c>
      <c r="D8034" s="3" t="s">
        <v>554</v>
      </c>
      <c r="E8034" s="4" t="str">
        <f t="shared" si="689"/>
        <v>Huyện Lạc Dương</v>
      </c>
      <c r="F8034" s="3" t="s">
        <v>8794</v>
      </c>
      <c r="G8034" s="4" t="str">
        <f>HYPERLINK("https://diaocthongthai.com/xa-da-chais-lac-duong/","Xã Đạ Chais")</f>
        <v>Xã Đạ Chais</v>
      </c>
    </row>
    <row r="8035" spans="1:7" x14ac:dyDescent="0.25">
      <c r="A8035" s="2">
        <v>8034</v>
      </c>
      <c r="B8035" s="3" t="s">
        <v>46</v>
      </c>
      <c r="C8035" s="4" t="str">
        <f t="shared" si="688"/>
        <v>Lâm Đồng</v>
      </c>
      <c r="D8035" s="3" t="s">
        <v>554</v>
      </c>
      <c r="E8035" s="4" t="str">
        <f t="shared" si="689"/>
        <v>Huyện Lạc Dương</v>
      </c>
      <c r="F8035" s="3" t="s">
        <v>8795</v>
      </c>
      <c r="G8035" s="4" t="str">
        <f>HYPERLINK("https://diaocthongthai.com/xa-da-nhim-lac-duong/","Xã Đạ Nhim")</f>
        <v>Xã Đạ Nhim</v>
      </c>
    </row>
    <row r="8036" spans="1:7" x14ac:dyDescent="0.25">
      <c r="A8036" s="2">
        <v>8035</v>
      </c>
      <c r="B8036" s="3" t="s">
        <v>46</v>
      </c>
      <c r="C8036" s="4" t="str">
        <f t="shared" si="688"/>
        <v>Lâm Đồng</v>
      </c>
      <c r="D8036" s="3" t="s">
        <v>554</v>
      </c>
      <c r="E8036" s="4" t="str">
        <f t="shared" si="689"/>
        <v>Huyện Lạc Dương</v>
      </c>
      <c r="F8036" s="3" t="s">
        <v>8796</v>
      </c>
      <c r="G8036" s="4" t="str">
        <f>HYPERLINK("https://diaocthongthai.com/xa-dung-kno-lac-duong/","Xã Đưng KNớ")</f>
        <v>Xã Đưng KNớ</v>
      </c>
    </row>
    <row r="8037" spans="1:7" x14ac:dyDescent="0.25">
      <c r="A8037" s="2">
        <v>8036</v>
      </c>
      <c r="B8037" s="3" t="s">
        <v>46</v>
      </c>
      <c r="C8037" s="4" t="str">
        <f t="shared" si="688"/>
        <v>Lâm Đồng</v>
      </c>
      <c r="D8037" s="3" t="s">
        <v>554</v>
      </c>
      <c r="E8037" s="4" t="str">
        <f t="shared" si="689"/>
        <v>Huyện Lạc Dương</v>
      </c>
      <c r="F8037" s="3" t="s">
        <v>8797</v>
      </c>
      <c r="G8037" s="4" t="str">
        <f>HYPERLINK("https://diaocthongthai.com/xa-lat-lac-duong/","Xã Lát")</f>
        <v>Xã Lát</v>
      </c>
    </row>
    <row r="8038" spans="1:7" x14ac:dyDescent="0.25">
      <c r="A8038" s="2">
        <v>8037</v>
      </c>
      <c r="B8038" s="3" t="s">
        <v>46</v>
      </c>
      <c r="C8038" s="4" t="str">
        <f t="shared" si="688"/>
        <v>Lâm Đồng</v>
      </c>
      <c r="D8038" s="3" t="s">
        <v>554</v>
      </c>
      <c r="E8038" s="4" t="str">
        <f t="shared" si="689"/>
        <v>Huyện Lạc Dương</v>
      </c>
      <c r="F8038" s="3" t="s">
        <v>8798</v>
      </c>
      <c r="G8038" s="4" t="str">
        <f>HYPERLINK("https://diaocthongthai.com/xa-da-sar-lac-duong/","Xã Đạ Sar")</f>
        <v>Xã Đạ Sar</v>
      </c>
    </row>
    <row r="8039" spans="1:7" x14ac:dyDescent="0.25">
      <c r="A8039" s="2">
        <v>8038</v>
      </c>
      <c r="B8039" s="3" t="s">
        <v>46</v>
      </c>
      <c r="C8039" s="4" t="str">
        <f t="shared" si="688"/>
        <v>Lâm Đồng</v>
      </c>
      <c r="D8039" s="3" t="s">
        <v>555</v>
      </c>
      <c r="E8039" s="4" t="str">
        <f t="shared" ref="E8039:E8054" si="690">HYPERLINK("https://diaocthongthai.com/ban-do-huyen-lam-ha-lam-dong/","Huyện Lâm Hà")</f>
        <v>Huyện Lâm Hà</v>
      </c>
      <c r="F8039" s="3" t="s">
        <v>8799</v>
      </c>
      <c r="G8039" s="4" t="str">
        <f>HYPERLINK("https://diaocthongthai.com/thi-tran-nam-ban-lam-ha/","Thị trấn Nam Ban")</f>
        <v>Thị trấn Nam Ban</v>
      </c>
    </row>
    <row r="8040" spans="1:7" x14ac:dyDescent="0.25">
      <c r="A8040" s="2">
        <v>8039</v>
      </c>
      <c r="B8040" s="3" t="s">
        <v>46</v>
      </c>
      <c r="C8040" s="4" t="str">
        <f t="shared" si="688"/>
        <v>Lâm Đồng</v>
      </c>
      <c r="D8040" s="3" t="s">
        <v>555</v>
      </c>
      <c r="E8040" s="4" t="str">
        <f t="shared" si="690"/>
        <v>Huyện Lâm Hà</v>
      </c>
      <c r="F8040" s="3" t="s">
        <v>8800</v>
      </c>
      <c r="G8040" s="4" t="str">
        <f>HYPERLINK("https://diaocthongthai.com/thi-tran-dinh-van-lam-ha/","Thị trấn Đinh Văn")</f>
        <v>Thị trấn Đinh Văn</v>
      </c>
    </row>
    <row r="8041" spans="1:7" x14ac:dyDescent="0.25">
      <c r="A8041" s="2">
        <v>8040</v>
      </c>
      <c r="B8041" s="3" t="s">
        <v>46</v>
      </c>
      <c r="C8041" s="4" t="str">
        <f t="shared" si="688"/>
        <v>Lâm Đồng</v>
      </c>
      <c r="D8041" s="3" t="s">
        <v>555</v>
      </c>
      <c r="E8041" s="4" t="str">
        <f t="shared" si="690"/>
        <v>Huyện Lâm Hà</v>
      </c>
      <c r="F8041" s="3" t="s">
        <v>8801</v>
      </c>
      <c r="G8041" s="4" t="str">
        <f>HYPERLINK("https://diaocthongthai.com/xa-phu-son-lam-ha/","Xã Phú Sơn")</f>
        <v>Xã Phú Sơn</v>
      </c>
    </row>
    <row r="8042" spans="1:7" x14ac:dyDescent="0.25">
      <c r="A8042" s="2">
        <v>8041</v>
      </c>
      <c r="B8042" s="3" t="s">
        <v>46</v>
      </c>
      <c r="C8042" s="4" t="str">
        <f t="shared" si="688"/>
        <v>Lâm Đồng</v>
      </c>
      <c r="D8042" s="3" t="s">
        <v>555</v>
      </c>
      <c r="E8042" s="4" t="str">
        <f t="shared" si="690"/>
        <v>Huyện Lâm Hà</v>
      </c>
      <c r="F8042" s="3" t="s">
        <v>8802</v>
      </c>
      <c r="G8042" s="4" t="str">
        <f>HYPERLINK("https://diaocthongthai.com/xa-phi-to-lam-ha/","Xã Phi Tô")</f>
        <v>Xã Phi Tô</v>
      </c>
    </row>
    <row r="8043" spans="1:7" x14ac:dyDescent="0.25">
      <c r="A8043" s="2">
        <v>8042</v>
      </c>
      <c r="B8043" s="3" t="s">
        <v>46</v>
      </c>
      <c r="C8043" s="4" t="str">
        <f t="shared" si="688"/>
        <v>Lâm Đồng</v>
      </c>
      <c r="D8043" s="3" t="s">
        <v>555</v>
      </c>
      <c r="E8043" s="4" t="str">
        <f t="shared" si="690"/>
        <v>Huyện Lâm Hà</v>
      </c>
      <c r="F8043" s="3" t="s">
        <v>8803</v>
      </c>
      <c r="G8043" s="4" t="str">
        <f>HYPERLINK("https://diaocthongthai.com/xa-me-linh-lam-ha/","Xã Mê Linh")</f>
        <v>Xã Mê Linh</v>
      </c>
    </row>
    <row r="8044" spans="1:7" x14ac:dyDescent="0.25">
      <c r="A8044" s="2">
        <v>8043</v>
      </c>
      <c r="B8044" s="3" t="s">
        <v>46</v>
      </c>
      <c r="C8044" s="4" t="str">
        <f t="shared" si="688"/>
        <v>Lâm Đồng</v>
      </c>
      <c r="D8044" s="3" t="s">
        <v>555</v>
      </c>
      <c r="E8044" s="4" t="str">
        <f t="shared" si="690"/>
        <v>Huyện Lâm Hà</v>
      </c>
      <c r="F8044" s="3" t="s">
        <v>8804</v>
      </c>
      <c r="G8044" s="4" t="str">
        <f>HYPERLINK("https://diaocthongthai.com/xa-da-don-lam-ha/","Xã Đạ Đờn")</f>
        <v>Xã Đạ Đờn</v>
      </c>
    </row>
    <row r="8045" spans="1:7" x14ac:dyDescent="0.25">
      <c r="A8045" s="2">
        <v>8044</v>
      </c>
      <c r="B8045" s="3" t="s">
        <v>46</v>
      </c>
      <c r="C8045" s="4" t="str">
        <f t="shared" si="688"/>
        <v>Lâm Đồng</v>
      </c>
      <c r="D8045" s="3" t="s">
        <v>555</v>
      </c>
      <c r="E8045" s="4" t="str">
        <f t="shared" si="690"/>
        <v>Huyện Lâm Hà</v>
      </c>
      <c r="F8045" s="3" t="s">
        <v>8805</v>
      </c>
      <c r="G8045" s="4" t="str">
        <f>HYPERLINK("https://diaocthongthai.com/xa-phuc-tho-lam-ha/","Xã Phúc Thọ")</f>
        <v>Xã Phúc Thọ</v>
      </c>
    </row>
    <row r="8046" spans="1:7" x14ac:dyDescent="0.25">
      <c r="A8046" s="2">
        <v>8045</v>
      </c>
      <c r="B8046" s="3" t="s">
        <v>46</v>
      </c>
      <c r="C8046" s="4" t="str">
        <f t="shared" si="688"/>
        <v>Lâm Đồng</v>
      </c>
      <c r="D8046" s="3" t="s">
        <v>555</v>
      </c>
      <c r="E8046" s="4" t="str">
        <f t="shared" si="690"/>
        <v>Huyện Lâm Hà</v>
      </c>
      <c r="F8046" s="3" t="s">
        <v>8806</v>
      </c>
      <c r="G8046" s="4" t="str">
        <f>HYPERLINK("https://diaocthongthai.com/xa-dong-thanh-lam-ha/","Xã Đông Thanh")</f>
        <v>Xã Đông Thanh</v>
      </c>
    </row>
    <row r="8047" spans="1:7" x14ac:dyDescent="0.25">
      <c r="A8047" s="2">
        <v>8046</v>
      </c>
      <c r="B8047" s="3" t="s">
        <v>46</v>
      </c>
      <c r="C8047" s="4" t="str">
        <f t="shared" si="688"/>
        <v>Lâm Đồng</v>
      </c>
      <c r="D8047" s="3" t="s">
        <v>555</v>
      </c>
      <c r="E8047" s="4" t="str">
        <f t="shared" si="690"/>
        <v>Huyện Lâm Hà</v>
      </c>
      <c r="F8047" s="3" t="s">
        <v>8807</v>
      </c>
      <c r="G8047" s="4" t="str">
        <f>HYPERLINK("https://diaocthongthai.com/xa-gia-lam-lam-ha/","Xã Gia Lâm")</f>
        <v>Xã Gia Lâm</v>
      </c>
    </row>
    <row r="8048" spans="1:7" x14ac:dyDescent="0.25">
      <c r="A8048" s="2">
        <v>8047</v>
      </c>
      <c r="B8048" s="3" t="s">
        <v>46</v>
      </c>
      <c r="C8048" s="4" t="str">
        <f t="shared" si="688"/>
        <v>Lâm Đồng</v>
      </c>
      <c r="D8048" s="3" t="s">
        <v>555</v>
      </c>
      <c r="E8048" s="4" t="str">
        <f t="shared" si="690"/>
        <v>Huyện Lâm Hà</v>
      </c>
      <c r="F8048" s="3" t="s">
        <v>8808</v>
      </c>
      <c r="G8048" s="4" t="str">
        <f>HYPERLINK("https://diaocthongthai.com/xa-tan-thanh-lam-ha/","Xã Tân Thanh")</f>
        <v>Xã Tân Thanh</v>
      </c>
    </row>
    <row r="8049" spans="1:7" x14ac:dyDescent="0.25">
      <c r="A8049" s="2">
        <v>8048</v>
      </c>
      <c r="B8049" s="3" t="s">
        <v>46</v>
      </c>
      <c r="C8049" s="4" t="str">
        <f t="shared" si="688"/>
        <v>Lâm Đồng</v>
      </c>
      <c r="D8049" s="3" t="s">
        <v>555</v>
      </c>
      <c r="E8049" s="4" t="str">
        <f t="shared" si="690"/>
        <v>Huyện Lâm Hà</v>
      </c>
      <c r="F8049" s="3" t="s">
        <v>8809</v>
      </c>
      <c r="G8049" s="4" t="str">
        <f>HYPERLINK("https://diaocthongthai.com/xa-tan-van-lam-ha/","Xã Tân Văn")</f>
        <v>Xã Tân Văn</v>
      </c>
    </row>
    <row r="8050" spans="1:7" x14ac:dyDescent="0.25">
      <c r="A8050" s="2">
        <v>8049</v>
      </c>
      <c r="B8050" s="3" t="s">
        <v>46</v>
      </c>
      <c r="C8050" s="4" t="str">
        <f t="shared" si="688"/>
        <v>Lâm Đồng</v>
      </c>
      <c r="D8050" s="3" t="s">
        <v>555</v>
      </c>
      <c r="E8050" s="4" t="str">
        <f t="shared" si="690"/>
        <v>Huyện Lâm Hà</v>
      </c>
      <c r="F8050" s="3" t="s">
        <v>8810</v>
      </c>
      <c r="G8050" s="4" t="str">
        <f>HYPERLINK("https://diaocthongthai.com/xa-hoai-duc-lam-ha/","Xã Hoài Đức")</f>
        <v>Xã Hoài Đức</v>
      </c>
    </row>
    <row r="8051" spans="1:7" x14ac:dyDescent="0.25">
      <c r="A8051" s="2">
        <v>8050</v>
      </c>
      <c r="B8051" s="3" t="s">
        <v>46</v>
      </c>
      <c r="C8051" s="4" t="str">
        <f t="shared" si="688"/>
        <v>Lâm Đồng</v>
      </c>
      <c r="D8051" s="3" t="s">
        <v>555</v>
      </c>
      <c r="E8051" s="4" t="str">
        <f t="shared" si="690"/>
        <v>Huyện Lâm Hà</v>
      </c>
      <c r="F8051" s="3" t="s">
        <v>8811</v>
      </c>
      <c r="G8051" s="4" t="str">
        <f>HYPERLINK("https://diaocthongthai.com/xa-tan-ha-lam-ha/","Xã Tân Hà")</f>
        <v>Xã Tân Hà</v>
      </c>
    </row>
    <row r="8052" spans="1:7" x14ac:dyDescent="0.25">
      <c r="A8052" s="2">
        <v>8051</v>
      </c>
      <c r="B8052" s="3" t="s">
        <v>46</v>
      </c>
      <c r="C8052" s="4" t="str">
        <f t="shared" si="688"/>
        <v>Lâm Đồng</v>
      </c>
      <c r="D8052" s="3" t="s">
        <v>555</v>
      </c>
      <c r="E8052" s="4" t="str">
        <f t="shared" si="690"/>
        <v>Huyện Lâm Hà</v>
      </c>
      <c r="F8052" s="3" t="s">
        <v>8812</v>
      </c>
      <c r="G8052" s="4" t="str">
        <f>HYPERLINK("https://diaocthongthai.com/xa-lien-ha-lam-ha/","Xã Liên Hà")</f>
        <v>Xã Liên Hà</v>
      </c>
    </row>
    <row r="8053" spans="1:7" x14ac:dyDescent="0.25">
      <c r="A8053" s="2">
        <v>8052</v>
      </c>
      <c r="B8053" s="3" t="s">
        <v>46</v>
      </c>
      <c r="C8053" s="4" t="str">
        <f t="shared" si="688"/>
        <v>Lâm Đồng</v>
      </c>
      <c r="D8053" s="3" t="s">
        <v>555</v>
      </c>
      <c r="E8053" s="4" t="str">
        <f t="shared" si="690"/>
        <v>Huyện Lâm Hà</v>
      </c>
      <c r="F8053" s="3" t="s">
        <v>8813</v>
      </c>
      <c r="G8053" s="4" t="str">
        <f>HYPERLINK("https://diaocthongthai.com/xa-dan-phuong-lam-ha/","Xã Đan Phượng")</f>
        <v>Xã Đan Phượng</v>
      </c>
    </row>
    <row r="8054" spans="1:7" x14ac:dyDescent="0.25">
      <c r="A8054" s="2">
        <v>8053</v>
      </c>
      <c r="B8054" s="3" t="s">
        <v>46</v>
      </c>
      <c r="C8054" s="4" t="str">
        <f t="shared" si="688"/>
        <v>Lâm Đồng</v>
      </c>
      <c r="D8054" s="3" t="s">
        <v>555</v>
      </c>
      <c r="E8054" s="4" t="str">
        <f t="shared" si="690"/>
        <v>Huyện Lâm Hà</v>
      </c>
      <c r="F8054" s="3" t="s">
        <v>8814</v>
      </c>
      <c r="G8054" s="4" t="str">
        <f>HYPERLINK("https://diaocthongthai.com/xa-nam-ha-lam-ha/","Xã Nam Hà")</f>
        <v>Xã Nam Hà</v>
      </c>
    </row>
    <row r="8055" spans="1:7" x14ac:dyDescent="0.25">
      <c r="A8055" s="2">
        <v>8054</v>
      </c>
      <c r="B8055" s="3" t="s">
        <v>46</v>
      </c>
      <c r="C8055" s="4" t="str">
        <f t="shared" si="688"/>
        <v>Lâm Đồng</v>
      </c>
      <c r="D8055" s="3" t="s">
        <v>556</v>
      </c>
      <c r="E8055" s="4" t="str">
        <f t="shared" ref="E8055:E8064" si="691">HYPERLINK("https://diaocthongthai.com/ban-do-huyen-don-duong-lam-dong/","Huyện Đơn Dương")</f>
        <v>Huyện Đơn Dương</v>
      </c>
      <c r="F8055" s="3" t="s">
        <v>8815</v>
      </c>
      <c r="G8055" s="4" t="str">
        <f>HYPERLINK("https://diaocthongthai.com/thi-tran-d-ran-don-duong/","Thị trấn D'Ran")</f>
        <v>Thị trấn D'Ran</v>
      </c>
    </row>
    <row r="8056" spans="1:7" x14ac:dyDescent="0.25">
      <c r="A8056" s="2">
        <v>8055</v>
      </c>
      <c r="B8056" s="3" t="s">
        <v>46</v>
      </c>
      <c r="C8056" s="4" t="str">
        <f t="shared" si="688"/>
        <v>Lâm Đồng</v>
      </c>
      <c r="D8056" s="3" t="s">
        <v>556</v>
      </c>
      <c r="E8056" s="4" t="str">
        <f t="shared" si="691"/>
        <v>Huyện Đơn Dương</v>
      </c>
      <c r="F8056" s="3" t="s">
        <v>8816</v>
      </c>
      <c r="G8056" s="4" t="str">
        <f>HYPERLINK("https://diaocthongthai.com/thi-tran-thanh-my-don-duong/","Thị trấn Thạnh Mỹ")</f>
        <v>Thị trấn Thạnh Mỹ</v>
      </c>
    </row>
    <row r="8057" spans="1:7" x14ac:dyDescent="0.25">
      <c r="A8057" s="2">
        <v>8056</v>
      </c>
      <c r="B8057" s="3" t="s">
        <v>46</v>
      </c>
      <c r="C8057" s="4" t="str">
        <f t="shared" si="688"/>
        <v>Lâm Đồng</v>
      </c>
      <c r="D8057" s="3" t="s">
        <v>556</v>
      </c>
      <c r="E8057" s="4" t="str">
        <f t="shared" si="691"/>
        <v>Huyện Đơn Dương</v>
      </c>
      <c r="F8057" s="3" t="s">
        <v>8817</v>
      </c>
      <c r="G8057" s="4" t="str">
        <f>HYPERLINK("https://diaocthongthai.com/xa-lac-xuan-don-duong/","Xã Lạc Xuân")</f>
        <v>Xã Lạc Xuân</v>
      </c>
    </row>
    <row r="8058" spans="1:7" x14ac:dyDescent="0.25">
      <c r="A8058" s="2">
        <v>8057</v>
      </c>
      <c r="B8058" s="3" t="s">
        <v>46</v>
      </c>
      <c r="C8058" s="4" t="str">
        <f t="shared" si="688"/>
        <v>Lâm Đồng</v>
      </c>
      <c r="D8058" s="3" t="s">
        <v>556</v>
      </c>
      <c r="E8058" s="4" t="str">
        <f t="shared" si="691"/>
        <v>Huyện Đơn Dương</v>
      </c>
      <c r="F8058" s="3" t="s">
        <v>8818</v>
      </c>
      <c r="G8058" s="4" t="str">
        <f>HYPERLINK("https://diaocthongthai.com/xa-da-ron-don-duong/","Xã Đạ Ròn")</f>
        <v>Xã Đạ Ròn</v>
      </c>
    </row>
    <row r="8059" spans="1:7" x14ac:dyDescent="0.25">
      <c r="A8059" s="2">
        <v>8058</v>
      </c>
      <c r="B8059" s="3" t="s">
        <v>46</v>
      </c>
      <c r="C8059" s="4" t="str">
        <f t="shared" si="688"/>
        <v>Lâm Đồng</v>
      </c>
      <c r="D8059" s="3" t="s">
        <v>556</v>
      </c>
      <c r="E8059" s="4" t="str">
        <f t="shared" si="691"/>
        <v>Huyện Đơn Dương</v>
      </c>
      <c r="F8059" s="3" t="s">
        <v>8819</v>
      </c>
      <c r="G8059" s="4" t="str">
        <f>HYPERLINK("https://diaocthongthai.com/xa-lac-lam-don-duong/","Xã Lạc Lâm")</f>
        <v>Xã Lạc Lâm</v>
      </c>
    </row>
    <row r="8060" spans="1:7" x14ac:dyDescent="0.25">
      <c r="A8060" s="2">
        <v>8059</v>
      </c>
      <c r="B8060" s="3" t="s">
        <v>46</v>
      </c>
      <c r="C8060" s="4" t="str">
        <f t="shared" si="688"/>
        <v>Lâm Đồng</v>
      </c>
      <c r="D8060" s="3" t="s">
        <v>556</v>
      </c>
      <c r="E8060" s="4" t="str">
        <f t="shared" si="691"/>
        <v>Huyện Đơn Dương</v>
      </c>
      <c r="F8060" s="3" t="s">
        <v>8820</v>
      </c>
      <c r="G8060" s="4" t="str">
        <f>HYPERLINK("https://diaocthongthai.com/xa-ka-do-don-duong/","Xã Ka Đô")</f>
        <v>Xã Ka Đô</v>
      </c>
    </row>
    <row r="8061" spans="1:7" x14ac:dyDescent="0.25">
      <c r="A8061" s="2">
        <v>8060</v>
      </c>
      <c r="B8061" s="3" t="s">
        <v>46</v>
      </c>
      <c r="C8061" s="4" t="str">
        <f t="shared" si="688"/>
        <v>Lâm Đồng</v>
      </c>
      <c r="D8061" s="3" t="s">
        <v>556</v>
      </c>
      <c r="E8061" s="4" t="str">
        <f t="shared" si="691"/>
        <v>Huyện Đơn Dương</v>
      </c>
      <c r="F8061" s="3" t="s">
        <v>8821</v>
      </c>
      <c r="G8061" s="4" t="str">
        <f>HYPERLINK("https://diaocthongthai.com/xa-quang-lap-don-duong/","Xã Quảng Lập")</f>
        <v>Xã Quảng Lập</v>
      </c>
    </row>
    <row r="8062" spans="1:7" x14ac:dyDescent="0.25">
      <c r="A8062" s="2">
        <v>8061</v>
      </c>
      <c r="B8062" s="3" t="s">
        <v>46</v>
      </c>
      <c r="C8062" s="4" t="str">
        <f t="shared" ref="C8062:C8093" si="692">HYPERLINK("https://diaocthongthai.com/ban-do-lam-dong/","Lâm Đồng")</f>
        <v>Lâm Đồng</v>
      </c>
      <c r="D8062" s="3" t="s">
        <v>556</v>
      </c>
      <c r="E8062" s="4" t="str">
        <f t="shared" si="691"/>
        <v>Huyện Đơn Dương</v>
      </c>
      <c r="F8062" s="3" t="s">
        <v>8822</v>
      </c>
      <c r="G8062" s="4" t="str">
        <f>HYPERLINK("https://diaocthongthai.com/xa-ka-don-don-duong/","Xã Ka Đơn")</f>
        <v>Xã Ka Đơn</v>
      </c>
    </row>
    <row r="8063" spans="1:7" x14ac:dyDescent="0.25">
      <c r="A8063" s="2">
        <v>8062</v>
      </c>
      <c r="B8063" s="3" t="s">
        <v>46</v>
      </c>
      <c r="C8063" s="4" t="str">
        <f t="shared" si="692"/>
        <v>Lâm Đồng</v>
      </c>
      <c r="D8063" s="3" t="s">
        <v>556</v>
      </c>
      <c r="E8063" s="4" t="str">
        <f t="shared" si="691"/>
        <v>Huyện Đơn Dương</v>
      </c>
      <c r="F8063" s="3" t="s">
        <v>8823</v>
      </c>
      <c r="G8063" s="4" t="str">
        <f>HYPERLINK("https://diaocthongthai.com/xa-tu-tra-don-duong/","Xã Tu Tra")</f>
        <v>Xã Tu Tra</v>
      </c>
    </row>
    <row r="8064" spans="1:7" x14ac:dyDescent="0.25">
      <c r="A8064" s="2">
        <v>8063</v>
      </c>
      <c r="B8064" s="3" t="s">
        <v>46</v>
      </c>
      <c r="C8064" s="4" t="str">
        <f t="shared" si="692"/>
        <v>Lâm Đồng</v>
      </c>
      <c r="D8064" s="3" t="s">
        <v>556</v>
      </c>
      <c r="E8064" s="4" t="str">
        <f t="shared" si="691"/>
        <v>Huyện Đơn Dương</v>
      </c>
      <c r="F8064" s="3" t="s">
        <v>8824</v>
      </c>
      <c r="G8064" s="4" t="str">
        <f>HYPERLINK("https://diaocthongthai.com/xa-pro-don-duong/","Xã Pró")</f>
        <v>Xã Pró</v>
      </c>
    </row>
    <row r="8065" spans="1:7" x14ac:dyDescent="0.25">
      <c r="A8065" s="2">
        <v>8064</v>
      </c>
      <c r="B8065" s="3" t="s">
        <v>46</v>
      </c>
      <c r="C8065" s="4" t="str">
        <f t="shared" si="692"/>
        <v>Lâm Đồng</v>
      </c>
      <c r="D8065" s="3" t="s">
        <v>557</v>
      </c>
      <c r="E8065" s="4" t="str">
        <f t="shared" ref="E8065:E8079" si="693">HYPERLINK("https://diaocthongthai.com/ban-do-huyen-duc-trong-lam-dong/","Huyện Đức Trọng")</f>
        <v>Huyện Đức Trọng</v>
      </c>
      <c r="F8065" s="3" t="s">
        <v>8825</v>
      </c>
      <c r="G8065" s="4" t="str">
        <f>HYPERLINK("https://diaocthongthai.com/thi-tran-lien-nghia-duc-trong/","Thị trấn Liên Nghĩa")</f>
        <v>Thị trấn Liên Nghĩa</v>
      </c>
    </row>
    <row r="8066" spans="1:7" x14ac:dyDescent="0.25">
      <c r="A8066" s="2">
        <v>8065</v>
      </c>
      <c r="B8066" s="3" t="s">
        <v>46</v>
      </c>
      <c r="C8066" s="4" t="str">
        <f t="shared" si="692"/>
        <v>Lâm Đồng</v>
      </c>
      <c r="D8066" s="3" t="s">
        <v>557</v>
      </c>
      <c r="E8066" s="4" t="str">
        <f t="shared" si="693"/>
        <v>Huyện Đức Trọng</v>
      </c>
      <c r="F8066" s="3" t="s">
        <v>8826</v>
      </c>
      <c r="G8066" s="4" t="str">
        <f>HYPERLINK("https://diaocthongthai.com/xa-hiep-an-duc-trong/","Xã Hiệp An")</f>
        <v>Xã Hiệp An</v>
      </c>
    </row>
    <row r="8067" spans="1:7" x14ac:dyDescent="0.25">
      <c r="A8067" s="2">
        <v>8066</v>
      </c>
      <c r="B8067" s="3" t="s">
        <v>46</v>
      </c>
      <c r="C8067" s="4" t="str">
        <f t="shared" si="692"/>
        <v>Lâm Đồng</v>
      </c>
      <c r="D8067" s="3" t="s">
        <v>557</v>
      </c>
      <c r="E8067" s="4" t="str">
        <f t="shared" si="693"/>
        <v>Huyện Đức Trọng</v>
      </c>
      <c r="F8067" s="3" t="s">
        <v>8827</v>
      </c>
      <c r="G8067" s="4" t="str">
        <f>HYPERLINK("https://diaocthongthai.com/xa-lien-hiep-duc-trong/","Xã Liên Hiệp")</f>
        <v>Xã Liên Hiệp</v>
      </c>
    </row>
    <row r="8068" spans="1:7" x14ac:dyDescent="0.25">
      <c r="A8068" s="2">
        <v>8067</v>
      </c>
      <c r="B8068" s="3" t="s">
        <v>46</v>
      </c>
      <c r="C8068" s="4" t="str">
        <f t="shared" si="692"/>
        <v>Lâm Đồng</v>
      </c>
      <c r="D8068" s="3" t="s">
        <v>557</v>
      </c>
      <c r="E8068" s="4" t="str">
        <f t="shared" si="693"/>
        <v>Huyện Đức Trọng</v>
      </c>
      <c r="F8068" s="3" t="s">
        <v>8828</v>
      </c>
      <c r="G8068" s="4" t="str">
        <f>HYPERLINK("https://diaocthongthai.com/xa-hiep-thanh-duc-trong/","Xã Hiệp Thạnh")</f>
        <v>Xã Hiệp Thạnh</v>
      </c>
    </row>
    <row r="8069" spans="1:7" x14ac:dyDescent="0.25">
      <c r="A8069" s="2">
        <v>8068</v>
      </c>
      <c r="B8069" s="3" t="s">
        <v>46</v>
      </c>
      <c r="C8069" s="4" t="str">
        <f t="shared" si="692"/>
        <v>Lâm Đồng</v>
      </c>
      <c r="D8069" s="3" t="s">
        <v>557</v>
      </c>
      <c r="E8069" s="4" t="str">
        <f t="shared" si="693"/>
        <v>Huyện Đức Trọng</v>
      </c>
      <c r="F8069" s="3" t="s">
        <v>8829</v>
      </c>
      <c r="G8069" s="4" t="str">
        <f>HYPERLINK("https://diaocthongthai.com/xa-binh-thanh-duc-trong/","Xã Bình Thạnh")</f>
        <v>Xã Bình Thạnh</v>
      </c>
    </row>
    <row r="8070" spans="1:7" x14ac:dyDescent="0.25">
      <c r="A8070" s="2">
        <v>8069</v>
      </c>
      <c r="B8070" s="3" t="s">
        <v>46</v>
      </c>
      <c r="C8070" s="4" t="str">
        <f t="shared" si="692"/>
        <v>Lâm Đồng</v>
      </c>
      <c r="D8070" s="3" t="s">
        <v>557</v>
      </c>
      <c r="E8070" s="4" t="str">
        <f t="shared" si="693"/>
        <v>Huyện Đức Trọng</v>
      </c>
      <c r="F8070" s="3" t="s">
        <v>8830</v>
      </c>
      <c r="G8070" s="4" t="str">
        <f>HYPERLINK("https://diaocthongthai.com/xa-n-thol-ha-duc-trong/","Xã N'Thol Hạ")</f>
        <v>Xã N'Thol Hạ</v>
      </c>
    </row>
    <row r="8071" spans="1:7" x14ac:dyDescent="0.25">
      <c r="A8071" s="2">
        <v>8070</v>
      </c>
      <c r="B8071" s="3" t="s">
        <v>46</v>
      </c>
      <c r="C8071" s="4" t="str">
        <f t="shared" si="692"/>
        <v>Lâm Đồng</v>
      </c>
      <c r="D8071" s="3" t="s">
        <v>557</v>
      </c>
      <c r="E8071" s="4" t="str">
        <f t="shared" si="693"/>
        <v>Huyện Đức Trọng</v>
      </c>
      <c r="F8071" s="3" t="s">
        <v>8831</v>
      </c>
      <c r="G8071" s="4" t="str">
        <f>HYPERLINK("https://diaocthongthai.com/xa-tan-hoi-duc-trong/","Xã Tân Hội")</f>
        <v>Xã Tân Hội</v>
      </c>
    </row>
    <row r="8072" spans="1:7" x14ac:dyDescent="0.25">
      <c r="A8072" s="2">
        <v>8071</v>
      </c>
      <c r="B8072" s="3" t="s">
        <v>46</v>
      </c>
      <c r="C8072" s="4" t="str">
        <f t="shared" si="692"/>
        <v>Lâm Đồng</v>
      </c>
      <c r="D8072" s="3" t="s">
        <v>557</v>
      </c>
      <c r="E8072" s="4" t="str">
        <f t="shared" si="693"/>
        <v>Huyện Đức Trọng</v>
      </c>
      <c r="F8072" s="3" t="s">
        <v>8832</v>
      </c>
      <c r="G8072" s="4" t="str">
        <f>HYPERLINK("https://diaocthongthai.com/xa-tan-thanh-duc-trong/","Xã Tân Thành")</f>
        <v>Xã Tân Thành</v>
      </c>
    </row>
    <row r="8073" spans="1:7" x14ac:dyDescent="0.25">
      <c r="A8073" s="2">
        <v>8072</v>
      </c>
      <c r="B8073" s="3" t="s">
        <v>46</v>
      </c>
      <c r="C8073" s="4" t="str">
        <f t="shared" si="692"/>
        <v>Lâm Đồng</v>
      </c>
      <c r="D8073" s="3" t="s">
        <v>557</v>
      </c>
      <c r="E8073" s="4" t="str">
        <f t="shared" si="693"/>
        <v>Huyện Đức Trọng</v>
      </c>
      <c r="F8073" s="3" t="s">
        <v>8833</v>
      </c>
      <c r="G8073" s="4" t="str">
        <f>HYPERLINK("https://diaocthongthai.com/xa-phu-hoi-duc-trong/","Xã Phú Hội")</f>
        <v>Xã Phú Hội</v>
      </c>
    </row>
    <row r="8074" spans="1:7" x14ac:dyDescent="0.25">
      <c r="A8074" s="2">
        <v>8073</v>
      </c>
      <c r="B8074" s="3" t="s">
        <v>46</v>
      </c>
      <c r="C8074" s="4" t="str">
        <f t="shared" si="692"/>
        <v>Lâm Đồng</v>
      </c>
      <c r="D8074" s="3" t="s">
        <v>557</v>
      </c>
      <c r="E8074" s="4" t="str">
        <f t="shared" si="693"/>
        <v>Huyện Đức Trọng</v>
      </c>
      <c r="F8074" s="3" t="s">
        <v>8834</v>
      </c>
      <c r="G8074" s="4" t="str">
        <f>HYPERLINK("https://diaocthongthai.com/xa-ninh-gia-duc-trong/","Xã Ninh Gia")</f>
        <v>Xã Ninh Gia</v>
      </c>
    </row>
    <row r="8075" spans="1:7" x14ac:dyDescent="0.25">
      <c r="A8075" s="2">
        <v>8074</v>
      </c>
      <c r="B8075" s="3" t="s">
        <v>46</v>
      </c>
      <c r="C8075" s="4" t="str">
        <f t="shared" si="692"/>
        <v>Lâm Đồng</v>
      </c>
      <c r="D8075" s="3" t="s">
        <v>557</v>
      </c>
      <c r="E8075" s="4" t="str">
        <f t="shared" si="693"/>
        <v>Huyện Đức Trọng</v>
      </c>
      <c r="F8075" s="3" t="s">
        <v>8835</v>
      </c>
      <c r="G8075" s="4" t="str">
        <f>HYPERLINK("https://diaocthongthai.com/xa-ta-nang-duc-trong/","Xã Tà Năng")</f>
        <v>Xã Tà Năng</v>
      </c>
    </row>
    <row r="8076" spans="1:7" x14ac:dyDescent="0.25">
      <c r="A8076" s="2">
        <v>8075</v>
      </c>
      <c r="B8076" s="3" t="s">
        <v>46</v>
      </c>
      <c r="C8076" s="4" t="str">
        <f t="shared" si="692"/>
        <v>Lâm Đồng</v>
      </c>
      <c r="D8076" s="3" t="s">
        <v>557</v>
      </c>
      <c r="E8076" s="4" t="str">
        <f t="shared" si="693"/>
        <v>Huyện Đức Trọng</v>
      </c>
      <c r="F8076" s="3" t="s">
        <v>8836</v>
      </c>
      <c r="G8076" s="4" t="str">
        <f>HYPERLINK("https://diaocthongthai.com/xa-da-quyn-duc-trong/","Xã Đa Quyn")</f>
        <v>Xã Đa Quyn</v>
      </c>
    </row>
    <row r="8077" spans="1:7" x14ac:dyDescent="0.25">
      <c r="A8077" s="2">
        <v>8076</v>
      </c>
      <c r="B8077" s="3" t="s">
        <v>46</v>
      </c>
      <c r="C8077" s="4" t="str">
        <f t="shared" si="692"/>
        <v>Lâm Đồng</v>
      </c>
      <c r="D8077" s="3" t="s">
        <v>557</v>
      </c>
      <c r="E8077" s="4" t="str">
        <f t="shared" si="693"/>
        <v>Huyện Đức Trọng</v>
      </c>
      <c r="F8077" s="3" t="s">
        <v>8837</v>
      </c>
      <c r="G8077" s="4" t="str">
        <f>HYPERLINK("https://diaocthongthai.com/xa-ta-hine-duc-trong/","Xã Tà Hine")</f>
        <v>Xã Tà Hine</v>
      </c>
    </row>
    <row r="8078" spans="1:7" x14ac:dyDescent="0.25">
      <c r="A8078" s="2">
        <v>8077</v>
      </c>
      <c r="B8078" s="3" t="s">
        <v>46</v>
      </c>
      <c r="C8078" s="4" t="str">
        <f t="shared" si="692"/>
        <v>Lâm Đồng</v>
      </c>
      <c r="D8078" s="3" t="s">
        <v>557</v>
      </c>
      <c r="E8078" s="4" t="str">
        <f t="shared" si="693"/>
        <v>Huyện Đức Trọng</v>
      </c>
      <c r="F8078" s="3" t="s">
        <v>8838</v>
      </c>
      <c r="G8078" s="4" t="str">
        <f>HYPERLINK("https://diaocthongthai.com/xa-da-loan-duc-trong/","Xã Đà Loan")</f>
        <v>Xã Đà Loan</v>
      </c>
    </row>
    <row r="8079" spans="1:7" x14ac:dyDescent="0.25">
      <c r="A8079" s="2">
        <v>8078</v>
      </c>
      <c r="B8079" s="3" t="s">
        <v>46</v>
      </c>
      <c r="C8079" s="4" t="str">
        <f t="shared" si="692"/>
        <v>Lâm Đồng</v>
      </c>
      <c r="D8079" s="3" t="s">
        <v>557</v>
      </c>
      <c r="E8079" s="4" t="str">
        <f t="shared" si="693"/>
        <v>Huyện Đức Trọng</v>
      </c>
      <c r="F8079" s="3" t="s">
        <v>8839</v>
      </c>
      <c r="G8079" s="4" t="str">
        <f>HYPERLINK("https://diaocthongthai.com/xa-ninh-loan-duc-trong/","Xã Ninh Loan")</f>
        <v>Xã Ninh Loan</v>
      </c>
    </row>
    <row r="8080" spans="1:7" x14ac:dyDescent="0.25">
      <c r="A8080" s="2">
        <v>8079</v>
      </c>
      <c r="B8080" s="3" t="s">
        <v>46</v>
      </c>
      <c r="C8080" s="4" t="str">
        <f t="shared" si="692"/>
        <v>Lâm Đồng</v>
      </c>
      <c r="D8080" s="3" t="s">
        <v>558</v>
      </c>
      <c r="E8080" s="4" t="str">
        <f t="shared" ref="E8080:E8098" si="694">HYPERLINK("https://diaocthongthai.com/ban-do-huyen-di-linh-lam-dong/","Huyện Di Linh")</f>
        <v>Huyện Di Linh</v>
      </c>
      <c r="F8080" s="3" t="s">
        <v>8840</v>
      </c>
      <c r="G8080" s="4" t="str">
        <f>HYPERLINK("https://diaocthongthai.com/thi-tran-di-linh-di-linh/","Thị trấn Di Linh")</f>
        <v>Thị trấn Di Linh</v>
      </c>
    </row>
    <row r="8081" spans="1:7" x14ac:dyDescent="0.25">
      <c r="A8081" s="2">
        <v>8080</v>
      </c>
      <c r="B8081" s="3" t="s">
        <v>46</v>
      </c>
      <c r="C8081" s="4" t="str">
        <f t="shared" si="692"/>
        <v>Lâm Đồng</v>
      </c>
      <c r="D8081" s="3" t="s">
        <v>558</v>
      </c>
      <c r="E8081" s="4" t="str">
        <f t="shared" si="694"/>
        <v>Huyện Di Linh</v>
      </c>
      <c r="F8081" s="3" t="s">
        <v>8841</v>
      </c>
      <c r="G8081" s="4" t="str">
        <f>HYPERLINK("https://diaocthongthai.com/xa-dinh-trang-thuong-di-linh/","Xã Đinh Trang Thượng")</f>
        <v>Xã Đinh Trang Thượng</v>
      </c>
    </row>
    <row r="8082" spans="1:7" x14ac:dyDescent="0.25">
      <c r="A8082" s="2">
        <v>8081</v>
      </c>
      <c r="B8082" s="3" t="s">
        <v>46</v>
      </c>
      <c r="C8082" s="4" t="str">
        <f t="shared" si="692"/>
        <v>Lâm Đồng</v>
      </c>
      <c r="D8082" s="3" t="s">
        <v>558</v>
      </c>
      <c r="E8082" s="4" t="str">
        <f t="shared" si="694"/>
        <v>Huyện Di Linh</v>
      </c>
      <c r="F8082" s="3" t="s">
        <v>8842</v>
      </c>
      <c r="G8082" s="4" t="str">
        <f>HYPERLINK("https://diaocthongthai.com/xa-tan-thuong-di-linh/","Xã Tân Thượng")</f>
        <v>Xã Tân Thượng</v>
      </c>
    </row>
    <row r="8083" spans="1:7" x14ac:dyDescent="0.25">
      <c r="A8083" s="2">
        <v>8082</v>
      </c>
      <c r="B8083" s="3" t="s">
        <v>46</v>
      </c>
      <c r="C8083" s="4" t="str">
        <f t="shared" si="692"/>
        <v>Lâm Đồng</v>
      </c>
      <c r="D8083" s="3" t="s">
        <v>558</v>
      </c>
      <c r="E8083" s="4" t="str">
        <f t="shared" si="694"/>
        <v>Huyện Di Linh</v>
      </c>
      <c r="F8083" s="3" t="s">
        <v>8843</v>
      </c>
      <c r="G8083" s="4" t="str">
        <f>HYPERLINK("https://diaocthongthai.com/xa-tan-lam-di-linh/","Xã Tân Lâm")</f>
        <v>Xã Tân Lâm</v>
      </c>
    </row>
    <row r="8084" spans="1:7" x14ac:dyDescent="0.25">
      <c r="A8084" s="2">
        <v>8083</v>
      </c>
      <c r="B8084" s="3" t="s">
        <v>46</v>
      </c>
      <c r="C8084" s="4" t="str">
        <f t="shared" si="692"/>
        <v>Lâm Đồng</v>
      </c>
      <c r="D8084" s="3" t="s">
        <v>558</v>
      </c>
      <c r="E8084" s="4" t="str">
        <f t="shared" si="694"/>
        <v>Huyện Di Linh</v>
      </c>
      <c r="F8084" s="3" t="s">
        <v>8844</v>
      </c>
      <c r="G8084" s="4" t="str">
        <f>HYPERLINK("https://diaocthongthai.com/xa-tan-chau-di-linh/","Xã Tân Châu")</f>
        <v>Xã Tân Châu</v>
      </c>
    </row>
    <row r="8085" spans="1:7" x14ac:dyDescent="0.25">
      <c r="A8085" s="2">
        <v>8084</v>
      </c>
      <c r="B8085" s="3" t="s">
        <v>46</v>
      </c>
      <c r="C8085" s="4" t="str">
        <f t="shared" si="692"/>
        <v>Lâm Đồng</v>
      </c>
      <c r="D8085" s="3" t="s">
        <v>558</v>
      </c>
      <c r="E8085" s="4" t="str">
        <f t="shared" si="694"/>
        <v>Huyện Di Linh</v>
      </c>
      <c r="F8085" s="3" t="s">
        <v>8845</v>
      </c>
      <c r="G8085" s="4" t="str">
        <f>HYPERLINK("https://diaocthongthai.com/xa-tan-nghia-di-linh/","Xã Tân Nghĩa")</f>
        <v>Xã Tân Nghĩa</v>
      </c>
    </row>
    <row r="8086" spans="1:7" x14ac:dyDescent="0.25">
      <c r="A8086" s="2">
        <v>8085</v>
      </c>
      <c r="B8086" s="3" t="s">
        <v>46</v>
      </c>
      <c r="C8086" s="4" t="str">
        <f t="shared" si="692"/>
        <v>Lâm Đồng</v>
      </c>
      <c r="D8086" s="3" t="s">
        <v>558</v>
      </c>
      <c r="E8086" s="4" t="str">
        <f t="shared" si="694"/>
        <v>Huyện Di Linh</v>
      </c>
      <c r="F8086" s="3" t="s">
        <v>8846</v>
      </c>
      <c r="G8086" s="4" t="str">
        <f>HYPERLINK("https://diaocthongthai.com/xa-gia-hiep-di-linh/","Xã Gia Hiệp")</f>
        <v>Xã Gia Hiệp</v>
      </c>
    </row>
    <row r="8087" spans="1:7" x14ac:dyDescent="0.25">
      <c r="A8087" s="2">
        <v>8086</v>
      </c>
      <c r="B8087" s="3" t="s">
        <v>46</v>
      </c>
      <c r="C8087" s="4" t="str">
        <f t="shared" si="692"/>
        <v>Lâm Đồng</v>
      </c>
      <c r="D8087" s="3" t="s">
        <v>558</v>
      </c>
      <c r="E8087" s="4" t="str">
        <f t="shared" si="694"/>
        <v>Huyện Di Linh</v>
      </c>
      <c r="F8087" s="3" t="s">
        <v>8847</v>
      </c>
      <c r="G8087" s="4" t="str">
        <f>HYPERLINK("https://diaocthongthai.com/xa-dinh-lac-di-linh/","Xã Đinh Lạc")</f>
        <v>Xã Đinh Lạc</v>
      </c>
    </row>
    <row r="8088" spans="1:7" x14ac:dyDescent="0.25">
      <c r="A8088" s="2">
        <v>8087</v>
      </c>
      <c r="B8088" s="3" t="s">
        <v>46</v>
      </c>
      <c r="C8088" s="4" t="str">
        <f t="shared" si="692"/>
        <v>Lâm Đồng</v>
      </c>
      <c r="D8088" s="3" t="s">
        <v>558</v>
      </c>
      <c r="E8088" s="4" t="str">
        <f t="shared" si="694"/>
        <v>Huyện Di Linh</v>
      </c>
      <c r="F8088" s="3" t="s">
        <v>8848</v>
      </c>
      <c r="G8088" s="4" t="str">
        <f>HYPERLINK("https://diaocthongthai.com/xa-tam-bo-di-linh/","Xã Tam Bố")</f>
        <v>Xã Tam Bố</v>
      </c>
    </row>
    <row r="8089" spans="1:7" x14ac:dyDescent="0.25">
      <c r="A8089" s="2">
        <v>8088</v>
      </c>
      <c r="B8089" s="3" t="s">
        <v>46</v>
      </c>
      <c r="C8089" s="4" t="str">
        <f t="shared" si="692"/>
        <v>Lâm Đồng</v>
      </c>
      <c r="D8089" s="3" t="s">
        <v>558</v>
      </c>
      <c r="E8089" s="4" t="str">
        <f t="shared" si="694"/>
        <v>Huyện Di Linh</v>
      </c>
      <c r="F8089" s="3" t="s">
        <v>8849</v>
      </c>
      <c r="G8089" s="4" t="str">
        <f>HYPERLINK("https://diaocthongthai.com/xa-dinh-trang-hoa-di-linh/","Xã Đinh Trang Hòa")</f>
        <v>Xã Đinh Trang Hòa</v>
      </c>
    </row>
    <row r="8090" spans="1:7" x14ac:dyDescent="0.25">
      <c r="A8090" s="2">
        <v>8089</v>
      </c>
      <c r="B8090" s="3" t="s">
        <v>46</v>
      </c>
      <c r="C8090" s="4" t="str">
        <f t="shared" si="692"/>
        <v>Lâm Đồng</v>
      </c>
      <c r="D8090" s="3" t="s">
        <v>558</v>
      </c>
      <c r="E8090" s="4" t="str">
        <f t="shared" si="694"/>
        <v>Huyện Di Linh</v>
      </c>
      <c r="F8090" s="3" t="s">
        <v>8850</v>
      </c>
      <c r="G8090" s="4" t="str">
        <f>HYPERLINK("https://diaocthongthai.com/xa-lien-dam-di-linh/","Xã Liên Đầm")</f>
        <v>Xã Liên Đầm</v>
      </c>
    </row>
    <row r="8091" spans="1:7" x14ac:dyDescent="0.25">
      <c r="A8091" s="2">
        <v>8090</v>
      </c>
      <c r="B8091" s="3" t="s">
        <v>46</v>
      </c>
      <c r="C8091" s="4" t="str">
        <f t="shared" si="692"/>
        <v>Lâm Đồng</v>
      </c>
      <c r="D8091" s="3" t="s">
        <v>558</v>
      </c>
      <c r="E8091" s="4" t="str">
        <f t="shared" si="694"/>
        <v>Huyện Di Linh</v>
      </c>
      <c r="F8091" s="3" t="s">
        <v>8851</v>
      </c>
      <c r="G8091" s="4" t="str">
        <f>HYPERLINK("https://diaocthongthai.com/xa-gung-re-di-linh/","Xã Gung Ré")</f>
        <v>Xã Gung Ré</v>
      </c>
    </row>
    <row r="8092" spans="1:7" x14ac:dyDescent="0.25">
      <c r="A8092" s="2">
        <v>8091</v>
      </c>
      <c r="B8092" s="3" t="s">
        <v>46</v>
      </c>
      <c r="C8092" s="4" t="str">
        <f t="shared" si="692"/>
        <v>Lâm Đồng</v>
      </c>
      <c r="D8092" s="3" t="s">
        <v>558</v>
      </c>
      <c r="E8092" s="4" t="str">
        <f t="shared" si="694"/>
        <v>Huyện Di Linh</v>
      </c>
      <c r="F8092" s="3" t="s">
        <v>8852</v>
      </c>
      <c r="G8092" s="4" t="str">
        <f>HYPERLINK("https://diaocthongthai.com/xa-bao-thuan-di-linh/","Xã Bảo Thuận")</f>
        <v>Xã Bảo Thuận</v>
      </c>
    </row>
    <row r="8093" spans="1:7" x14ac:dyDescent="0.25">
      <c r="A8093" s="2">
        <v>8092</v>
      </c>
      <c r="B8093" s="3" t="s">
        <v>46</v>
      </c>
      <c r="C8093" s="4" t="str">
        <f t="shared" si="692"/>
        <v>Lâm Đồng</v>
      </c>
      <c r="D8093" s="3" t="s">
        <v>558</v>
      </c>
      <c r="E8093" s="4" t="str">
        <f t="shared" si="694"/>
        <v>Huyện Di Linh</v>
      </c>
      <c r="F8093" s="3" t="s">
        <v>8853</v>
      </c>
      <c r="G8093" s="4" t="str">
        <f>HYPERLINK("https://diaocthongthai.com/xa-hoa-ninh-di-linh/","Xã Hòa Ninh")</f>
        <v>Xã Hòa Ninh</v>
      </c>
    </row>
    <row r="8094" spans="1:7" x14ac:dyDescent="0.25">
      <c r="A8094" s="2">
        <v>8093</v>
      </c>
      <c r="B8094" s="3" t="s">
        <v>46</v>
      </c>
      <c r="C8094" s="4" t="str">
        <f t="shared" ref="C8094:C8125" si="695">HYPERLINK("https://diaocthongthai.com/ban-do-lam-dong/","Lâm Đồng")</f>
        <v>Lâm Đồng</v>
      </c>
      <c r="D8094" s="3" t="s">
        <v>558</v>
      </c>
      <c r="E8094" s="4" t="str">
        <f t="shared" si="694"/>
        <v>Huyện Di Linh</v>
      </c>
      <c r="F8094" s="3" t="s">
        <v>8854</v>
      </c>
      <c r="G8094" s="4" t="str">
        <f>HYPERLINK("https://diaocthongthai.com/xa-hoa-trung-di-linh/","Xã Hòa Trung")</f>
        <v>Xã Hòa Trung</v>
      </c>
    </row>
    <row r="8095" spans="1:7" x14ac:dyDescent="0.25">
      <c r="A8095" s="2">
        <v>8094</v>
      </c>
      <c r="B8095" s="3" t="s">
        <v>46</v>
      </c>
      <c r="C8095" s="4" t="str">
        <f t="shared" si="695"/>
        <v>Lâm Đồng</v>
      </c>
      <c r="D8095" s="3" t="s">
        <v>558</v>
      </c>
      <c r="E8095" s="4" t="str">
        <f t="shared" si="694"/>
        <v>Huyện Di Linh</v>
      </c>
      <c r="F8095" s="3" t="s">
        <v>8855</v>
      </c>
      <c r="G8095" s="4" t="str">
        <f>HYPERLINK("https://diaocthongthai.com/xa-hoa-nam-di-linh/","Xã Hòa Nam")</f>
        <v>Xã Hòa Nam</v>
      </c>
    </row>
    <row r="8096" spans="1:7" x14ac:dyDescent="0.25">
      <c r="A8096" s="2">
        <v>8095</v>
      </c>
      <c r="B8096" s="3" t="s">
        <v>46</v>
      </c>
      <c r="C8096" s="4" t="str">
        <f t="shared" si="695"/>
        <v>Lâm Đồng</v>
      </c>
      <c r="D8096" s="3" t="s">
        <v>558</v>
      </c>
      <c r="E8096" s="4" t="str">
        <f t="shared" si="694"/>
        <v>Huyện Di Linh</v>
      </c>
      <c r="F8096" s="3" t="s">
        <v>8856</v>
      </c>
      <c r="G8096" s="4" t="str">
        <f>HYPERLINK("https://diaocthongthai.com/xa-hoa-bac-di-linh/","Xã Hòa Bắc")</f>
        <v>Xã Hòa Bắc</v>
      </c>
    </row>
    <row r="8097" spans="1:7" x14ac:dyDescent="0.25">
      <c r="A8097" s="2">
        <v>8096</v>
      </c>
      <c r="B8097" s="3" t="s">
        <v>46</v>
      </c>
      <c r="C8097" s="4" t="str">
        <f t="shared" si="695"/>
        <v>Lâm Đồng</v>
      </c>
      <c r="D8097" s="3" t="s">
        <v>558</v>
      </c>
      <c r="E8097" s="4" t="str">
        <f t="shared" si="694"/>
        <v>Huyện Di Linh</v>
      </c>
      <c r="F8097" s="3" t="s">
        <v>8857</v>
      </c>
      <c r="G8097" s="4" t="str">
        <f>HYPERLINK("https://diaocthongthai.com/xa-son-dien-di-linh/","Xã Sơn Điền")</f>
        <v>Xã Sơn Điền</v>
      </c>
    </row>
    <row r="8098" spans="1:7" x14ac:dyDescent="0.25">
      <c r="A8098" s="2">
        <v>8097</v>
      </c>
      <c r="B8098" s="3" t="s">
        <v>46</v>
      </c>
      <c r="C8098" s="4" t="str">
        <f t="shared" si="695"/>
        <v>Lâm Đồng</v>
      </c>
      <c r="D8098" s="3" t="s">
        <v>558</v>
      </c>
      <c r="E8098" s="4" t="str">
        <f t="shared" si="694"/>
        <v>Huyện Di Linh</v>
      </c>
      <c r="F8098" s="3" t="s">
        <v>8858</v>
      </c>
      <c r="G8098" s="4" t="str">
        <f>HYPERLINK("https://diaocthongthai.com/xa-gia-bac-di-linh/","Xã Gia Bắc")</f>
        <v>Xã Gia Bắc</v>
      </c>
    </row>
    <row r="8099" spans="1:7" x14ac:dyDescent="0.25">
      <c r="A8099" s="2">
        <v>8098</v>
      </c>
      <c r="B8099" s="3" t="s">
        <v>46</v>
      </c>
      <c r="C8099" s="4" t="str">
        <f t="shared" si="695"/>
        <v>Lâm Đồng</v>
      </c>
      <c r="D8099" s="3" t="s">
        <v>559</v>
      </c>
      <c r="E8099" s="4" t="str">
        <f t="shared" ref="E8099:E8112" si="696">HYPERLINK("https://diaocthongthai.com/ban-do-huyen-bao-lam-lam-dong/","Huyện Bảo Lâm")</f>
        <v>Huyện Bảo Lâm</v>
      </c>
      <c r="F8099" s="3" t="s">
        <v>8859</v>
      </c>
      <c r="G8099" s="4" t="str">
        <f>HYPERLINK("https://diaocthongthai.com/thi-tran-loc-thang-bao-lam-lam-dong/","Thị trấn Lộc Thắng")</f>
        <v>Thị trấn Lộc Thắng</v>
      </c>
    </row>
    <row r="8100" spans="1:7" x14ac:dyDescent="0.25">
      <c r="A8100" s="2">
        <v>8099</v>
      </c>
      <c r="B8100" s="3" t="s">
        <v>46</v>
      </c>
      <c r="C8100" s="4" t="str">
        <f t="shared" si="695"/>
        <v>Lâm Đồng</v>
      </c>
      <c r="D8100" s="3" t="s">
        <v>559</v>
      </c>
      <c r="E8100" s="4" t="str">
        <f t="shared" si="696"/>
        <v>Huyện Bảo Lâm</v>
      </c>
      <c r="F8100" s="3" t="s">
        <v>8860</v>
      </c>
      <c r="G8100" s="4" t="str">
        <f>HYPERLINK("https://diaocthongthai.com/xa-loc-bao-bao-lam-lam-dong/","Xã Lộc Bảo")</f>
        <v>Xã Lộc Bảo</v>
      </c>
    </row>
    <row r="8101" spans="1:7" x14ac:dyDescent="0.25">
      <c r="A8101" s="2">
        <v>8100</v>
      </c>
      <c r="B8101" s="3" t="s">
        <v>46</v>
      </c>
      <c r="C8101" s="4" t="str">
        <f t="shared" si="695"/>
        <v>Lâm Đồng</v>
      </c>
      <c r="D8101" s="3" t="s">
        <v>559</v>
      </c>
      <c r="E8101" s="4" t="str">
        <f t="shared" si="696"/>
        <v>Huyện Bảo Lâm</v>
      </c>
      <c r="F8101" s="3" t="s">
        <v>8861</v>
      </c>
      <c r="G8101" s="4" t="str">
        <f>HYPERLINK("https://diaocthongthai.com/xa-loc-lam-bao-lam-lam-dong/","Xã Lộc Lâm")</f>
        <v>Xã Lộc Lâm</v>
      </c>
    </row>
    <row r="8102" spans="1:7" x14ac:dyDescent="0.25">
      <c r="A8102" s="2">
        <v>8101</v>
      </c>
      <c r="B8102" s="3" t="s">
        <v>46</v>
      </c>
      <c r="C8102" s="4" t="str">
        <f t="shared" si="695"/>
        <v>Lâm Đồng</v>
      </c>
      <c r="D8102" s="3" t="s">
        <v>559</v>
      </c>
      <c r="E8102" s="4" t="str">
        <f t="shared" si="696"/>
        <v>Huyện Bảo Lâm</v>
      </c>
      <c r="F8102" s="3" t="s">
        <v>8862</v>
      </c>
      <c r="G8102" s="4" t="str">
        <f>HYPERLINK("https://diaocthongthai.com/xa-loc-phu-bao-lam-lam-dong/","Xã Lộc Phú")</f>
        <v>Xã Lộc Phú</v>
      </c>
    </row>
    <row r="8103" spans="1:7" x14ac:dyDescent="0.25">
      <c r="A8103" s="2">
        <v>8102</v>
      </c>
      <c r="B8103" s="3" t="s">
        <v>46</v>
      </c>
      <c r="C8103" s="4" t="str">
        <f t="shared" si="695"/>
        <v>Lâm Đồng</v>
      </c>
      <c r="D8103" s="3" t="s">
        <v>559</v>
      </c>
      <c r="E8103" s="4" t="str">
        <f t="shared" si="696"/>
        <v>Huyện Bảo Lâm</v>
      </c>
      <c r="F8103" s="3" t="s">
        <v>8863</v>
      </c>
      <c r="G8103" s="4" t="str">
        <f>HYPERLINK("https://diaocthongthai.com/xa-loc-bac-bao-lam-lam-dong/","Xã Lộc Bắc")</f>
        <v>Xã Lộc Bắc</v>
      </c>
    </row>
    <row r="8104" spans="1:7" x14ac:dyDescent="0.25">
      <c r="A8104" s="2">
        <v>8103</v>
      </c>
      <c r="B8104" s="3" t="s">
        <v>46</v>
      </c>
      <c r="C8104" s="4" t="str">
        <f t="shared" si="695"/>
        <v>Lâm Đồng</v>
      </c>
      <c r="D8104" s="3" t="s">
        <v>559</v>
      </c>
      <c r="E8104" s="4" t="str">
        <f t="shared" si="696"/>
        <v>Huyện Bảo Lâm</v>
      </c>
      <c r="F8104" s="3" t="s">
        <v>8864</v>
      </c>
      <c r="G8104" s="4" t="str">
        <f>HYPERLINK("https://diaocthongthai.com/xa-b-la-bao-lam-lam-dong/","Xã B' Lá")</f>
        <v>Xã B' Lá</v>
      </c>
    </row>
    <row r="8105" spans="1:7" x14ac:dyDescent="0.25">
      <c r="A8105" s="2">
        <v>8104</v>
      </c>
      <c r="B8105" s="3" t="s">
        <v>46</v>
      </c>
      <c r="C8105" s="4" t="str">
        <f t="shared" si="695"/>
        <v>Lâm Đồng</v>
      </c>
      <c r="D8105" s="3" t="s">
        <v>559</v>
      </c>
      <c r="E8105" s="4" t="str">
        <f t="shared" si="696"/>
        <v>Huyện Bảo Lâm</v>
      </c>
      <c r="F8105" s="3" t="s">
        <v>8865</v>
      </c>
      <c r="G8105" s="4" t="str">
        <f>HYPERLINK("https://diaocthongthai.com/xa-loc-ngai-bao-lam-lam-dong/","Xã Lộc Ngãi")</f>
        <v>Xã Lộc Ngãi</v>
      </c>
    </row>
    <row r="8106" spans="1:7" x14ac:dyDescent="0.25">
      <c r="A8106" s="2">
        <v>8105</v>
      </c>
      <c r="B8106" s="3" t="s">
        <v>46</v>
      </c>
      <c r="C8106" s="4" t="str">
        <f t="shared" si="695"/>
        <v>Lâm Đồng</v>
      </c>
      <c r="D8106" s="3" t="s">
        <v>559</v>
      </c>
      <c r="E8106" s="4" t="str">
        <f t="shared" si="696"/>
        <v>Huyện Bảo Lâm</v>
      </c>
      <c r="F8106" s="3" t="s">
        <v>8866</v>
      </c>
      <c r="G8106" s="4" t="str">
        <f>HYPERLINK("https://diaocthongthai.com/xa-loc-quang-bao-lam-lam-dong/","Xã Lộc Quảng")</f>
        <v>Xã Lộc Quảng</v>
      </c>
    </row>
    <row r="8107" spans="1:7" x14ac:dyDescent="0.25">
      <c r="A8107" s="2">
        <v>8106</v>
      </c>
      <c r="B8107" s="3" t="s">
        <v>46</v>
      </c>
      <c r="C8107" s="4" t="str">
        <f t="shared" si="695"/>
        <v>Lâm Đồng</v>
      </c>
      <c r="D8107" s="3" t="s">
        <v>559</v>
      </c>
      <c r="E8107" s="4" t="str">
        <f t="shared" si="696"/>
        <v>Huyện Bảo Lâm</v>
      </c>
      <c r="F8107" s="3" t="s">
        <v>8867</v>
      </c>
      <c r="G8107" s="4" t="str">
        <f>HYPERLINK("https://diaocthongthai.com/xa-loc-tan-bao-lam-lam-dong/","Xã Lộc Tân")</f>
        <v>Xã Lộc Tân</v>
      </c>
    </row>
    <row r="8108" spans="1:7" x14ac:dyDescent="0.25">
      <c r="A8108" s="2">
        <v>8107</v>
      </c>
      <c r="B8108" s="3" t="s">
        <v>46</v>
      </c>
      <c r="C8108" s="4" t="str">
        <f t="shared" si="695"/>
        <v>Lâm Đồng</v>
      </c>
      <c r="D8108" s="3" t="s">
        <v>559</v>
      </c>
      <c r="E8108" s="4" t="str">
        <f t="shared" si="696"/>
        <v>Huyện Bảo Lâm</v>
      </c>
      <c r="F8108" s="3" t="s">
        <v>8868</v>
      </c>
      <c r="G8108" s="4" t="str">
        <f>HYPERLINK("https://diaocthongthai.com/xa-loc-duc-bao-lam-lam-dong/","Xã Lộc Đức")</f>
        <v>Xã Lộc Đức</v>
      </c>
    </row>
    <row r="8109" spans="1:7" x14ac:dyDescent="0.25">
      <c r="A8109" s="2">
        <v>8108</v>
      </c>
      <c r="B8109" s="3" t="s">
        <v>46</v>
      </c>
      <c r="C8109" s="4" t="str">
        <f t="shared" si="695"/>
        <v>Lâm Đồng</v>
      </c>
      <c r="D8109" s="3" t="s">
        <v>559</v>
      </c>
      <c r="E8109" s="4" t="str">
        <f t="shared" si="696"/>
        <v>Huyện Bảo Lâm</v>
      </c>
      <c r="F8109" s="3" t="s">
        <v>8869</v>
      </c>
      <c r="G8109" s="4" t="str">
        <f>HYPERLINK("https://diaocthongthai.com/xa-loc-an-bao-lam-lam-dong/","Xã Lộc An")</f>
        <v>Xã Lộc An</v>
      </c>
    </row>
    <row r="8110" spans="1:7" x14ac:dyDescent="0.25">
      <c r="A8110" s="2">
        <v>8109</v>
      </c>
      <c r="B8110" s="3" t="s">
        <v>46</v>
      </c>
      <c r="C8110" s="4" t="str">
        <f t="shared" si="695"/>
        <v>Lâm Đồng</v>
      </c>
      <c r="D8110" s="3" t="s">
        <v>559</v>
      </c>
      <c r="E8110" s="4" t="str">
        <f t="shared" si="696"/>
        <v>Huyện Bảo Lâm</v>
      </c>
      <c r="F8110" s="3" t="s">
        <v>8870</v>
      </c>
      <c r="G8110" s="4" t="str">
        <f>HYPERLINK("https://diaocthongthai.com/xa-tan-lac-bao-lam-lam-dong/","Xã Tân Lạc")</f>
        <v>Xã Tân Lạc</v>
      </c>
    </row>
    <row r="8111" spans="1:7" x14ac:dyDescent="0.25">
      <c r="A8111" s="2">
        <v>8110</v>
      </c>
      <c r="B8111" s="3" t="s">
        <v>46</v>
      </c>
      <c r="C8111" s="4" t="str">
        <f t="shared" si="695"/>
        <v>Lâm Đồng</v>
      </c>
      <c r="D8111" s="3" t="s">
        <v>559</v>
      </c>
      <c r="E8111" s="4" t="str">
        <f t="shared" si="696"/>
        <v>Huyện Bảo Lâm</v>
      </c>
      <c r="F8111" s="3" t="s">
        <v>8871</v>
      </c>
      <c r="G8111" s="4" t="str">
        <f>HYPERLINK("https://diaocthongthai.com/xa-loc-thanh-bao-lam-lam-dong/","Xã Lộc Thành")</f>
        <v>Xã Lộc Thành</v>
      </c>
    </row>
    <row r="8112" spans="1:7" x14ac:dyDescent="0.25">
      <c r="A8112" s="2">
        <v>8111</v>
      </c>
      <c r="B8112" s="3" t="s">
        <v>46</v>
      </c>
      <c r="C8112" s="4" t="str">
        <f t="shared" si="695"/>
        <v>Lâm Đồng</v>
      </c>
      <c r="D8112" s="3" t="s">
        <v>559</v>
      </c>
      <c r="E8112" s="4" t="str">
        <f t="shared" si="696"/>
        <v>Huyện Bảo Lâm</v>
      </c>
      <c r="F8112" s="3" t="s">
        <v>8872</v>
      </c>
      <c r="G8112" s="4" t="str">
        <f>HYPERLINK("https://diaocthongthai.com/xa-loc-nam-bao-lam-lam-dong/","Xã Lộc Nam")</f>
        <v>Xã Lộc Nam</v>
      </c>
    </row>
    <row r="8113" spans="1:7" x14ac:dyDescent="0.25">
      <c r="A8113" s="2">
        <v>8112</v>
      </c>
      <c r="B8113" s="3" t="s">
        <v>46</v>
      </c>
      <c r="C8113" s="4" t="str">
        <f t="shared" si="695"/>
        <v>Lâm Đồng</v>
      </c>
      <c r="D8113" s="3" t="s">
        <v>560</v>
      </c>
      <c r="E8113" s="4" t="str">
        <f t="shared" ref="E8113:E8121" si="697">HYPERLINK("https://diaocthongthai.com/ban-do-huyen-da-huoai-lam-dong/","Huyện Đạ Huoai")</f>
        <v>Huyện Đạ Huoai</v>
      </c>
      <c r="F8113" s="3" t="s">
        <v>8873</v>
      </c>
      <c r="G8113" s="4" t="str">
        <f>HYPERLINK("https://diaocthongthai.com/thi-tran-da-m-ri-da-huoai/","Thị trấn Đạ M'ri")</f>
        <v>Thị trấn Đạ M'ri</v>
      </c>
    </row>
    <row r="8114" spans="1:7" x14ac:dyDescent="0.25">
      <c r="A8114" s="2">
        <v>8113</v>
      </c>
      <c r="B8114" s="3" t="s">
        <v>46</v>
      </c>
      <c r="C8114" s="4" t="str">
        <f t="shared" si="695"/>
        <v>Lâm Đồng</v>
      </c>
      <c r="D8114" s="3" t="s">
        <v>560</v>
      </c>
      <c r="E8114" s="4" t="str">
        <f t="shared" si="697"/>
        <v>Huyện Đạ Huoai</v>
      </c>
      <c r="F8114" s="3" t="s">
        <v>8874</v>
      </c>
      <c r="G8114" s="4" t="str">
        <f>HYPERLINK("https://diaocthongthai.com/thi-tran-ma-da-guoi-da-huoai/","Thị trấn Ma Đa Guôi")</f>
        <v>Thị trấn Ma Đa Guôi</v>
      </c>
    </row>
    <row r="8115" spans="1:7" x14ac:dyDescent="0.25">
      <c r="A8115" s="2">
        <v>8114</v>
      </c>
      <c r="B8115" s="3" t="s">
        <v>46</v>
      </c>
      <c r="C8115" s="4" t="str">
        <f t="shared" si="695"/>
        <v>Lâm Đồng</v>
      </c>
      <c r="D8115" s="3" t="s">
        <v>560</v>
      </c>
      <c r="E8115" s="4" t="str">
        <f t="shared" si="697"/>
        <v>Huyện Đạ Huoai</v>
      </c>
      <c r="F8115" s="3" t="s">
        <v>8875</v>
      </c>
      <c r="G8115" s="4" t="str">
        <f>HYPERLINK("https://diaocthongthai.com/xa-ha-lam-da-huoai/","Xã Hà Lâm")</f>
        <v>Xã Hà Lâm</v>
      </c>
    </row>
    <row r="8116" spans="1:7" x14ac:dyDescent="0.25">
      <c r="A8116" s="2">
        <v>8115</v>
      </c>
      <c r="B8116" s="3" t="s">
        <v>46</v>
      </c>
      <c r="C8116" s="4" t="str">
        <f t="shared" si="695"/>
        <v>Lâm Đồng</v>
      </c>
      <c r="D8116" s="3" t="s">
        <v>560</v>
      </c>
      <c r="E8116" s="4" t="str">
        <f t="shared" si="697"/>
        <v>Huyện Đạ Huoai</v>
      </c>
      <c r="F8116" s="3" t="s">
        <v>8876</v>
      </c>
      <c r="G8116" s="4" t="str">
        <f>HYPERLINK("https://diaocthongthai.com/xa-da-ton-da-huoai/","Xã Đạ Tồn")</f>
        <v>Xã Đạ Tồn</v>
      </c>
    </row>
    <row r="8117" spans="1:7" x14ac:dyDescent="0.25">
      <c r="A8117" s="2">
        <v>8116</v>
      </c>
      <c r="B8117" s="3" t="s">
        <v>46</v>
      </c>
      <c r="C8117" s="4" t="str">
        <f t="shared" si="695"/>
        <v>Lâm Đồng</v>
      </c>
      <c r="D8117" s="3" t="s">
        <v>560</v>
      </c>
      <c r="E8117" s="4" t="str">
        <f t="shared" si="697"/>
        <v>Huyện Đạ Huoai</v>
      </c>
      <c r="F8117" s="3" t="s">
        <v>8877</v>
      </c>
      <c r="G8117" s="4" t="str">
        <f>HYPERLINK("https://diaocthongthai.com/xa-da-oai-da-huoai/","Xã Đạ Oai")</f>
        <v>Xã Đạ Oai</v>
      </c>
    </row>
    <row r="8118" spans="1:7" x14ac:dyDescent="0.25">
      <c r="A8118" s="2">
        <v>8117</v>
      </c>
      <c r="B8118" s="3" t="s">
        <v>46</v>
      </c>
      <c r="C8118" s="4" t="str">
        <f t="shared" si="695"/>
        <v>Lâm Đồng</v>
      </c>
      <c r="D8118" s="3" t="s">
        <v>560</v>
      </c>
      <c r="E8118" s="4" t="str">
        <f t="shared" si="697"/>
        <v>Huyện Đạ Huoai</v>
      </c>
      <c r="F8118" s="3" t="s">
        <v>8878</v>
      </c>
      <c r="G8118" s="4" t="str">
        <f>HYPERLINK("https://diaocthongthai.com/xa-da-ploa-da-huoai/","Xã Đạ Ploa")</f>
        <v>Xã Đạ Ploa</v>
      </c>
    </row>
    <row r="8119" spans="1:7" x14ac:dyDescent="0.25">
      <c r="A8119" s="2">
        <v>8118</v>
      </c>
      <c r="B8119" s="3" t="s">
        <v>46</v>
      </c>
      <c r="C8119" s="4" t="str">
        <f t="shared" si="695"/>
        <v>Lâm Đồng</v>
      </c>
      <c r="D8119" s="3" t="s">
        <v>560</v>
      </c>
      <c r="E8119" s="4" t="str">
        <f t="shared" si="697"/>
        <v>Huyện Đạ Huoai</v>
      </c>
      <c r="F8119" s="3" t="s">
        <v>8879</v>
      </c>
      <c r="G8119" s="4" t="str">
        <f>HYPERLINK("https://diaocthongthai.com/xa-ma-da-guoi-da-huoai/","Xã Ma Đa Guôi")</f>
        <v>Xã Ma Đa Guôi</v>
      </c>
    </row>
    <row r="8120" spans="1:7" x14ac:dyDescent="0.25">
      <c r="A8120" s="2">
        <v>8119</v>
      </c>
      <c r="B8120" s="3" t="s">
        <v>46</v>
      </c>
      <c r="C8120" s="4" t="str">
        <f t="shared" si="695"/>
        <v>Lâm Đồng</v>
      </c>
      <c r="D8120" s="3" t="s">
        <v>560</v>
      </c>
      <c r="E8120" s="4" t="str">
        <f t="shared" si="697"/>
        <v>Huyện Đạ Huoai</v>
      </c>
      <c r="F8120" s="3" t="s">
        <v>8880</v>
      </c>
      <c r="G8120" s="4" t="str">
        <f>HYPERLINK("https://diaocthongthai.com/xa-doan-ket-da-huoai/","Xã Đoàn Kết")</f>
        <v>Xã Đoàn Kết</v>
      </c>
    </row>
    <row r="8121" spans="1:7" x14ac:dyDescent="0.25">
      <c r="A8121" s="2">
        <v>8120</v>
      </c>
      <c r="B8121" s="3" t="s">
        <v>46</v>
      </c>
      <c r="C8121" s="4" t="str">
        <f t="shared" si="695"/>
        <v>Lâm Đồng</v>
      </c>
      <c r="D8121" s="3" t="s">
        <v>560</v>
      </c>
      <c r="E8121" s="4" t="str">
        <f t="shared" si="697"/>
        <v>Huyện Đạ Huoai</v>
      </c>
      <c r="F8121" s="3" t="s">
        <v>8881</v>
      </c>
      <c r="G8121" s="4" t="str">
        <f>HYPERLINK("https://diaocthongthai.com/xa-phuoc-loc-da-huoai/","Xã Phước Lộc")</f>
        <v>Xã Phước Lộc</v>
      </c>
    </row>
    <row r="8122" spans="1:7" x14ac:dyDescent="0.25">
      <c r="A8122" s="2">
        <v>8121</v>
      </c>
      <c r="B8122" s="3" t="s">
        <v>46</v>
      </c>
      <c r="C8122" s="4" t="str">
        <f t="shared" si="695"/>
        <v>Lâm Đồng</v>
      </c>
      <c r="D8122" s="3" t="s">
        <v>561</v>
      </c>
      <c r="E8122" s="4" t="str">
        <f t="shared" ref="E8122:E8130" si="698">HYPERLINK("https://diaocthongthai.com/ban-do-huyen-da-teh-lam-dong/","Huyện Đạ Tẻh")</f>
        <v>Huyện Đạ Tẻh</v>
      </c>
      <c r="F8122" s="3" t="s">
        <v>8882</v>
      </c>
      <c r="G8122" s="4" t="str">
        <f>HYPERLINK("https://diaocthongthai.com/thi-tran-da-teh-da-teh/","Thị trấn Đạ Tẻh")</f>
        <v>Thị trấn Đạ Tẻh</v>
      </c>
    </row>
    <row r="8123" spans="1:7" x14ac:dyDescent="0.25">
      <c r="A8123" s="2">
        <v>8122</v>
      </c>
      <c r="B8123" s="3" t="s">
        <v>46</v>
      </c>
      <c r="C8123" s="4" t="str">
        <f t="shared" si="695"/>
        <v>Lâm Đồng</v>
      </c>
      <c r="D8123" s="3" t="s">
        <v>561</v>
      </c>
      <c r="E8123" s="4" t="str">
        <f t="shared" si="698"/>
        <v>Huyện Đạ Tẻh</v>
      </c>
      <c r="F8123" s="3" t="s">
        <v>8883</v>
      </c>
      <c r="G8123" s="4" t="str">
        <f>HYPERLINK("https://diaocthongthai.com/xa-an-nhon-da-teh/","Xã An Nhơn")</f>
        <v>Xã An Nhơn</v>
      </c>
    </row>
    <row r="8124" spans="1:7" x14ac:dyDescent="0.25">
      <c r="A8124" s="2">
        <v>8123</v>
      </c>
      <c r="B8124" s="3" t="s">
        <v>46</v>
      </c>
      <c r="C8124" s="4" t="str">
        <f t="shared" si="695"/>
        <v>Lâm Đồng</v>
      </c>
      <c r="D8124" s="3" t="s">
        <v>561</v>
      </c>
      <c r="E8124" s="4" t="str">
        <f t="shared" si="698"/>
        <v>Huyện Đạ Tẻh</v>
      </c>
      <c r="F8124" s="3" t="s">
        <v>8884</v>
      </c>
      <c r="G8124" s="4" t="str">
        <f>HYPERLINK("https://diaocthongthai.com/xa-quoc-oai-da-teh/","Xã Quốc Oai")</f>
        <v>Xã Quốc Oai</v>
      </c>
    </row>
    <row r="8125" spans="1:7" x14ac:dyDescent="0.25">
      <c r="A8125" s="2">
        <v>8124</v>
      </c>
      <c r="B8125" s="3" t="s">
        <v>46</v>
      </c>
      <c r="C8125" s="4" t="str">
        <f t="shared" si="695"/>
        <v>Lâm Đồng</v>
      </c>
      <c r="D8125" s="3" t="s">
        <v>561</v>
      </c>
      <c r="E8125" s="4" t="str">
        <f t="shared" si="698"/>
        <v>Huyện Đạ Tẻh</v>
      </c>
      <c r="F8125" s="3" t="s">
        <v>8885</v>
      </c>
      <c r="G8125" s="4" t="str">
        <f>HYPERLINK("https://diaocthongthai.com/xa-my-duc-da-teh/","Xã Mỹ Đức")</f>
        <v>Xã Mỹ Đức</v>
      </c>
    </row>
    <row r="8126" spans="1:7" x14ac:dyDescent="0.25">
      <c r="A8126" s="2">
        <v>8125</v>
      </c>
      <c r="B8126" s="3" t="s">
        <v>46</v>
      </c>
      <c r="C8126" s="4" t="str">
        <f t="shared" ref="C8126:C8139" si="699">HYPERLINK("https://diaocthongthai.com/ban-do-lam-dong/","Lâm Đồng")</f>
        <v>Lâm Đồng</v>
      </c>
      <c r="D8126" s="3" t="s">
        <v>561</v>
      </c>
      <c r="E8126" s="4" t="str">
        <f t="shared" si="698"/>
        <v>Huyện Đạ Tẻh</v>
      </c>
      <c r="F8126" s="3" t="s">
        <v>8886</v>
      </c>
      <c r="G8126" s="4" t="str">
        <f>HYPERLINK("https://diaocthongthai.com/xa-quang-tri-da-teh/","Xã Quảng Trị")</f>
        <v>Xã Quảng Trị</v>
      </c>
    </row>
    <row r="8127" spans="1:7" x14ac:dyDescent="0.25">
      <c r="A8127" s="2">
        <v>8126</v>
      </c>
      <c r="B8127" s="3" t="s">
        <v>46</v>
      </c>
      <c r="C8127" s="4" t="str">
        <f t="shared" si="699"/>
        <v>Lâm Đồng</v>
      </c>
      <c r="D8127" s="3" t="s">
        <v>561</v>
      </c>
      <c r="E8127" s="4" t="str">
        <f t="shared" si="698"/>
        <v>Huyện Đạ Tẻh</v>
      </c>
      <c r="F8127" s="3" t="s">
        <v>8887</v>
      </c>
      <c r="G8127" s="4" t="str">
        <f>HYPERLINK("https://diaocthongthai.com/xa-da-lay-da-teh/","Xã Đạ Lây")</f>
        <v>Xã Đạ Lây</v>
      </c>
    </row>
    <row r="8128" spans="1:7" x14ac:dyDescent="0.25">
      <c r="A8128" s="2">
        <v>8127</v>
      </c>
      <c r="B8128" s="3" t="s">
        <v>46</v>
      </c>
      <c r="C8128" s="4" t="str">
        <f t="shared" si="699"/>
        <v>Lâm Đồng</v>
      </c>
      <c r="D8128" s="3" t="s">
        <v>561</v>
      </c>
      <c r="E8128" s="4" t="str">
        <f t="shared" si="698"/>
        <v>Huyện Đạ Tẻh</v>
      </c>
      <c r="F8128" s="3" t="s">
        <v>8888</v>
      </c>
      <c r="G8128" s="4" t="str">
        <f>HYPERLINK("https://diaocthongthai.com/xa-trieu-hai-da-teh/","Xã Triệu Hải")</f>
        <v>Xã Triệu Hải</v>
      </c>
    </row>
    <row r="8129" spans="1:7" x14ac:dyDescent="0.25">
      <c r="A8129" s="2">
        <v>8128</v>
      </c>
      <c r="B8129" s="3" t="s">
        <v>46</v>
      </c>
      <c r="C8129" s="4" t="str">
        <f t="shared" si="699"/>
        <v>Lâm Đồng</v>
      </c>
      <c r="D8129" s="3" t="s">
        <v>561</v>
      </c>
      <c r="E8129" s="4" t="str">
        <f t="shared" si="698"/>
        <v>Huyện Đạ Tẻh</v>
      </c>
      <c r="F8129" s="3" t="s">
        <v>8889</v>
      </c>
      <c r="G8129" s="4" t="str">
        <f>HYPERLINK("https://diaocthongthai.com/xa-da-kho-da-teh/","Xã Đạ Kho")</f>
        <v>Xã Đạ Kho</v>
      </c>
    </row>
    <row r="8130" spans="1:7" x14ac:dyDescent="0.25">
      <c r="A8130" s="2">
        <v>8129</v>
      </c>
      <c r="B8130" s="3" t="s">
        <v>46</v>
      </c>
      <c r="C8130" s="4" t="str">
        <f t="shared" si="699"/>
        <v>Lâm Đồng</v>
      </c>
      <c r="D8130" s="3" t="s">
        <v>561</v>
      </c>
      <c r="E8130" s="4" t="str">
        <f t="shared" si="698"/>
        <v>Huyện Đạ Tẻh</v>
      </c>
      <c r="F8130" s="3" t="s">
        <v>8890</v>
      </c>
      <c r="G8130" s="4" t="str">
        <f>HYPERLINK("https://diaocthongthai.com/xa-da-pal-da-teh/","Xã Đạ Pal")</f>
        <v>Xã Đạ Pal</v>
      </c>
    </row>
    <row r="8131" spans="1:7" x14ac:dyDescent="0.25">
      <c r="A8131" s="2">
        <v>8130</v>
      </c>
      <c r="B8131" s="3" t="s">
        <v>46</v>
      </c>
      <c r="C8131" s="4" t="str">
        <f t="shared" si="699"/>
        <v>Lâm Đồng</v>
      </c>
      <c r="D8131" s="3" t="s">
        <v>562</v>
      </c>
      <c r="E8131" s="4" t="str">
        <f t="shared" ref="E8131:E8139" si="700">HYPERLINK("https://diaocthongthai.com/ban-do-huyen-cat-tien-lam-dong/","Huyện Cát Tiên")</f>
        <v>Huyện Cát Tiên</v>
      </c>
      <c r="F8131" s="3" t="s">
        <v>8891</v>
      </c>
      <c r="G8131" s="4" t="str">
        <f>HYPERLINK("https://diaocthongthai.com/thi-tran-cat-tien-cat-tien/","Thị trấn Cát Tiên")</f>
        <v>Thị trấn Cát Tiên</v>
      </c>
    </row>
    <row r="8132" spans="1:7" x14ac:dyDescent="0.25">
      <c r="A8132" s="2">
        <v>8131</v>
      </c>
      <c r="B8132" s="3" t="s">
        <v>46</v>
      </c>
      <c r="C8132" s="4" t="str">
        <f t="shared" si="699"/>
        <v>Lâm Đồng</v>
      </c>
      <c r="D8132" s="3" t="s">
        <v>562</v>
      </c>
      <c r="E8132" s="4" t="str">
        <f t="shared" si="700"/>
        <v>Huyện Cát Tiên</v>
      </c>
      <c r="F8132" s="3" t="s">
        <v>8892</v>
      </c>
      <c r="G8132" s="4" t="str">
        <f>HYPERLINK("https://diaocthongthai.com/xa-tien-hoang-cat-tien/","Xã Tiên Hoàng")</f>
        <v>Xã Tiên Hoàng</v>
      </c>
    </row>
    <row r="8133" spans="1:7" x14ac:dyDescent="0.25">
      <c r="A8133" s="2">
        <v>8132</v>
      </c>
      <c r="B8133" s="3" t="s">
        <v>46</v>
      </c>
      <c r="C8133" s="4" t="str">
        <f t="shared" si="699"/>
        <v>Lâm Đồng</v>
      </c>
      <c r="D8133" s="3" t="s">
        <v>562</v>
      </c>
      <c r="E8133" s="4" t="str">
        <f t="shared" si="700"/>
        <v>Huyện Cát Tiên</v>
      </c>
      <c r="F8133" s="3" t="s">
        <v>8893</v>
      </c>
      <c r="G8133" s="4" t="str">
        <f>HYPERLINK("https://diaocthongthai.com/xa-phuoc-cat-2-cat-tien/","Xã Phước Cát 2")</f>
        <v>Xã Phước Cát 2</v>
      </c>
    </row>
    <row r="8134" spans="1:7" x14ac:dyDescent="0.25">
      <c r="A8134" s="2">
        <v>8133</v>
      </c>
      <c r="B8134" s="3" t="s">
        <v>46</v>
      </c>
      <c r="C8134" s="4" t="str">
        <f t="shared" si="699"/>
        <v>Lâm Đồng</v>
      </c>
      <c r="D8134" s="3" t="s">
        <v>562</v>
      </c>
      <c r="E8134" s="4" t="str">
        <f t="shared" si="700"/>
        <v>Huyện Cát Tiên</v>
      </c>
      <c r="F8134" s="3" t="s">
        <v>8894</v>
      </c>
      <c r="G8134" s="4" t="str">
        <f>HYPERLINK("https://diaocthongthai.com/xa-gia-vien-cat-tien/","Xã Gia Viễn")</f>
        <v>Xã Gia Viễn</v>
      </c>
    </row>
    <row r="8135" spans="1:7" x14ac:dyDescent="0.25">
      <c r="A8135" s="2">
        <v>8134</v>
      </c>
      <c r="B8135" s="3" t="s">
        <v>46</v>
      </c>
      <c r="C8135" s="4" t="str">
        <f t="shared" si="699"/>
        <v>Lâm Đồng</v>
      </c>
      <c r="D8135" s="3" t="s">
        <v>562</v>
      </c>
      <c r="E8135" s="4" t="str">
        <f t="shared" si="700"/>
        <v>Huyện Cát Tiên</v>
      </c>
      <c r="F8135" s="3" t="s">
        <v>8895</v>
      </c>
      <c r="G8135" s="4" t="str">
        <f>HYPERLINK("https://diaocthongthai.com/xa-nam-ninh-cat-tien/","Xã Nam Ninh")</f>
        <v>Xã Nam Ninh</v>
      </c>
    </row>
    <row r="8136" spans="1:7" x14ac:dyDescent="0.25">
      <c r="A8136" s="2">
        <v>8135</v>
      </c>
      <c r="B8136" s="3" t="s">
        <v>46</v>
      </c>
      <c r="C8136" s="4" t="str">
        <f t="shared" si="699"/>
        <v>Lâm Đồng</v>
      </c>
      <c r="D8136" s="3" t="s">
        <v>562</v>
      </c>
      <c r="E8136" s="4" t="str">
        <f t="shared" si="700"/>
        <v>Huyện Cát Tiên</v>
      </c>
      <c r="F8136" s="3" t="s">
        <v>8896</v>
      </c>
      <c r="G8136" s="4" t="str">
        <f>HYPERLINK("https://diaocthongthai.com/thi-tran-phuoc-cat-cat-tien/","Thị trấn Phước Cát")</f>
        <v>Thị trấn Phước Cát</v>
      </c>
    </row>
    <row r="8137" spans="1:7" x14ac:dyDescent="0.25">
      <c r="A8137" s="2">
        <v>8136</v>
      </c>
      <c r="B8137" s="3" t="s">
        <v>46</v>
      </c>
      <c r="C8137" s="4" t="str">
        <f t="shared" si="699"/>
        <v>Lâm Đồng</v>
      </c>
      <c r="D8137" s="3" t="s">
        <v>562</v>
      </c>
      <c r="E8137" s="4" t="str">
        <f t="shared" si="700"/>
        <v>Huyện Cát Tiên</v>
      </c>
      <c r="F8137" s="3" t="s">
        <v>8897</v>
      </c>
      <c r="G8137" s="4" t="str">
        <f>HYPERLINK("https://diaocthongthai.com/xa-duc-pho-cat-tien/","Xã Đức Phổ")</f>
        <v>Xã Đức Phổ</v>
      </c>
    </row>
    <row r="8138" spans="1:7" x14ac:dyDescent="0.25">
      <c r="A8138" s="2">
        <v>8137</v>
      </c>
      <c r="B8138" s="3" t="s">
        <v>46</v>
      </c>
      <c r="C8138" s="4" t="str">
        <f t="shared" si="699"/>
        <v>Lâm Đồng</v>
      </c>
      <c r="D8138" s="3" t="s">
        <v>562</v>
      </c>
      <c r="E8138" s="4" t="str">
        <f t="shared" si="700"/>
        <v>Huyện Cát Tiên</v>
      </c>
      <c r="F8138" s="3" t="s">
        <v>8898</v>
      </c>
      <c r="G8138" s="4" t="str">
        <f>HYPERLINK("https://diaocthongthai.com/xa-quang-ngai-cat-tien/","Xã Quảng Ngãi")</f>
        <v>Xã Quảng Ngãi</v>
      </c>
    </row>
    <row r="8139" spans="1:7" x14ac:dyDescent="0.25">
      <c r="A8139" s="2">
        <v>8138</v>
      </c>
      <c r="B8139" s="3" t="s">
        <v>46</v>
      </c>
      <c r="C8139" s="4" t="str">
        <f t="shared" si="699"/>
        <v>Lâm Đồng</v>
      </c>
      <c r="D8139" s="3" t="s">
        <v>562</v>
      </c>
      <c r="E8139" s="4" t="str">
        <f t="shared" si="700"/>
        <v>Huyện Cát Tiên</v>
      </c>
      <c r="F8139" s="3" t="s">
        <v>8899</v>
      </c>
      <c r="G8139" s="4" t="str">
        <f>HYPERLINK("https://diaocthongthai.com/xa-dong-nai-thuong-cat-tien/","Xã Đồng Nai Thượng")</f>
        <v>Xã Đồng Nai Thượng</v>
      </c>
    </row>
    <row r="8140" spans="1:7" x14ac:dyDescent="0.25">
      <c r="A8140" s="2">
        <v>8139</v>
      </c>
      <c r="B8140" s="3" t="s">
        <v>47</v>
      </c>
      <c r="C8140" s="4" t="str">
        <f t="shared" ref="C8140:C8171" si="701">HYPERLINK("https://diaocthongthai.com/ban-do-binh-phuoc/","Bình Phước")</f>
        <v>Bình Phước</v>
      </c>
      <c r="D8140" s="3" t="s">
        <v>563</v>
      </c>
      <c r="E8140" s="4" t="str">
        <f t="shared" ref="E8140:E8146" si="702">HYPERLINK("https://diaocthongthai.com/ban-do-thi-xa-phuoc-long-binh-phuoc/","Thị xã Phước Long")</f>
        <v>Thị xã Phước Long</v>
      </c>
      <c r="F8140" s="3" t="s">
        <v>8900</v>
      </c>
      <c r="G8140" s="4" t="str">
        <f>HYPERLINK("https://diaocthongthai.com/phuong-thac-mo-phuoc-long-binh-phuoc/","Phường Thác Mơ")</f>
        <v>Phường Thác Mơ</v>
      </c>
    </row>
    <row r="8141" spans="1:7" x14ac:dyDescent="0.25">
      <c r="A8141" s="2">
        <v>8140</v>
      </c>
      <c r="B8141" s="3" t="s">
        <v>47</v>
      </c>
      <c r="C8141" s="4" t="str">
        <f t="shared" si="701"/>
        <v>Bình Phước</v>
      </c>
      <c r="D8141" s="3" t="s">
        <v>563</v>
      </c>
      <c r="E8141" s="4" t="str">
        <f t="shared" si="702"/>
        <v>Thị xã Phước Long</v>
      </c>
      <c r="F8141" s="3" t="s">
        <v>8901</v>
      </c>
      <c r="G8141" s="4" t="str">
        <f>HYPERLINK("https://diaocthongthai.com/phuong-long-thuy-phuoc-long-binh-phuoc/","Phường Long Thủy")</f>
        <v>Phường Long Thủy</v>
      </c>
    </row>
    <row r="8142" spans="1:7" x14ac:dyDescent="0.25">
      <c r="A8142" s="2">
        <v>8141</v>
      </c>
      <c r="B8142" s="3" t="s">
        <v>47</v>
      </c>
      <c r="C8142" s="4" t="str">
        <f t="shared" si="701"/>
        <v>Bình Phước</v>
      </c>
      <c r="D8142" s="3" t="s">
        <v>563</v>
      </c>
      <c r="E8142" s="4" t="str">
        <f t="shared" si="702"/>
        <v>Thị xã Phước Long</v>
      </c>
      <c r="F8142" s="3" t="s">
        <v>8902</v>
      </c>
      <c r="G8142" s="4" t="str">
        <f>HYPERLINK("https://diaocthongthai.com/phuong-phuoc-binh-phuoc-long-binh-phuoc/","Phường Phước Bình")</f>
        <v>Phường Phước Bình</v>
      </c>
    </row>
    <row r="8143" spans="1:7" x14ac:dyDescent="0.25">
      <c r="A8143" s="2">
        <v>8142</v>
      </c>
      <c r="B8143" s="3" t="s">
        <v>47</v>
      </c>
      <c r="C8143" s="4" t="str">
        <f t="shared" si="701"/>
        <v>Bình Phước</v>
      </c>
      <c r="D8143" s="3" t="s">
        <v>563</v>
      </c>
      <c r="E8143" s="4" t="str">
        <f t="shared" si="702"/>
        <v>Thị xã Phước Long</v>
      </c>
      <c r="F8143" s="3" t="s">
        <v>8903</v>
      </c>
      <c r="G8143" s="4" t="str">
        <f>HYPERLINK("https://diaocthongthai.com/phuong-long-phuoc-phuoc-long-binh-phuoc/","Phường Long Phước")</f>
        <v>Phường Long Phước</v>
      </c>
    </row>
    <row r="8144" spans="1:7" x14ac:dyDescent="0.25">
      <c r="A8144" s="2">
        <v>8143</v>
      </c>
      <c r="B8144" s="3" t="s">
        <v>47</v>
      </c>
      <c r="C8144" s="4" t="str">
        <f t="shared" si="701"/>
        <v>Bình Phước</v>
      </c>
      <c r="D8144" s="3" t="s">
        <v>563</v>
      </c>
      <c r="E8144" s="4" t="str">
        <f t="shared" si="702"/>
        <v>Thị xã Phước Long</v>
      </c>
      <c r="F8144" s="3" t="s">
        <v>8904</v>
      </c>
      <c r="G8144" s="4" t="str">
        <f>HYPERLINK("https://diaocthongthai.com/phuong-son-giang-phuoc-long-binh-phuoc/","Phường Sơn Giang")</f>
        <v>Phường Sơn Giang</v>
      </c>
    </row>
    <row r="8145" spans="1:7" x14ac:dyDescent="0.25">
      <c r="A8145" s="2">
        <v>8144</v>
      </c>
      <c r="B8145" s="3" t="s">
        <v>47</v>
      </c>
      <c r="C8145" s="4" t="str">
        <f t="shared" si="701"/>
        <v>Bình Phước</v>
      </c>
      <c r="D8145" s="3" t="s">
        <v>563</v>
      </c>
      <c r="E8145" s="4" t="str">
        <f t="shared" si="702"/>
        <v>Thị xã Phước Long</v>
      </c>
      <c r="F8145" s="3" t="s">
        <v>8905</v>
      </c>
      <c r="G8145" s="4" t="str">
        <f>HYPERLINK("https://diaocthongthai.com/xa-long-giang-phuoc-long-binh-phuoc/","Xã Long Giang")</f>
        <v>Xã Long Giang</v>
      </c>
    </row>
    <row r="8146" spans="1:7" x14ac:dyDescent="0.25">
      <c r="A8146" s="2">
        <v>8145</v>
      </c>
      <c r="B8146" s="3" t="s">
        <v>47</v>
      </c>
      <c r="C8146" s="4" t="str">
        <f t="shared" si="701"/>
        <v>Bình Phước</v>
      </c>
      <c r="D8146" s="3" t="s">
        <v>563</v>
      </c>
      <c r="E8146" s="4" t="str">
        <f t="shared" si="702"/>
        <v>Thị xã Phước Long</v>
      </c>
      <c r="F8146" s="3" t="s">
        <v>8906</v>
      </c>
      <c r="G8146" s="4" t="str">
        <f>HYPERLINK("https://diaocthongthai.com/xa-phuoc-tin-phuoc-long-binh-phuoc/","Xã Phước Tín")</f>
        <v>Xã Phước Tín</v>
      </c>
    </row>
    <row r="8147" spans="1:7" x14ac:dyDescent="0.25">
      <c r="A8147" s="2">
        <v>8146</v>
      </c>
      <c r="B8147" s="3" t="s">
        <v>47</v>
      </c>
      <c r="C8147" s="4" t="str">
        <f t="shared" si="701"/>
        <v>Bình Phước</v>
      </c>
      <c r="D8147" s="3" t="s">
        <v>564</v>
      </c>
      <c r="E8147" s="4" t="str">
        <f t="shared" ref="E8147:E8154" si="703">HYPERLINK("https://diaocthongthai.com/ban-do-tp-dong-xoai-binh-phuoc/","Thành phố Đồng Xoài")</f>
        <v>Thành phố Đồng Xoài</v>
      </c>
      <c r="F8147" s="3" t="s">
        <v>8907</v>
      </c>
      <c r="G8147" s="4" t="str">
        <f>HYPERLINK("https://diaocthongthai.com/phuong-tan-phu-tp-dong-xoai/","Phường Tân Phú")</f>
        <v>Phường Tân Phú</v>
      </c>
    </row>
    <row r="8148" spans="1:7" x14ac:dyDescent="0.25">
      <c r="A8148" s="2">
        <v>8147</v>
      </c>
      <c r="B8148" s="3" t="s">
        <v>47</v>
      </c>
      <c r="C8148" s="4" t="str">
        <f t="shared" si="701"/>
        <v>Bình Phước</v>
      </c>
      <c r="D8148" s="3" t="s">
        <v>564</v>
      </c>
      <c r="E8148" s="4" t="str">
        <f t="shared" si="703"/>
        <v>Thành phố Đồng Xoài</v>
      </c>
      <c r="F8148" s="3" t="s">
        <v>8908</v>
      </c>
      <c r="G8148" s="4" t="str">
        <f>HYPERLINK("https://diaocthongthai.com/phuong-tan-dong-tp-dong-xoai/","Phường Tân Đồng")</f>
        <v>Phường Tân Đồng</v>
      </c>
    </row>
    <row r="8149" spans="1:7" x14ac:dyDescent="0.25">
      <c r="A8149" s="2">
        <v>8148</v>
      </c>
      <c r="B8149" s="3" t="s">
        <v>47</v>
      </c>
      <c r="C8149" s="4" t="str">
        <f t="shared" si="701"/>
        <v>Bình Phước</v>
      </c>
      <c r="D8149" s="3" t="s">
        <v>564</v>
      </c>
      <c r="E8149" s="4" t="str">
        <f t="shared" si="703"/>
        <v>Thành phố Đồng Xoài</v>
      </c>
      <c r="F8149" s="3" t="s">
        <v>8909</v>
      </c>
      <c r="G8149" s="4" t="str">
        <f>HYPERLINK("https://diaocthongthai.com/phuong-tan-binh-tp-dong-xoai/","Phường Tân Bình")</f>
        <v>Phường Tân Bình</v>
      </c>
    </row>
    <row r="8150" spans="1:7" x14ac:dyDescent="0.25">
      <c r="A8150" s="2">
        <v>8149</v>
      </c>
      <c r="B8150" s="3" t="s">
        <v>47</v>
      </c>
      <c r="C8150" s="4" t="str">
        <f t="shared" si="701"/>
        <v>Bình Phước</v>
      </c>
      <c r="D8150" s="3" t="s">
        <v>564</v>
      </c>
      <c r="E8150" s="4" t="str">
        <f t="shared" si="703"/>
        <v>Thành phố Đồng Xoài</v>
      </c>
      <c r="F8150" s="3" t="s">
        <v>8910</v>
      </c>
      <c r="G8150" s="4" t="str">
        <f>HYPERLINK("https://diaocthongthai.com/phuong-tan-xuan-tp-dong-xoai/","Phường Tân Xuân")</f>
        <v>Phường Tân Xuân</v>
      </c>
    </row>
    <row r="8151" spans="1:7" x14ac:dyDescent="0.25">
      <c r="A8151" s="2">
        <v>8150</v>
      </c>
      <c r="B8151" s="3" t="s">
        <v>47</v>
      </c>
      <c r="C8151" s="4" t="str">
        <f t="shared" si="701"/>
        <v>Bình Phước</v>
      </c>
      <c r="D8151" s="3" t="s">
        <v>564</v>
      </c>
      <c r="E8151" s="4" t="str">
        <f t="shared" si="703"/>
        <v>Thành phố Đồng Xoài</v>
      </c>
      <c r="F8151" s="3" t="s">
        <v>8911</v>
      </c>
      <c r="G8151" s="4" t="str">
        <f>HYPERLINK("https://diaocthongthai.com/phuong-tan-thien-tp-dong-xoai/","Phường Tân Thiện")</f>
        <v>Phường Tân Thiện</v>
      </c>
    </row>
    <row r="8152" spans="1:7" x14ac:dyDescent="0.25">
      <c r="A8152" s="2">
        <v>8151</v>
      </c>
      <c r="B8152" s="3" t="s">
        <v>47</v>
      </c>
      <c r="C8152" s="4" t="str">
        <f t="shared" si="701"/>
        <v>Bình Phước</v>
      </c>
      <c r="D8152" s="3" t="s">
        <v>564</v>
      </c>
      <c r="E8152" s="4" t="str">
        <f t="shared" si="703"/>
        <v>Thành phố Đồng Xoài</v>
      </c>
      <c r="F8152" s="3" t="s">
        <v>8912</v>
      </c>
      <c r="G8152" s="4" t="str">
        <f>HYPERLINK("https://diaocthongthai.com/xa-tan-thanh-tp-dong-xoai/","Xã Tân Thành")</f>
        <v>Xã Tân Thành</v>
      </c>
    </row>
    <row r="8153" spans="1:7" x14ac:dyDescent="0.25">
      <c r="A8153" s="2">
        <v>8152</v>
      </c>
      <c r="B8153" s="3" t="s">
        <v>47</v>
      </c>
      <c r="C8153" s="4" t="str">
        <f t="shared" si="701"/>
        <v>Bình Phước</v>
      </c>
      <c r="D8153" s="3" t="s">
        <v>564</v>
      </c>
      <c r="E8153" s="4" t="str">
        <f t="shared" si="703"/>
        <v>Thành phố Đồng Xoài</v>
      </c>
      <c r="F8153" s="3" t="s">
        <v>8913</v>
      </c>
      <c r="G8153" s="4" t="str">
        <f>HYPERLINK("https://diaocthongthai.com/phuong-tien-thanh-tp-dong-xoai/","Phường Tiến Thành")</f>
        <v>Phường Tiến Thành</v>
      </c>
    </row>
    <row r="8154" spans="1:7" x14ac:dyDescent="0.25">
      <c r="A8154" s="2">
        <v>8153</v>
      </c>
      <c r="B8154" s="3" t="s">
        <v>47</v>
      </c>
      <c r="C8154" s="4" t="str">
        <f t="shared" si="701"/>
        <v>Bình Phước</v>
      </c>
      <c r="D8154" s="3" t="s">
        <v>564</v>
      </c>
      <c r="E8154" s="4" t="str">
        <f t="shared" si="703"/>
        <v>Thành phố Đồng Xoài</v>
      </c>
      <c r="F8154" s="3" t="s">
        <v>8914</v>
      </c>
      <c r="G8154" s="4" t="str">
        <f>HYPERLINK("https://diaocthongthai.com/xa-tien-hung-tp-dong-xoai/","Xã Tiến Hưng")</f>
        <v>Xã Tiến Hưng</v>
      </c>
    </row>
    <row r="8155" spans="1:7" x14ac:dyDescent="0.25">
      <c r="A8155" s="2">
        <v>8154</v>
      </c>
      <c r="B8155" s="3" t="s">
        <v>47</v>
      </c>
      <c r="C8155" s="4" t="str">
        <f t="shared" si="701"/>
        <v>Bình Phước</v>
      </c>
      <c r="D8155" s="3" t="s">
        <v>565</v>
      </c>
      <c r="E8155" s="4" t="str">
        <f t="shared" ref="E8155:E8160" si="704">HYPERLINK("https://diaocthongthai.com/ban-do-thi-xa-binh-long-binh-phuoc/","Thị xã Bình Long")</f>
        <v>Thị xã Bình Long</v>
      </c>
      <c r="F8155" s="3" t="s">
        <v>8915</v>
      </c>
      <c r="G8155" s="4" t="str">
        <f>HYPERLINK("https://diaocthongthai.com/phuong-hung-chien-binh-long/","Phường Hưng Chiến")</f>
        <v>Phường Hưng Chiến</v>
      </c>
    </row>
    <row r="8156" spans="1:7" x14ac:dyDescent="0.25">
      <c r="A8156" s="2">
        <v>8155</v>
      </c>
      <c r="B8156" s="3" t="s">
        <v>47</v>
      </c>
      <c r="C8156" s="4" t="str">
        <f t="shared" si="701"/>
        <v>Bình Phước</v>
      </c>
      <c r="D8156" s="3" t="s">
        <v>565</v>
      </c>
      <c r="E8156" s="4" t="str">
        <f t="shared" si="704"/>
        <v>Thị xã Bình Long</v>
      </c>
      <c r="F8156" s="3" t="s">
        <v>8916</v>
      </c>
      <c r="G8156" s="4" t="str">
        <f>HYPERLINK("https://diaocthongthai.com/phuong-an-loc-binh-long/","Phường An Lộc")</f>
        <v>Phường An Lộc</v>
      </c>
    </row>
    <row r="8157" spans="1:7" x14ac:dyDescent="0.25">
      <c r="A8157" s="2">
        <v>8156</v>
      </c>
      <c r="B8157" s="3" t="s">
        <v>47</v>
      </c>
      <c r="C8157" s="4" t="str">
        <f t="shared" si="701"/>
        <v>Bình Phước</v>
      </c>
      <c r="D8157" s="3" t="s">
        <v>565</v>
      </c>
      <c r="E8157" s="4" t="str">
        <f t="shared" si="704"/>
        <v>Thị xã Bình Long</v>
      </c>
      <c r="F8157" s="3" t="s">
        <v>8917</v>
      </c>
      <c r="G8157" s="4" t="str">
        <f>HYPERLINK("https://diaocthongthai.com/phuong-phu-thinh-binh-long/","Phường Phú Thịnh")</f>
        <v>Phường Phú Thịnh</v>
      </c>
    </row>
    <row r="8158" spans="1:7" x14ac:dyDescent="0.25">
      <c r="A8158" s="2">
        <v>8157</v>
      </c>
      <c r="B8158" s="3" t="s">
        <v>47</v>
      </c>
      <c r="C8158" s="4" t="str">
        <f t="shared" si="701"/>
        <v>Bình Phước</v>
      </c>
      <c r="D8158" s="3" t="s">
        <v>565</v>
      </c>
      <c r="E8158" s="4" t="str">
        <f t="shared" si="704"/>
        <v>Thị xã Bình Long</v>
      </c>
      <c r="F8158" s="3" t="s">
        <v>8918</v>
      </c>
      <c r="G8158" s="4" t="str">
        <f>HYPERLINK("https://diaocthongthai.com/phuong-phu-duc-binh-long/","Phường Phú Đức")</f>
        <v>Phường Phú Đức</v>
      </c>
    </row>
    <row r="8159" spans="1:7" x14ac:dyDescent="0.25">
      <c r="A8159" s="2">
        <v>8158</v>
      </c>
      <c r="B8159" s="3" t="s">
        <v>47</v>
      </c>
      <c r="C8159" s="4" t="str">
        <f t="shared" si="701"/>
        <v>Bình Phước</v>
      </c>
      <c r="D8159" s="3" t="s">
        <v>565</v>
      </c>
      <c r="E8159" s="4" t="str">
        <f t="shared" si="704"/>
        <v>Thị xã Bình Long</v>
      </c>
      <c r="F8159" s="3" t="s">
        <v>8919</v>
      </c>
      <c r="G8159" s="4" t="str">
        <f>HYPERLINK("https://diaocthongthai.com/xa-thanh-luong-binh-long/","Xã Thanh Lương")</f>
        <v>Xã Thanh Lương</v>
      </c>
    </row>
    <row r="8160" spans="1:7" x14ac:dyDescent="0.25">
      <c r="A8160" s="2">
        <v>8159</v>
      </c>
      <c r="B8160" s="3" t="s">
        <v>47</v>
      </c>
      <c r="C8160" s="4" t="str">
        <f t="shared" si="701"/>
        <v>Bình Phước</v>
      </c>
      <c r="D8160" s="3" t="s">
        <v>565</v>
      </c>
      <c r="E8160" s="4" t="str">
        <f t="shared" si="704"/>
        <v>Thị xã Bình Long</v>
      </c>
      <c r="F8160" s="3" t="s">
        <v>8920</v>
      </c>
      <c r="G8160" s="4" t="str">
        <f>HYPERLINK("https://diaocthongthai.com/xa-thanh-phu-binh-long/","Xã Thanh Phú")</f>
        <v>Xã Thanh Phú</v>
      </c>
    </row>
    <row r="8161" spans="1:7" x14ac:dyDescent="0.25">
      <c r="A8161" s="2">
        <v>8160</v>
      </c>
      <c r="B8161" s="3" t="s">
        <v>47</v>
      </c>
      <c r="C8161" s="4" t="str">
        <f t="shared" si="701"/>
        <v>Bình Phước</v>
      </c>
      <c r="D8161" s="3" t="s">
        <v>566</v>
      </c>
      <c r="E8161" s="4" t="str">
        <f t="shared" ref="E8161:E8168" si="705">HYPERLINK("https://diaocthongthai.com/ban-do-huyen-bu-gia-map-binh-phuoc/","Huyện Bù Gia Mập")</f>
        <v>Huyện Bù Gia Mập</v>
      </c>
      <c r="F8161" s="3" t="s">
        <v>8921</v>
      </c>
      <c r="G8161" s="4" t="str">
        <f>HYPERLINK("https://diaocthongthai.com/xa-bu-gia-map-bu-gia-map/","Xã Bù Gia Mập")</f>
        <v>Xã Bù Gia Mập</v>
      </c>
    </row>
    <row r="8162" spans="1:7" x14ac:dyDescent="0.25">
      <c r="A8162" s="2">
        <v>8161</v>
      </c>
      <c r="B8162" s="3" t="s">
        <v>47</v>
      </c>
      <c r="C8162" s="4" t="str">
        <f t="shared" si="701"/>
        <v>Bình Phước</v>
      </c>
      <c r="D8162" s="3" t="s">
        <v>566</v>
      </c>
      <c r="E8162" s="4" t="str">
        <f t="shared" si="705"/>
        <v>Huyện Bù Gia Mập</v>
      </c>
      <c r="F8162" s="3" t="s">
        <v>8922</v>
      </c>
      <c r="G8162" s="4" t="str">
        <f>HYPERLINK("https://diaocthongthai.com/xa-dak-o-bu-gia-map/","Xã Đak Ơ")</f>
        <v>Xã Đak Ơ</v>
      </c>
    </row>
    <row r="8163" spans="1:7" x14ac:dyDescent="0.25">
      <c r="A8163" s="2">
        <v>8162</v>
      </c>
      <c r="B8163" s="3" t="s">
        <v>47</v>
      </c>
      <c r="C8163" s="4" t="str">
        <f t="shared" si="701"/>
        <v>Bình Phước</v>
      </c>
      <c r="D8163" s="3" t="s">
        <v>566</v>
      </c>
      <c r="E8163" s="4" t="str">
        <f t="shared" si="705"/>
        <v>Huyện Bù Gia Mập</v>
      </c>
      <c r="F8163" s="3" t="s">
        <v>8923</v>
      </c>
      <c r="G8163" s="4" t="str">
        <f>HYPERLINK("https://diaocthongthai.com/xa-duc-hanh-bu-gia-map/","Xã Đức Hạnh")</f>
        <v>Xã Đức Hạnh</v>
      </c>
    </row>
    <row r="8164" spans="1:7" x14ac:dyDescent="0.25">
      <c r="A8164" s="2">
        <v>8163</v>
      </c>
      <c r="B8164" s="3" t="s">
        <v>47</v>
      </c>
      <c r="C8164" s="4" t="str">
        <f t="shared" si="701"/>
        <v>Bình Phước</v>
      </c>
      <c r="D8164" s="3" t="s">
        <v>566</v>
      </c>
      <c r="E8164" s="4" t="str">
        <f t="shared" si="705"/>
        <v>Huyện Bù Gia Mập</v>
      </c>
      <c r="F8164" s="3" t="s">
        <v>8924</v>
      </c>
      <c r="G8164" s="4" t="str">
        <f>HYPERLINK("https://diaocthongthai.com/xa-phu-van-bu-gia-map/","Xã Phú Văn")</f>
        <v>Xã Phú Văn</v>
      </c>
    </row>
    <row r="8165" spans="1:7" x14ac:dyDescent="0.25">
      <c r="A8165" s="2">
        <v>8164</v>
      </c>
      <c r="B8165" s="3" t="s">
        <v>47</v>
      </c>
      <c r="C8165" s="4" t="str">
        <f t="shared" si="701"/>
        <v>Bình Phước</v>
      </c>
      <c r="D8165" s="3" t="s">
        <v>566</v>
      </c>
      <c r="E8165" s="4" t="str">
        <f t="shared" si="705"/>
        <v>Huyện Bù Gia Mập</v>
      </c>
      <c r="F8165" s="3" t="s">
        <v>8925</v>
      </c>
      <c r="G8165" s="4" t="str">
        <f>HYPERLINK("https://diaocthongthai.com/xa-da-kia-bu-gia-map/","Xã Đa Kia")</f>
        <v>Xã Đa Kia</v>
      </c>
    </row>
    <row r="8166" spans="1:7" x14ac:dyDescent="0.25">
      <c r="A8166" s="2">
        <v>8165</v>
      </c>
      <c r="B8166" s="3" t="s">
        <v>47</v>
      </c>
      <c r="C8166" s="4" t="str">
        <f t="shared" si="701"/>
        <v>Bình Phước</v>
      </c>
      <c r="D8166" s="3" t="s">
        <v>566</v>
      </c>
      <c r="E8166" s="4" t="str">
        <f t="shared" si="705"/>
        <v>Huyện Bù Gia Mập</v>
      </c>
      <c r="F8166" s="3" t="s">
        <v>8926</v>
      </c>
      <c r="G8166" s="4" t="str">
        <f>HYPERLINK("https://diaocthongthai.com/xa-phuoc-minh-bu-gia-map/","Xã Phước Minh")</f>
        <v>Xã Phước Minh</v>
      </c>
    </row>
    <row r="8167" spans="1:7" x14ac:dyDescent="0.25">
      <c r="A8167" s="2">
        <v>8166</v>
      </c>
      <c r="B8167" s="3" t="s">
        <v>47</v>
      </c>
      <c r="C8167" s="4" t="str">
        <f t="shared" si="701"/>
        <v>Bình Phước</v>
      </c>
      <c r="D8167" s="3" t="s">
        <v>566</v>
      </c>
      <c r="E8167" s="4" t="str">
        <f t="shared" si="705"/>
        <v>Huyện Bù Gia Mập</v>
      </c>
      <c r="F8167" s="3" t="s">
        <v>8927</v>
      </c>
      <c r="G8167" s="4" t="str">
        <f>HYPERLINK("https://diaocthongthai.com/xa-binh-thang-bu-gia-map/","Xã Bình Thắng")</f>
        <v>Xã Bình Thắng</v>
      </c>
    </row>
    <row r="8168" spans="1:7" x14ac:dyDescent="0.25">
      <c r="A8168" s="2">
        <v>8167</v>
      </c>
      <c r="B8168" s="3" t="s">
        <v>47</v>
      </c>
      <c r="C8168" s="4" t="str">
        <f t="shared" si="701"/>
        <v>Bình Phước</v>
      </c>
      <c r="D8168" s="3" t="s">
        <v>566</v>
      </c>
      <c r="E8168" s="4" t="str">
        <f t="shared" si="705"/>
        <v>Huyện Bù Gia Mập</v>
      </c>
      <c r="F8168" s="3" t="s">
        <v>8928</v>
      </c>
      <c r="G8168" s="4" t="str">
        <f>HYPERLINK("https://diaocthongthai.com/xa-phu-nghia-bu-gia-map/","Xã Phú Nghĩa")</f>
        <v>Xã Phú Nghĩa</v>
      </c>
    </row>
    <row r="8169" spans="1:7" x14ac:dyDescent="0.25">
      <c r="A8169" s="2">
        <v>8168</v>
      </c>
      <c r="B8169" s="3" t="s">
        <v>47</v>
      </c>
      <c r="C8169" s="4" t="str">
        <f t="shared" si="701"/>
        <v>Bình Phước</v>
      </c>
      <c r="D8169" s="3" t="s">
        <v>567</v>
      </c>
      <c r="E8169" s="4" t="str">
        <f t="shared" ref="E8169:E8184" si="706">HYPERLINK("https://diaocthongthai.com/ban-do-huyen-loc-ninh-binh-phuoc/","Huyện Lộc Ninh")</f>
        <v>Huyện Lộc Ninh</v>
      </c>
      <c r="F8169" s="3" t="s">
        <v>8929</v>
      </c>
      <c r="G8169" s="4" t="str">
        <f>HYPERLINK("https://diaocthongthai.com/thi-tran-loc-ninh-loc-ninh/","Thị trấn Lộc Ninh")</f>
        <v>Thị trấn Lộc Ninh</v>
      </c>
    </row>
    <row r="8170" spans="1:7" x14ac:dyDescent="0.25">
      <c r="A8170" s="2">
        <v>8169</v>
      </c>
      <c r="B8170" s="3" t="s">
        <v>47</v>
      </c>
      <c r="C8170" s="4" t="str">
        <f t="shared" si="701"/>
        <v>Bình Phước</v>
      </c>
      <c r="D8170" s="3" t="s">
        <v>567</v>
      </c>
      <c r="E8170" s="4" t="str">
        <f t="shared" si="706"/>
        <v>Huyện Lộc Ninh</v>
      </c>
      <c r="F8170" s="3" t="s">
        <v>8930</v>
      </c>
      <c r="G8170" s="4" t="str">
        <f>HYPERLINK("https://diaocthongthai.com/xa-loc-hoa-loc-ninh/","Xã Lộc Hòa")</f>
        <v>Xã Lộc Hòa</v>
      </c>
    </row>
    <row r="8171" spans="1:7" x14ac:dyDescent="0.25">
      <c r="A8171" s="2">
        <v>8170</v>
      </c>
      <c r="B8171" s="3" t="s">
        <v>47</v>
      </c>
      <c r="C8171" s="4" t="str">
        <f t="shared" si="701"/>
        <v>Bình Phước</v>
      </c>
      <c r="D8171" s="3" t="s">
        <v>567</v>
      </c>
      <c r="E8171" s="4" t="str">
        <f t="shared" si="706"/>
        <v>Huyện Lộc Ninh</v>
      </c>
      <c r="F8171" s="3" t="s">
        <v>8931</v>
      </c>
      <c r="G8171" s="4" t="str">
        <f>HYPERLINK("https://diaocthongthai.com/xa-loc-an-loc-ninh/","Xã Lộc An")</f>
        <v>Xã Lộc An</v>
      </c>
    </row>
    <row r="8172" spans="1:7" x14ac:dyDescent="0.25">
      <c r="A8172" s="2">
        <v>8171</v>
      </c>
      <c r="B8172" s="3" t="s">
        <v>47</v>
      </c>
      <c r="C8172" s="4" t="str">
        <f t="shared" ref="C8172:C8203" si="707">HYPERLINK("https://diaocthongthai.com/ban-do-binh-phuoc/","Bình Phước")</f>
        <v>Bình Phước</v>
      </c>
      <c r="D8172" s="3" t="s">
        <v>567</v>
      </c>
      <c r="E8172" s="4" t="str">
        <f t="shared" si="706"/>
        <v>Huyện Lộc Ninh</v>
      </c>
      <c r="F8172" s="3" t="s">
        <v>8932</v>
      </c>
      <c r="G8172" s="4" t="str">
        <f>HYPERLINK("https://diaocthongthai.com/xa-loc-tan-loc-ninh/","Xã Lộc Tấn")</f>
        <v>Xã Lộc Tấn</v>
      </c>
    </row>
    <row r="8173" spans="1:7" x14ac:dyDescent="0.25">
      <c r="A8173" s="2">
        <v>8172</v>
      </c>
      <c r="B8173" s="3" t="s">
        <v>47</v>
      </c>
      <c r="C8173" s="4" t="str">
        <f t="shared" si="707"/>
        <v>Bình Phước</v>
      </c>
      <c r="D8173" s="3" t="s">
        <v>567</v>
      </c>
      <c r="E8173" s="4" t="str">
        <f t="shared" si="706"/>
        <v>Huyện Lộc Ninh</v>
      </c>
      <c r="F8173" s="3" t="s">
        <v>8933</v>
      </c>
      <c r="G8173" s="4" t="str">
        <f>HYPERLINK("https://diaocthongthai.com/xa-loc-thanh-1-loc-ninh/","Xã Lộc Thạnh")</f>
        <v>Xã Lộc Thạnh</v>
      </c>
    </row>
    <row r="8174" spans="1:7" x14ac:dyDescent="0.25">
      <c r="A8174" s="2">
        <v>8173</v>
      </c>
      <c r="B8174" s="3" t="s">
        <v>47</v>
      </c>
      <c r="C8174" s="4" t="str">
        <f t="shared" si="707"/>
        <v>Bình Phước</v>
      </c>
      <c r="D8174" s="3" t="s">
        <v>567</v>
      </c>
      <c r="E8174" s="4" t="str">
        <f t="shared" si="706"/>
        <v>Huyện Lộc Ninh</v>
      </c>
      <c r="F8174" s="3" t="s">
        <v>8934</v>
      </c>
      <c r="G8174" s="4" t="str">
        <f>HYPERLINK("https://diaocthongthai.com/xa-loc-hiep-loc-ninh/","Xã Lộc Hiệp")</f>
        <v>Xã Lộc Hiệp</v>
      </c>
    </row>
    <row r="8175" spans="1:7" x14ac:dyDescent="0.25">
      <c r="A8175" s="2">
        <v>8174</v>
      </c>
      <c r="B8175" s="3" t="s">
        <v>47</v>
      </c>
      <c r="C8175" s="4" t="str">
        <f t="shared" si="707"/>
        <v>Bình Phước</v>
      </c>
      <c r="D8175" s="3" t="s">
        <v>567</v>
      </c>
      <c r="E8175" s="4" t="str">
        <f t="shared" si="706"/>
        <v>Huyện Lộc Ninh</v>
      </c>
      <c r="F8175" s="3" t="s">
        <v>8935</v>
      </c>
      <c r="G8175" s="4" t="str">
        <f>HYPERLINK("https://diaocthongthai.com/xa-loc-thien-loc-ninh/","Xã Lộc Thiện")</f>
        <v>Xã Lộc Thiện</v>
      </c>
    </row>
    <row r="8176" spans="1:7" x14ac:dyDescent="0.25">
      <c r="A8176" s="2">
        <v>8175</v>
      </c>
      <c r="B8176" s="3" t="s">
        <v>47</v>
      </c>
      <c r="C8176" s="4" t="str">
        <f t="shared" si="707"/>
        <v>Bình Phước</v>
      </c>
      <c r="D8176" s="3" t="s">
        <v>567</v>
      </c>
      <c r="E8176" s="4" t="str">
        <f t="shared" si="706"/>
        <v>Huyện Lộc Ninh</v>
      </c>
      <c r="F8176" s="3" t="s">
        <v>8936</v>
      </c>
      <c r="G8176" s="4" t="str">
        <f>HYPERLINK("https://diaocthongthai.com/xa-loc-thuan-loc-ninh/","Xã Lộc Thuận")</f>
        <v>Xã Lộc Thuận</v>
      </c>
    </row>
    <row r="8177" spans="1:7" x14ac:dyDescent="0.25">
      <c r="A8177" s="2">
        <v>8176</v>
      </c>
      <c r="B8177" s="3" t="s">
        <v>47</v>
      </c>
      <c r="C8177" s="4" t="str">
        <f t="shared" si="707"/>
        <v>Bình Phước</v>
      </c>
      <c r="D8177" s="3" t="s">
        <v>567</v>
      </c>
      <c r="E8177" s="4" t="str">
        <f t="shared" si="706"/>
        <v>Huyện Lộc Ninh</v>
      </c>
      <c r="F8177" s="3" t="s">
        <v>8937</v>
      </c>
      <c r="G8177" s="4" t="str">
        <f>HYPERLINK("https://diaocthongthai.com/xa-loc-quang-loc-ninh/","Xã Lộc Quang")</f>
        <v>Xã Lộc Quang</v>
      </c>
    </row>
    <row r="8178" spans="1:7" x14ac:dyDescent="0.25">
      <c r="A8178" s="2">
        <v>8177</v>
      </c>
      <c r="B8178" s="3" t="s">
        <v>47</v>
      </c>
      <c r="C8178" s="4" t="str">
        <f t="shared" si="707"/>
        <v>Bình Phước</v>
      </c>
      <c r="D8178" s="3" t="s">
        <v>567</v>
      </c>
      <c r="E8178" s="4" t="str">
        <f t="shared" si="706"/>
        <v>Huyện Lộc Ninh</v>
      </c>
      <c r="F8178" s="3" t="s">
        <v>8938</v>
      </c>
      <c r="G8178" s="4" t="str">
        <f>HYPERLINK("https://diaocthongthai.com/xa-loc-phu-loc-ninh/","Xã Lộc Phú")</f>
        <v>Xã Lộc Phú</v>
      </c>
    </row>
    <row r="8179" spans="1:7" x14ac:dyDescent="0.25">
      <c r="A8179" s="2">
        <v>8178</v>
      </c>
      <c r="B8179" s="3" t="s">
        <v>47</v>
      </c>
      <c r="C8179" s="4" t="str">
        <f t="shared" si="707"/>
        <v>Bình Phước</v>
      </c>
      <c r="D8179" s="3" t="s">
        <v>567</v>
      </c>
      <c r="E8179" s="4" t="str">
        <f t="shared" si="706"/>
        <v>Huyện Lộc Ninh</v>
      </c>
      <c r="F8179" s="3" t="s">
        <v>8939</v>
      </c>
      <c r="G8179" s="4" t="str">
        <f>HYPERLINK("https://diaocthongthai.com/xa-loc-thanh-2-loc-ninh/","Xã Lộc Thành")</f>
        <v>Xã Lộc Thành</v>
      </c>
    </row>
    <row r="8180" spans="1:7" x14ac:dyDescent="0.25">
      <c r="A8180" s="2">
        <v>8179</v>
      </c>
      <c r="B8180" s="3" t="s">
        <v>47</v>
      </c>
      <c r="C8180" s="4" t="str">
        <f t="shared" si="707"/>
        <v>Bình Phước</v>
      </c>
      <c r="D8180" s="3" t="s">
        <v>567</v>
      </c>
      <c r="E8180" s="4" t="str">
        <f t="shared" si="706"/>
        <v>Huyện Lộc Ninh</v>
      </c>
      <c r="F8180" s="3" t="s">
        <v>8940</v>
      </c>
      <c r="G8180" s="4" t="str">
        <f>HYPERLINK("https://diaocthongthai.com/xa-loc-thai-loc-ninh/","Xã Lộc Thái")</f>
        <v>Xã Lộc Thái</v>
      </c>
    </row>
    <row r="8181" spans="1:7" x14ac:dyDescent="0.25">
      <c r="A8181" s="2">
        <v>8180</v>
      </c>
      <c r="B8181" s="3" t="s">
        <v>47</v>
      </c>
      <c r="C8181" s="4" t="str">
        <f t="shared" si="707"/>
        <v>Bình Phước</v>
      </c>
      <c r="D8181" s="3" t="s">
        <v>567</v>
      </c>
      <c r="E8181" s="4" t="str">
        <f t="shared" si="706"/>
        <v>Huyện Lộc Ninh</v>
      </c>
      <c r="F8181" s="3" t="s">
        <v>8941</v>
      </c>
      <c r="G8181" s="4" t="str">
        <f>HYPERLINK("https://diaocthongthai.com/xa-loc-dien-loc-ninh/","Xã Lộc Điền")</f>
        <v>Xã Lộc Điền</v>
      </c>
    </row>
    <row r="8182" spans="1:7" x14ac:dyDescent="0.25">
      <c r="A8182" s="2">
        <v>8181</v>
      </c>
      <c r="B8182" s="3" t="s">
        <v>47</v>
      </c>
      <c r="C8182" s="4" t="str">
        <f t="shared" si="707"/>
        <v>Bình Phước</v>
      </c>
      <c r="D8182" s="3" t="s">
        <v>567</v>
      </c>
      <c r="E8182" s="4" t="str">
        <f t="shared" si="706"/>
        <v>Huyện Lộc Ninh</v>
      </c>
      <c r="F8182" s="3" t="s">
        <v>8942</v>
      </c>
      <c r="G8182" s="4" t="str">
        <f>HYPERLINK("https://diaocthongthai.com/xa-loc-hung-loc-ninh/","Xã Lộc Hưng")</f>
        <v>Xã Lộc Hưng</v>
      </c>
    </row>
    <row r="8183" spans="1:7" x14ac:dyDescent="0.25">
      <c r="A8183" s="2">
        <v>8182</v>
      </c>
      <c r="B8183" s="3" t="s">
        <v>47</v>
      </c>
      <c r="C8183" s="4" t="str">
        <f t="shared" si="707"/>
        <v>Bình Phước</v>
      </c>
      <c r="D8183" s="3" t="s">
        <v>567</v>
      </c>
      <c r="E8183" s="4" t="str">
        <f t="shared" si="706"/>
        <v>Huyện Lộc Ninh</v>
      </c>
      <c r="F8183" s="3" t="s">
        <v>8943</v>
      </c>
      <c r="G8183" s="4" t="str">
        <f>HYPERLINK("https://diaocthongthai.com/xa-loc-thinh-loc-ninh/","Xã Lộc Thịnh")</f>
        <v>Xã Lộc Thịnh</v>
      </c>
    </row>
    <row r="8184" spans="1:7" x14ac:dyDescent="0.25">
      <c r="A8184" s="2">
        <v>8183</v>
      </c>
      <c r="B8184" s="3" t="s">
        <v>47</v>
      </c>
      <c r="C8184" s="4" t="str">
        <f t="shared" si="707"/>
        <v>Bình Phước</v>
      </c>
      <c r="D8184" s="3" t="s">
        <v>567</v>
      </c>
      <c r="E8184" s="4" t="str">
        <f t="shared" si="706"/>
        <v>Huyện Lộc Ninh</v>
      </c>
      <c r="F8184" s="3" t="s">
        <v>8944</v>
      </c>
      <c r="G8184" s="4" t="str">
        <f>HYPERLINK("https://diaocthongthai.com/xa-loc-khanh-loc-ninh/","Xã Lộc Khánh")</f>
        <v>Xã Lộc Khánh</v>
      </c>
    </row>
    <row r="8185" spans="1:7" x14ac:dyDescent="0.25">
      <c r="A8185" s="2">
        <v>8184</v>
      </c>
      <c r="B8185" s="3" t="s">
        <v>47</v>
      </c>
      <c r="C8185" s="4" t="str">
        <f t="shared" si="707"/>
        <v>Bình Phước</v>
      </c>
      <c r="D8185" s="3" t="s">
        <v>568</v>
      </c>
      <c r="E8185" s="4" t="str">
        <f t="shared" ref="E8185:E8191" si="708">HYPERLINK("https://diaocthongthai.com/ban-do-huyen-bu-dop-binh-phuoc/","Huyện Bù Đốp")</f>
        <v>Huyện Bù Đốp</v>
      </c>
      <c r="F8185" s="3" t="s">
        <v>8945</v>
      </c>
      <c r="G8185" s="4" t="str">
        <f>HYPERLINK("https://diaocthongthai.com/thi-tran-thanh-binh-bu-dop/","Thị trấn Thanh Bình")</f>
        <v>Thị trấn Thanh Bình</v>
      </c>
    </row>
    <row r="8186" spans="1:7" x14ac:dyDescent="0.25">
      <c r="A8186" s="2">
        <v>8185</v>
      </c>
      <c r="B8186" s="3" t="s">
        <v>47</v>
      </c>
      <c r="C8186" s="4" t="str">
        <f t="shared" si="707"/>
        <v>Bình Phước</v>
      </c>
      <c r="D8186" s="3" t="s">
        <v>568</v>
      </c>
      <c r="E8186" s="4" t="str">
        <f t="shared" si="708"/>
        <v>Huyện Bù Đốp</v>
      </c>
      <c r="F8186" s="3" t="s">
        <v>8946</v>
      </c>
      <c r="G8186" s="4" t="str">
        <f>HYPERLINK("https://diaocthongthai.com/xa-hung-phuoc-bu-dop/","Xã Hưng Phước")</f>
        <v>Xã Hưng Phước</v>
      </c>
    </row>
    <row r="8187" spans="1:7" x14ac:dyDescent="0.25">
      <c r="A8187" s="2">
        <v>8186</v>
      </c>
      <c r="B8187" s="3" t="s">
        <v>47</v>
      </c>
      <c r="C8187" s="4" t="str">
        <f t="shared" si="707"/>
        <v>Bình Phước</v>
      </c>
      <c r="D8187" s="3" t="s">
        <v>568</v>
      </c>
      <c r="E8187" s="4" t="str">
        <f t="shared" si="708"/>
        <v>Huyện Bù Đốp</v>
      </c>
      <c r="F8187" s="3" t="s">
        <v>8947</v>
      </c>
      <c r="G8187" s="4" t="str">
        <f>HYPERLINK("https://diaocthongthai.com/xa-phuoc-thien-bu-dop/","Xã Phước Thiện")</f>
        <v>Xã Phước Thiện</v>
      </c>
    </row>
    <row r="8188" spans="1:7" x14ac:dyDescent="0.25">
      <c r="A8188" s="2">
        <v>8187</v>
      </c>
      <c r="B8188" s="3" t="s">
        <v>47</v>
      </c>
      <c r="C8188" s="4" t="str">
        <f t="shared" si="707"/>
        <v>Bình Phước</v>
      </c>
      <c r="D8188" s="3" t="s">
        <v>568</v>
      </c>
      <c r="E8188" s="4" t="str">
        <f t="shared" si="708"/>
        <v>Huyện Bù Đốp</v>
      </c>
      <c r="F8188" s="3" t="s">
        <v>8948</v>
      </c>
      <c r="G8188" s="4" t="str">
        <f>HYPERLINK("https://diaocthongthai.com/xa-thien-hung-bu-dop/","Xã Thiện Hưng")</f>
        <v>Xã Thiện Hưng</v>
      </c>
    </row>
    <row r="8189" spans="1:7" x14ac:dyDescent="0.25">
      <c r="A8189" s="2">
        <v>8188</v>
      </c>
      <c r="B8189" s="3" t="s">
        <v>47</v>
      </c>
      <c r="C8189" s="4" t="str">
        <f t="shared" si="707"/>
        <v>Bình Phước</v>
      </c>
      <c r="D8189" s="3" t="s">
        <v>568</v>
      </c>
      <c r="E8189" s="4" t="str">
        <f t="shared" si="708"/>
        <v>Huyện Bù Đốp</v>
      </c>
      <c r="F8189" s="3" t="s">
        <v>8949</v>
      </c>
      <c r="G8189" s="4" t="str">
        <f>HYPERLINK("https://diaocthongthai.com/xa-thanh-hoa-bu-dop/","Xã Thanh Hòa")</f>
        <v>Xã Thanh Hòa</v>
      </c>
    </row>
    <row r="8190" spans="1:7" x14ac:dyDescent="0.25">
      <c r="A8190" s="2">
        <v>8189</v>
      </c>
      <c r="B8190" s="3" t="s">
        <v>47</v>
      </c>
      <c r="C8190" s="4" t="str">
        <f t="shared" si="707"/>
        <v>Bình Phước</v>
      </c>
      <c r="D8190" s="3" t="s">
        <v>568</v>
      </c>
      <c r="E8190" s="4" t="str">
        <f t="shared" si="708"/>
        <v>Huyện Bù Đốp</v>
      </c>
      <c r="F8190" s="3" t="s">
        <v>8950</v>
      </c>
      <c r="G8190" s="4" t="str">
        <f>HYPERLINK("https://diaocthongthai.com/xa-tan-thanh-bu-dop/","Xã Tân Thành")</f>
        <v>Xã Tân Thành</v>
      </c>
    </row>
    <row r="8191" spans="1:7" x14ac:dyDescent="0.25">
      <c r="A8191" s="2">
        <v>8190</v>
      </c>
      <c r="B8191" s="3" t="s">
        <v>47</v>
      </c>
      <c r="C8191" s="4" t="str">
        <f t="shared" si="707"/>
        <v>Bình Phước</v>
      </c>
      <c r="D8191" s="3" t="s">
        <v>568</v>
      </c>
      <c r="E8191" s="4" t="str">
        <f t="shared" si="708"/>
        <v>Huyện Bù Đốp</v>
      </c>
      <c r="F8191" s="3" t="s">
        <v>8951</v>
      </c>
      <c r="G8191" s="4" t="str">
        <f>HYPERLINK("https://diaocthongthai.com/xa-tan-tien-bu-dop/","Xã Tân Tiến")</f>
        <v>Xã Tân Tiến</v>
      </c>
    </row>
    <row r="8192" spans="1:7" x14ac:dyDescent="0.25">
      <c r="A8192" s="2">
        <v>8191</v>
      </c>
      <c r="B8192" s="3" t="s">
        <v>47</v>
      </c>
      <c r="C8192" s="4" t="str">
        <f t="shared" si="707"/>
        <v>Bình Phước</v>
      </c>
      <c r="D8192" s="3" t="s">
        <v>569</v>
      </c>
      <c r="E8192" s="4" t="str">
        <f t="shared" ref="E8192:E8204" si="709">HYPERLINK("https://diaocthongthai.com/ban-do-huyen-hon-quan-binh-phuoc/","Huyện Hớn Quản")</f>
        <v>Huyện Hớn Quản</v>
      </c>
      <c r="F8192" s="3" t="s">
        <v>8952</v>
      </c>
      <c r="G8192" s="4" t="str">
        <f>HYPERLINK("https://diaocthongthai.com/xa-thanh-an-hon-quan/","Xã Thanh An")</f>
        <v>Xã Thanh An</v>
      </c>
    </row>
    <row r="8193" spans="1:7" x14ac:dyDescent="0.25">
      <c r="A8193" s="2">
        <v>8192</v>
      </c>
      <c r="B8193" s="3" t="s">
        <v>47</v>
      </c>
      <c r="C8193" s="4" t="str">
        <f t="shared" si="707"/>
        <v>Bình Phước</v>
      </c>
      <c r="D8193" s="3" t="s">
        <v>569</v>
      </c>
      <c r="E8193" s="4" t="str">
        <f t="shared" si="709"/>
        <v>Huyện Hớn Quản</v>
      </c>
      <c r="F8193" s="3" t="s">
        <v>8953</v>
      </c>
      <c r="G8193" s="4" t="str">
        <f>HYPERLINK("https://diaocthongthai.com/xa-an-khuong-hon-quan/","Xã An Khương")</f>
        <v>Xã An Khương</v>
      </c>
    </row>
    <row r="8194" spans="1:7" x14ac:dyDescent="0.25">
      <c r="A8194" s="2">
        <v>8193</v>
      </c>
      <c r="B8194" s="3" t="s">
        <v>47</v>
      </c>
      <c r="C8194" s="4" t="str">
        <f t="shared" si="707"/>
        <v>Bình Phước</v>
      </c>
      <c r="D8194" s="3" t="s">
        <v>569</v>
      </c>
      <c r="E8194" s="4" t="str">
        <f t="shared" si="709"/>
        <v>Huyện Hớn Quản</v>
      </c>
      <c r="F8194" s="3" t="s">
        <v>8954</v>
      </c>
      <c r="G8194" s="4" t="str">
        <f>HYPERLINK("https://diaocthongthai.com/xa-an-phu-hon-quan/","Xã An Phú")</f>
        <v>Xã An Phú</v>
      </c>
    </row>
    <row r="8195" spans="1:7" x14ac:dyDescent="0.25">
      <c r="A8195" s="2">
        <v>8194</v>
      </c>
      <c r="B8195" s="3" t="s">
        <v>47</v>
      </c>
      <c r="C8195" s="4" t="str">
        <f t="shared" si="707"/>
        <v>Bình Phước</v>
      </c>
      <c r="D8195" s="3" t="s">
        <v>569</v>
      </c>
      <c r="E8195" s="4" t="str">
        <f t="shared" si="709"/>
        <v>Huyện Hớn Quản</v>
      </c>
      <c r="F8195" s="3" t="s">
        <v>8955</v>
      </c>
      <c r="G8195" s="4" t="str">
        <f>HYPERLINK("https://diaocthongthai.com/xa-tan-loi-hon-quan/","Xã Tân Lợi")</f>
        <v>Xã Tân Lợi</v>
      </c>
    </row>
    <row r="8196" spans="1:7" x14ac:dyDescent="0.25">
      <c r="A8196" s="2">
        <v>8195</v>
      </c>
      <c r="B8196" s="3" t="s">
        <v>47</v>
      </c>
      <c r="C8196" s="4" t="str">
        <f t="shared" si="707"/>
        <v>Bình Phước</v>
      </c>
      <c r="D8196" s="3" t="s">
        <v>569</v>
      </c>
      <c r="E8196" s="4" t="str">
        <f t="shared" si="709"/>
        <v>Huyện Hớn Quản</v>
      </c>
      <c r="F8196" s="3" t="s">
        <v>8956</v>
      </c>
      <c r="G8196" s="4" t="str">
        <f>HYPERLINK("https://diaocthongthai.com/xa-tan-hung-hon-quan/","Xã Tân Hưng")</f>
        <v>Xã Tân Hưng</v>
      </c>
    </row>
    <row r="8197" spans="1:7" x14ac:dyDescent="0.25">
      <c r="A8197" s="2">
        <v>8196</v>
      </c>
      <c r="B8197" s="3" t="s">
        <v>47</v>
      </c>
      <c r="C8197" s="4" t="str">
        <f t="shared" si="707"/>
        <v>Bình Phước</v>
      </c>
      <c r="D8197" s="3" t="s">
        <v>569</v>
      </c>
      <c r="E8197" s="4" t="str">
        <f t="shared" si="709"/>
        <v>Huyện Hớn Quản</v>
      </c>
      <c r="F8197" s="3" t="s">
        <v>8957</v>
      </c>
      <c r="G8197" s="4" t="str">
        <f>HYPERLINK("https://diaocthongthai.com/xa-minh-duc-hon-quan/","Xã Minh Đức")</f>
        <v>Xã Minh Đức</v>
      </c>
    </row>
    <row r="8198" spans="1:7" x14ac:dyDescent="0.25">
      <c r="A8198" s="2">
        <v>8197</v>
      </c>
      <c r="B8198" s="3" t="s">
        <v>47</v>
      </c>
      <c r="C8198" s="4" t="str">
        <f t="shared" si="707"/>
        <v>Bình Phước</v>
      </c>
      <c r="D8198" s="3" t="s">
        <v>569</v>
      </c>
      <c r="E8198" s="4" t="str">
        <f t="shared" si="709"/>
        <v>Huyện Hớn Quản</v>
      </c>
      <c r="F8198" s="3" t="s">
        <v>8958</v>
      </c>
      <c r="G8198" s="4" t="str">
        <f>HYPERLINK("https://diaocthongthai.com/xa-minh-tam-hon-quan/","Xã Minh Tâm")</f>
        <v>Xã Minh Tâm</v>
      </c>
    </row>
    <row r="8199" spans="1:7" x14ac:dyDescent="0.25">
      <c r="A8199" s="2">
        <v>8198</v>
      </c>
      <c r="B8199" s="3" t="s">
        <v>47</v>
      </c>
      <c r="C8199" s="4" t="str">
        <f t="shared" si="707"/>
        <v>Bình Phước</v>
      </c>
      <c r="D8199" s="3" t="s">
        <v>569</v>
      </c>
      <c r="E8199" s="4" t="str">
        <f t="shared" si="709"/>
        <v>Huyện Hớn Quản</v>
      </c>
      <c r="F8199" s="3" t="s">
        <v>8959</v>
      </c>
      <c r="G8199" s="4" t="str">
        <f>HYPERLINK("https://diaocthongthai.com/xa-phuoc-an-hon-quan/","Xã Phước An")</f>
        <v>Xã Phước An</v>
      </c>
    </row>
    <row r="8200" spans="1:7" x14ac:dyDescent="0.25">
      <c r="A8200" s="2">
        <v>8199</v>
      </c>
      <c r="B8200" s="3" t="s">
        <v>47</v>
      </c>
      <c r="C8200" s="4" t="str">
        <f t="shared" si="707"/>
        <v>Bình Phước</v>
      </c>
      <c r="D8200" s="3" t="s">
        <v>569</v>
      </c>
      <c r="E8200" s="4" t="str">
        <f t="shared" si="709"/>
        <v>Huyện Hớn Quản</v>
      </c>
      <c r="F8200" s="3" t="s">
        <v>8960</v>
      </c>
      <c r="G8200" s="4" t="str">
        <f>HYPERLINK("https://diaocthongthai.com/xa-thanh-binh-hon-quan/","Xã Thanh Bình")</f>
        <v>Xã Thanh Bình</v>
      </c>
    </row>
    <row r="8201" spans="1:7" x14ac:dyDescent="0.25">
      <c r="A8201" s="2">
        <v>8200</v>
      </c>
      <c r="B8201" s="3" t="s">
        <v>47</v>
      </c>
      <c r="C8201" s="4" t="str">
        <f t="shared" si="707"/>
        <v>Bình Phước</v>
      </c>
      <c r="D8201" s="3" t="s">
        <v>569</v>
      </c>
      <c r="E8201" s="4" t="str">
        <f t="shared" si="709"/>
        <v>Huyện Hớn Quản</v>
      </c>
      <c r="F8201" s="3" t="s">
        <v>8961</v>
      </c>
      <c r="G8201" s="4" t="str">
        <f>HYPERLINK("https://diaocthongthai.com/thi-tran-tan-khai-hon-quan/","Thị trấn Tân Khai")</f>
        <v>Thị trấn Tân Khai</v>
      </c>
    </row>
    <row r="8202" spans="1:7" x14ac:dyDescent="0.25">
      <c r="A8202" s="2">
        <v>8201</v>
      </c>
      <c r="B8202" s="3" t="s">
        <v>47</v>
      </c>
      <c r="C8202" s="4" t="str">
        <f t="shared" si="707"/>
        <v>Bình Phước</v>
      </c>
      <c r="D8202" s="3" t="s">
        <v>569</v>
      </c>
      <c r="E8202" s="4" t="str">
        <f t="shared" si="709"/>
        <v>Huyện Hớn Quản</v>
      </c>
      <c r="F8202" s="3" t="s">
        <v>8962</v>
      </c>
      <c r="G8202" s="4" t="str">
        <f>HYPERLINK("https://diaocthongthai.com/xa-dong-no-hon-quan/","Xã Đồng Nơ")</f>
        <v>Xã Đồng Nơ</v>
      </c>
    </row>
    <row r="8203" spans="1:7" x14ac:dyDescent="0.25">
      <c r="A8203" s="2">
        <v>8202</v>
      </c>
      <c r="B8203" s="3" t="s">
        <v>47</v>
      </c>
      <c r="C8203" s="4" t="str">
        <f t="shared" si="707"/>
        <v>Bình Phước</v>
      </c>
      <c r="D8203" s="3" t="s">
        <v>569</v>
      </c>
      <c r="E8203" s="4" t="str">
        <f t="shared" si="709"/>
        <v>Huyện Hớn Quản</v>
      </c>
      <c r="F8203" s="3" t="s">
        <v>8963</v>
      </c>
      <c r="G8203" s="4" t="str">
        <f>HYPERLINK("https://diaocthongthai.com/xa-tan-hiep-hon-quan/","Xã Tân Hiệp")</f>
        <v>Xã Tân Hiệp</v>
      </c>
    </row>
    <row r="8204" spans="1:7" x14ac:dyDescent="0.25">
      <c r="A8204" s="2">
        <v>8203</v>
      </c>
      <c r="B8204" s="3" t="s">
        <v>47</v>
      </c>
      <c r="C8204" s="4" t="str">
        <f t="shared" ref="C8204:C8235" si="710">HYPERLINK("https://diaocthongthai.com/ban-do-binh-phuoc/","Bình Phước")</f>
        <v>Bình Phước</v>
      </c>
      <c r="D8204" s="3" t="s">
        <v>569</v>
      </c>
      <c r="E8204" s="4" t="str">
        <f t="shared" si="709"/>
        <v>Huyện Hớn Quản</v>
      </c>
      <c r="F8204" s="3" t="s">
        <v>8964</v>
      </c>
      <c r="G8204" s="4" t="str">
        <f>HYPERLINK("https://diaocthongthai.com/xa-tan-quan-hon-quan/","Xã Tân Quan")</f>
        <v>Xã Tân Quan</v>
      </c>
    </row>
    <row r="8205" spans="1:7" x14ac:dyDescent="0.25">
      <c r="A8205" s="2">
        <v>8204</v>
      </c>
      <c r="B8205" s="3" t="s">
        <v>47</v>
      </c>
      <c r="C8205" s="4" t="str">
        <f t="shared" si="710"/>
        <v>Bình Phước</v>
      </c>
      <c r="D8205" s="3" t="s">
        <v>570</v>
      </c>
      <c r="E8205" s="4" t="str">
        <f t="shared" ref="E8205:E8215" si="711">HYPERLINK("https://diaocthongthai.com/ban-do-huyen-dong-phu-binh-phuoc/","Huyện Đồng Phú")</f>
        <v>Huyện Đồng Phú</v>
      </c>
      <c r="F8205" s="3" t="s">
        <v>8965</v>
      </c>
      <c r="G8205" s="4" t="str">
        <f>HYPERLINK("https://diaocthongthai.com/thi-tran-tan-phu-dong-phu/","Thị trấn Tân Phú")</f>
        <v>Thị trấn Tân Phú</v>
      </c>
    </row>
    <row r="8206" spans="1:7" x14ac:dyDescent="0.25">
      <c r="A8206" s="2">
        <v>8205</v>
      </c>
      <c r="B8206" s="3" t="s">
        <v>47</v>
      </c>
      <c r="C8206" s="4" t="str">
        <f t="shared" si="710"/>
        <v>Bình Phước</v>
      </c>
      <c r="D8206" s="3" t="s">
        <v>570</v>
      </c>
      <c r="E8206" s="4" t="str">
        <f t="shared" si="711"/>
        <v>Huyện Đồng Phú</v>
      </c>
      <c r="F8206" s="3" t="s">
        <v>8966</v>
      </c>
      <c r="G8206" s="4" t="str">
        <f>HYPERLINK("https://diaocthongthai.com/xa-thuan-loi-dong-phu/","Xã Thuận Lợi")</f>
        <v>Xã Thuận Lợi</v>
      </c>
    </row>
    <row r="8207" spans="1:7" x14ac:dyDescent="0.25">
      <c r="A8207" s="2">
        <v>8206</v>
      </c>
      <c r="B8207" s="3" t="s">
        <v>47</v>
      </c>
      <c r="C8207" s="4" t="str">
        <f t="shared" si="710"/>
        <v>Bình Phước</v>
      </c>
      <c r="D8207" s="3" t="s">
        <v>570</v>
      </c>
      <c r="E8207" s="4" t="str">
        <f t="shared" si="711"/>
        <v>Huyện Đồng Phú</v>
      </c>
      <c r="F8207" s="3" t="s">
        <v>8967</v>
      </c>
      <c r="G8207" s="4" t="str">
        <f>HYPERLINK("https://diaocthongthai.com/xa-dong-tam-dong-phu/","Xã Đồng Tâm")</f>
        <v>Xã Đồng Tâm</v>
      </c>
    </row>
    <row r="8208" spans="1:7" x14ac:dyDescent="0.25">
      <c r="A8208" s="2">
        <v>8207</v>
      </c>
      <c r="B8208" s="3" t="s">
        <v>47</v>
      </c>
      <c r="C8208" s="4" t="str">
        <f t="shared" si="710"/>
        <v>Bình Phước</v>
      </c>
      <c r="D8208" s="3" t="s">
        <v>570</v>
      </c>
      <c r="E8208" s="4" t="str">
        <f t="shared" si="711"/>
        <v>Huyện Đồng Phú</v>
      </c>
      <c r="F8208" s="3" t="s">
        <v>8968</v>
      </c>
      <c r="G8208" s="4" t="str">
        <f>HYPERLINK("https://diaocthongthai.com/xa-tan-phuoc-dong-phu/","Xã Tân Phước")</f>
        <v>Xã Tân Phước</v>
      </c>
    </row>
    <row r="8209" spans="1:7" x14ac:dyDescent="0.25">
      <c r="A8209" s="2">
        <v>8208</v>
      </c>
      <c r="B8209" s="3" t="s">
        <v>47</v>
      </c>
      <c r="C8209" s="4" t="str">
        <f t="shared" si="710"/>
        <v>Bình Phước</v>
      </c>
      <c r="D8209" s="3" t="s">
        <v>570</v>
      </c>
      <c r="E8209" s="4" t="str">
        <f t="shared" si="711"/>
        <v>Huyện Đồng Phú</v>
      </c>
      <c r="F8209" s="3" t="s">
        <v>8969</v>
      </c>
      <c r="G8209" s="4" t="str">
        <f>HYPERLINK("https://diaocthongthai.com/xa-tan-hung-dong-phu/","Xã Tân Hưng")</f>
        <v>Xã Tân Hưng</v>
      </c>
    </row>
    <row r="8210" spans="1:7" x14ac:dyDescent="0.25">
      <c r="A8210" s="2">
        <v>8209</v>
      </c>
      <c r="B8210" s="3" t="s">
        <v>47</v>
      </c>
      <c r="C8210" s="4" t="str">
        <f t="shared" si="710"/>
        <v>Bình Phước</v>
      </c>
      <c r="D8210" s="3" t="s">
        <v>570</v>
      </c>
      <c r="E8210" s="4" t="str">
        <f t="shared" si="711"/>
        <v>Huyện Đồng Phú</v>
      </c>
      <c r="F8210" s="3" t="s">
        <v>8970</v>
      </c>
      <c r="G8210" s="4" t="str">
        <f>HYPERLINK("https://diaocthongthai.com/xa-tan-loi-dong-phu/","Xã Tân Lợi")</f>
        <v>Xã Tân Lợi</v>
      </c>
    </row>
    <row r="8211" spans="1:7" x14ac:dyDescent="0.25">
      <c r="A8211" s="2">
        <v>8210</v>
      </c>
      <c r="B8211" s="3" t="s">
        <v>47</v>
      </c>
      <c r="C8211" s="4" t="str">
        <f t="shared" si="710"/>
        <v>Bình Phước</v>
      </c>
      <c r="D8211" s="3" t="s">
        <v>570</v>
      </c>
      <c r="E8211" s="4" t="str">
        <f t="shared" si="711"/>
        <v>Huyện Đồng Phú</v>
      </c>
      <c r="F8211" s="3" t="s">
        <v>8971</v>
      </c>
      <c r="G8211" s="4" t="str">
        <f>HYPERLINK("https://diaocthongthai.com/xa-tan-lap-dong-phu/","Xã Tân Lập")</f>
        <v>Xã Tân Lập</v>
      </c>
    </row>
    <row r="8212" spans="1:7" x14ac:dyDescent="0.25">
      <c r="A8212" s="2">
        <v>8211</v>
      </c>
      <c r="B8212" s="3" t="s">
        <v>47</v>
      </c>
      <c r="C8212" s="4" t="str">
        <f t="shared" si="710"/>
        <v>Bình Phước</v>
      </c>
      <c r="D8212" s="3" t="s">
        <v>570</v>
      </c>
      <c r="E8212" s="4" t="str">
        <f t="shared" si="711"/>
        <v>Huyện Đồng Phú</v>
      </c>
      <c r="F8212" s="3" t="s">
        <v>8972</v>
      </c>
      <c r="G8212" s="4" t="str">
        <f>HYPERLINK("https://diaocthongthai.com/xa-tan-hoa-dong-phu/","Xã Tân Hòa")</f>
        <v>Xã Tân Hòa</v>
      </c>
    </row>
    <row r="8213" spans="1:7" x14ac:dyDescent="0.25">
      <c r="A8213" s="2">
        <v>8212</v>
      </c>
      <c r="B8213" s="3" t="s">
        <v>47</v>
      </c>
      <c r="C8213" s="4" t="str">
        <f t="shared" si="710"/>
        <v>Bình Phước</v>
      </c>
      <c r="D8213" s="3" t="s">
        <v>570</v>
      </c>
      <c r="E8213" s="4" t="str">
        <f t="shared" si="711"/>
        <v>Huyện Đồng Phú</v>
      </c>
      <c r="F8213" s="3" t="s">
        <v>8973</v>
      </c>
      <c r="G8213" s="4" t="str">
        <f>HYPERLINK("https://diaocthongthai.com/xa-thuan-phu-dong-phu/","Xã Thuận Phú")</f>
        <v>Xã Thuận Phú</v>
      </c>
    </row>
    <row r="8214" spans="1:7" x14ac:dyDescent="0.25">
      <c r="A8214" s="2">
        <v>8213</v>
      </c>
      <c r="B8214" s="3" t="s">
        <v>47</v>
      </c>
      <c r="C8214" s="4" t="str">
        <f t="shared" si="710"/>
        <v>Bình Phước</v>
      </c>
      <c r="D8214" s="3" t="s">
        <v>570</v>
      </c>
      <c r="E8214" s="4" t="str">
        <f t="shared" si="711"/>
        <v>Huyện Đồng Phú</v>
      </c>
      <c r="F8214" s="3" t="s">
        <v>8974</v>
      </c>
      <c r="G8214" s="4" t="str">
        <f>HYPERLINK("https://diaocthongthai.com/xa-dong-tien-dong-phu/","Xã Đồng Tiến")</f>
        <v>Xã Đồng Tiến</v>
      </c>
    </row>
    <row r="8215" spans="1:7" x14ac:dyDescent="0.25">
      <c r="A8215" s="2">
        <v>8214</v>
      </c>
      <c r="B8215" s="3" t="s">
        <v>47</v>
      </c>
      <c r="C8215" s="4" t="str">
        <f t="shared" si="710"/>
        <v>Bình Phước</v>
      </c>
      <c r="D8215" s="3" t="s">
        <v>570</v>
      </c>
      <c r="E8215" s="4" t="str">
        <f t="shared" si="711"/>
        <v>Huyện Đồng Phú</v>
      </c>
      <c r="F8215" s="3" t="s">
        <v>8975</v>
      </c>
      <c r="G8215" s="4" t="str">
        <f>HYPERLINK("https://diaocthongthai.com/xa-tan-tien-dong-phu/","Xã Tân Tiến")</f>
        <v>Xã Tân Tiến</v>
      </c>
    </row>
    <row r="8216" spans="1:7" x14ac:dyDescent="0.25">
      <c r="A8216" s="2">
        <v>8215</v>
      </c>
      <c r="B8216" s="3" t="s">
        <v>47</v>
      </c>
      <c r="C8216" s="4" t="str">
        <f t="shared" si="710"/>
        <v>Bình Phước</v>
      </c>
      <c r="D8216" s="3" t="s">
        <v>571</v>
      </c>
      <c r="E8216" s="4" t="str">
        <f t="shared" ref="E8216:E8231" si="712">HYPERLINK("https://diaocthongthai.com/ban-do-huyen-bu-dang-binh-phuoc/","Huyện Bù Đăng")</f>
        <v>Huyện Bù Đăng</v>
      </c>
      <c r="F8216" s="3" t="s">
        <v>8976</v>
      </c>
      <c r="G8216" s="4" t="str">
        <f>HYPERLINK("https://diaocthongthai.com/thi-tran-duc-phong-bu-dang/","Thị trấn Đức Phong")</f>
        <v>Thị trấn Đức Phong</v>
      </c>
    </row>
    <row r="8217" spans="1:7" x14ac:dyDescent="0.25">
      <c r="A8217" s="2">
        <v>8216</v>
      </c>
      <c r="B8217" s="3" t="s">
        <v>47</v>
      </c>
      <c r="C8217" s="4" t="str">
        <f t="shared" si="710"/>
        <v>Bình Phước</v>
      </c>
      <c r="D8217" s="3" t="s">
        <v>571</v>
      </c>
      <c r="E8217" s="4" t="str">
        <f t="shared" si="712"/>
        <v>Huyện Bù Đăng</v>
      </c>
      <c r="F8217" s="3" t="s">
        <v>8977</v>
      </c>
      <c r="G8217" s="4" t="str">
        <f>HYPERLINK("https://diaocthongthai.com/xa-duong-10-bu-dang/","Xã Đường 10")</f>
        <v>Xã Đường 10</v>
      </c>
    </row>
    <row r="8218" spans="1:7" x14ac:dyDescent="0.25">
      <c r="A8218" s="2">
        <v>8217</v>
      </c>
      <c r="B8218" s="3" t="s">
        <v>47</v>
      </c>
      <c r="C8218" s="4" t="str">
        <f t="shared" si="710"/>
        <v>Bình Phước</v>
      </c>
      <c r="D8218" s="3" t="s">
        <v>571</v>
      </c>
      <c r="E8218" s="4" t="str">
        <f t="shared" si="712"/>
        <v>Huyện Bù Đăng</v>
      </c>
      <c r="F8218" s="3" t="s">
        <v>8978</v>
      </c>
      <c r="G8218" s="4" t="str">
        <f>HYPERLINK("https://diaocthongthai.com/xa-dak-nhau-bu-dang/","Xã Đak Nhau")</f>
        <v>Xã Đak Nhau</v>
      </c>
    </row>
    <row r="8219" spans="1:7" x14ac:dyDescent="0.25">
      <c r="A8219" s="2">
        <v>8218</v>
      </c>
      <c r="B8219" s="3" t="s">
        <v>47</v>
      </c>
      <c r="C8219" s="4" t="str">
        <f t="shared" si="710"/>
        <v>Bình Phước</v>
      </c>
      <c r="D8219" s="3" t="s">
        <v>571</v>
      </c>
      <c r="E8219" s="4" t="str">
        <f t="shared" si="712"/>
        <v>Huyện Bù Đăng</v>
      </c>
      <c r="F8219" s="3" t="s">
        <v>8979</v>
      </c>
      <c r="G8219" s="4" t="str">
        <f>HYPERLINK("https://diaocthongthai.com/xa-phu-son-bu-dang/","Xã Phú Sơn")</f>
        <v>Xã Phú Sơn</v>
      </c>
    </row>
    <row r="8220" spans="1:7" x14ac:dyDescent="0.25">
      <c r="A8220" s="2">
        <v>8219</v>
      </c>
      <c r="B8220" s="3" t="s">
        <v>47</v>
      </c>
      <c r="C8220" s="4" t="str">
        <f t="shared" si="710"/>
        <v>Bình Phước</v>
      </c>
      <c r="D8220" s="3" t="s">
        <v>571</v>
      </c>
      <c r="E8220" s="4" t="str">
        <f t="shared" si="712"/>
        <v>Huyện Bù Đăng</v>
      </c>
      <c r="F8220" s="3" t="s">
        <v>8980</v>
      </c>
      <c r="G8220" s="4" t="str">
        <f>HYPERLINK("https://diaocthongthai.com/xa-tho-son-bu-dang/","Xã Thọ Sơn")</f>
        <v>Xã Thọ Sơn</v>
      </c>
    </row>
    <row r="8221" spans="1:7" x14ac:dyDescent="0.25">
      <c r="A8221" s="2">
        <v>8220</v>
      </c>
      <c r="B8221" s="3" t="s">
        <v>47</v>
      </c>
      <c r="C8221" s="4" t="str">
        <f t="shared" si="710"/>
        <v>Bình Phước</v>
      </c>
      <c r="D8221" s="3" t="s">
        <v>571</v>
      </c>
      <c r="E8221" s="4" t="str">
        <f t="shared" si="712"/>
        <v>Huyện Bù Đăng</v>
      </c>
      <c r="F8221" s="3" t="s">
        <v>8981</v>
      </c>
      <c r="G8221" s="4" t="str">
        <f>HYPERLINK("https://diaocthongthai.com/xa-binh-minh-bu-dang/","Xã Bình Minh")</f>
        <v>Xã Bình Minh</v>
      </c>
    </row>
    <row r="8222" spans="1:7" x14ac:dyDescent="0.25">
      <c r="A8222" s="2">
        <v>8221</v>
      </c>
      <c r="B8222" s="3" t="s">
        <v>47</v>
      </c>
      <c r="C8222" s="4" t="str">
        <f t="shared" si="710"/>
        <v>Bình Phước</v>
      </c>
      <c r="D8222" s="3" t="s">
        <v>571</v>
      </c>
      <c r="E8222" s="4" t="str">
        <f t="shared" si="712"/>
        <v>Huyện Bù Đăng</v>
      </c>
      <c r="F8222" s="3" t="s">
        <v>8982</v>
      </c>
      <c r="G8222" s="4" t="str">
        <f>HYPERLINK("https://diaocthongthai.com/xa-bom-bo-bu-dang/","Xã Bom Bo")</f>
        <v>Xã Bom Bo</v>
      </c>
    </row>
    <row r="8223" spans="1:7" x14ac:dyDescent="0.25">
      <c r="A8223" s="2">
        <v>8222</v>
      </c>
      <c r="B8223" s="3" t="s">
        <v>47</v>
      </c>
      <c r="C8223" s="4" t="str">
        <f t="shared" si="710"/>
        <v>Bình Phước</v>
      </c>
      <c r="D8223" s="3" t="s">
        <v>571</v>
      </c>
      <c r="E8223" s="4" t="str">
        <f t="shared" si="712"/>
        <v>Huyện Bù Đăng</v>
      </c>
      <c r="F8223" s="3" t="s">
        <v>8983</v>
      </c>
      <c r="G8223" s="4" t="str">
        <f>HYPERLINK("https://diaocthongthai.com/xa-minh-hung-bu-dang/","Xã Minh Hưng")</f>
        <v>Xã Minh Hưng</v>
      </c>
    </row>
    <row r="8224" spans="1:7" x14ac:dyDescent="0.25">
      <c r="A8224" s="2">
        <v>8223</v>
      </c>
      <c r="B8224" s="3" t="s">
        <v>47</v>
      </c>
      <c r="C8224" s="4" t="str">
        <f t="shared" si="710"/>
        <v>Bình Phước</v>
      </c>
      <c r="D8224" s="3" t="s">
        <v>571</v>
      </c>
      <c r="E8224" s="4" t="str">
        <f t="shared" si="712"/>
        <v>Huyện Bù Đăng</v>
      </c>
      <c r="F8224" s="3" t="s">
        <v>8984</v>
      </c>
      <c r="G8224" s="4" t="str">
        <f>HYPERLINK("https://diaocthongthai.com/xa-doan-ket-bu-dang/","Xã Đoàn Kết")</f>
        <v>Xã Đoàn Kết</v>
      </c>
    </row>
    <row r="8225" spans="1:7" x14ac:dyDescent="0.25">
      <c r="A8225" s="2">
        <v>8224</v>
      </c>
      <c r="B8225" s="3" t="s">
        <v>47</v>
      </c>
      <c r="C8225" s="4" t="str">
        <f t="shared" si="710"/>
        <v>Bình Phước</v>
      </c>
      <c r="D8225" s="3" t="s">
        <v>571</v>
      </c>
      <c r="E8225" s="4" t="str">
        <f t="shared" si="712"/>
        <v>Huyện Bù Đăng</v>
      </c>
      <c r="F8225" s="3" t="s">
        <v>8985</v>
      </c>
      <c r="G8225" s="4" t="str">
        <f>HYPERLINK("https://diaocthongthai.com/xa-dong-nai-bu-dang/","Xã Đồng Nai")</f>
        <v>Xã Đồng Nai</v>
      </c>
    </row>
    <row r="8226" spans="1:7" x14ac:dyDescent="0.25">
      <c r="A8226" s="2">
        <v>8225</v>
      </c>
      <c r="B8226" s="3" t="s">
        <v>47</v>
      </c>
      <c r="C8226" s="4" t="str">
        <f t="shared" si="710"/>
        <v>Bình Phước</v>
      </c>
      <c r="D8226" s="3" t="s">
        <v>571</v>
      </c>
      <c r="E8226" s="4" t="str">
        <f t="shared" si="712"/>
        <v>Huyện Bù Đăng</v>
      </c>
      <c r="F8226" s="3" t="s">
        <v>8986</v>
      </c>
      <c r="G8226" s="4" t="str">
        <f>HYPERLINK("https://diaocthongthai.com/xa-duc-lieu-bu-dang/","Xã Đức Liễu")</f>
        <v>Xã Đức Liễu</v>
      </c>
    </row>
    <row r="8227" spans="1:7" x14ac:dyDescent="0.25">
      <c r="A8227" s="2">
        <v>8226</v>
      </c>
      <c r="B8227" s="3" t="s">
        <v>47</v>
      </c>
      <c r="C8227" s="4" t="str">
        <f t="shared" si="710"/>
        <v>Bình Phước</v>
      </c>
      <c r="D8227" s="3" t="s">
        <v>571</v>
      </c>
      <c r="E8227" s="4" t="str">
        <f t="shared" si="712"/>
        <v>Huyện Bù Đăng</v>
      </c>
      <c r="F8227" s="3" t="s">
        <v>8987</v>
      </c>
      <c r="G8227" s="4" t="str">
        <f>HYPERLINK("https://diaocthongthai.com/xa-thong-nhat-bu-dang/","Xã Thống Nhất")</f>
        <v>Xã Thống Nhất</v>
      </c>
    </row>
    <row r="8228" spans="1:7" x14ac:dyDescent="0.25">
      <c r="A8228" s="2">
        <v>8227</v>
      </c>
      <c r="B8228" s="3" t="s">
        <v>47</v>
      </c>
      <c r="C8228" s="4" t="str">
        <f t="shared" si="710"/>
        <v>Bình Phước</v>
      </c>
      <c r="D8228" s="3" t="s">
        <v>571</v>
      </c>
      <c r="E8228" s="4" t="str">
        <f t="shared" si="712"/>
        <v>Huyện Bù Đăng</v>
      </c>
      <c r="F8228" s="3" t="s">
        <v>8988</v>
      </c>
      <c r="G8228" s="4" t="str">
        <f>HYPERLINK("https://diaocthongthai.com/xa-nghia-trung-bu-dang/","Xã Nghĩa Trung")</f>
        <v>Xã Nghĩa Trung</v>
      </c>
    </row>
    <row r="8229" spans="1:7" x14ac:dyDescent="0.25">
      <c r="A8229" s="2">
        <v>8228</v>
      </c>
      <c r="B8229" s="3" t="s">
        <v>47</v>
      </c>
      <c r="C8229" s="4" t="str">
        <f t="shared" si="710"/>
        <v>Bình Phước</v>
      </c>
      <c r="D8229" s="3" t="s">
        <v>571</v>
      </c>
      <c r="E8229" s="4" t="str">
        <f t="shared" si="712"/>
        <v>Huyện Bù Đăng</v>
      </c>
      <c r="F8229" s="3" t="s">
        <v>8989</v>
      </c>
      <c r="G8229" s="4" t="str">
        <f>HYPERLINK("https://diaocthongthai.com/xa-nghia-binh-bu-dang/","Xã Nghĩa Bình")</f>
        <v>Xã Nghĩa Bình</v>
      </c>
    </row>
    <row r="8230" spans="1:7" x14ac:dyDescent="0.25">
      <c r="A8230" s="2">
        <v>8229</v>
      </c>
      <c r="B8230" s="3" t="s">
        <v>47</v>
      </c>
      <c r="C8230" s="4" t="str">
        <f t="shared" si="710"/>
        <v>Bình Phước</v>
      </c>
      <c r="D8230" s="3" t="s">
        <v>571</v>
      </c>
      <c r="E8230" s="4" t="str">
        <f t="shared" si="712"/>
        <v>Huyện Bù Đăng</v>
      </c>
      <c r="F8230" s="3" t="s">
        <v>8990</v>
      </c>
      <c r="G8230" s="4" t="str">
        <f>HYPERLINK("https://diaocthongthai.com/xa-dang-ha-bu-dang/","Xã Đăng Hà")</f>
        <v>Xã Đăng Hà</v>
      </c>
    </row>
    <row r="8231" spans="1:7" x14ac:dyDescent="0.25">
      <c r="A8231" s="2">
        <v>8230</v>
      </c>
      <c r="B8231" s="3" t="s">
        <v>47</v>
      </c>
      <c r="C8231" s="4" t="str">
        <f t="shared" si="710"/>
        <v>Bình Phước</v>
      </c>
      <c r="D8231" s="3" t="s">
        <v>571</v>
      </c>
      <c r="E8231" s="4" t="str">
        <f t="shared" si="712"/>
        <v>Huyện Bù Đăng</v>
      </c>
      <c r="F8231" s="3" t="s">
        <v>8991</v>
      </c>
      <c r="G8231" s="4" t="str">
        <f>HYPERLINK("https://diaocthongthai.com/xa-phuoc-son-bu-dang/","Xã Phước Sơn")</f>
        <v>Xã Phước Sơn</v>
      </c>
    </row>
    <row r="8232" spans="1:7" x14ac:dyDescent="0.25">
      <c r="A8232" s="2">
        <v>8231</v>
      </c>
      <c r="B8232" s="3" t="s">
        <v>47</v>
      </c>
      <c r="C8232" s="4" t="str">
        <f t="shared" si="710"/>
        <v>Bình Phước</v>
      </c>
      <c r="D8232" s="3" t="s">
        <v>572</v>
      </c>
      <c r="E8232" s="4" t="str">
        <f t="shared" ref="E8232:E8240" si="713">HYPERLINK("https://diaocthongthai.com/ban-do-huyen-chon-thanh-binh-phuoc/","Huyện Chơn Thành")</f>
        <v>Huyện Chơn Thành</v>
      </c>
      <c r="F8232" s="3" t="s">
        <v>8992</v>
      </c>
      <c r="G8232" s="4" t="str">
        <f>HYPERLINK("https://diaocthongthai.com/thi-tran-chon-thanh-chon-thanh/","Thị trấn Chơn Thành")</f>
        <v>Thị trấn Chơn Thành</v>
      </c>
    </row>
    <row r="8233" spans="1:7" x14ac:dyDescent="0.25">
      <c r="A8233" s="2">
        <v>8232</v>
      </c>
      <c r="B8233" s="3" t="s">
        <v>47</v>
      </c>
      <c r="C8233" s="4" t="str">
        <f t="shared" si="710"/>
        <v>Bình Phước</v>
      </c>
      <c r="D8233" s="3" t="s">
        <v>572</v>
      </c>
      <c r="E8233" s="4" t="str">
        <f t="shared" si="713"/>
        <v>Huyện Chơn Thành</v>
      </c>
      <c r="F8233" s="3" t="s">
        <v>8993</v>
      </c>
      <c r="G8233" s="4" t="str">
        <f>HYPERLINK("https://diaocthongthai.com/xa-thanh-tam-chon-thanh/","Xã Thành Tâm")</f>
        <v>Xã Thành Tâm</v>
      </c>
    </row>
    <row r="8234" spans="1:7" x14ac:dyDescent="0.25">
      <c r="A8234" s="2">
        <v>8233</v>
      </c>
      <c r="B8234" s="3" t="s">
        <v>47</v>
      </c>
      <c r="C8234" s="4" t="str">
        <f t="shared" si="710"/>
        <v>Bình Phước</v>
      </c>
      <c r="D8234" s="3" t="s">
        <v>572</v>
      </c>
      <c r="E8234" s="4" t="str">
        <f t="shared" si="713"/>
        <v>Huyện Chơn Thành</v>
      </c>
      <c r="F8234" s="3" t="s">
        <v>8994</v>
      </c>
      <c r="G8234" s="4" t="str">
        <f>HYPERLINK("https://diaocthongthai.com/xa-minh-lap-chon-thanh/","Xã Minh Lập")</f>
        <v>Xã Minh Lập</v>
      </c>
    </row>
    <row r="8235" spans="1:7" x14ac:dyDescent="0.25">
      <c r="A8235" s="2">
        <v>8234</v>
      </c>
      <c r="B8235" s="3" t="s">
        <v>47</v>
      </c>
      <c r="C8235" s="4" t="str">
        <f t="shared" si="710"/>
        <v>Bình Phước</v>
      </c>
      <c r="D8235" s="3" t="s">
        <v>572</v>
      </c>
      <c r="E8235" s="4" t="str">
        <f t="shared" si="713"/>
        <v>Huyện Chơn Thành</v>
      </c>
      <c r="F8235" s="3" t="s">
        <v>8995</v>
      </c>
      <c r="G8235" s="4" t="str">
        <f>HYPERLINK("https://diaocthongthai.com/xa-quang-minh-chon-thanh/","Xã Quang Minh")</f>
        <v>Xã Quang Minh</v>
      </c>
    </row>
    <row r="8236" spans="1:7" x14ac:dyDescent="0.25">
      <c r="A8236" s="2">
        <v>8235</v>
      </c>
      <c r="B8236" s="3" t="s">
        <v>47</v>
      </c>
      <c r="C8236" s="4" t="str">
        <f t="shared" ref="C8236:C8250" si="714">HYPERLINK("https://diaocthongthai.com/ban-do-binh-phuoc/","Bình Phước")</f>
        <v>Bình Phước</v>
      </c>
      <c r="D8236" s="3" t="s">
        <v>572</v>
      </c>
      <c r="E8236" s="4" t="str">
        <f t="shared" si="713"/>
        <v>Huyện Chơn Thành</v>
      </c>
      <c r="F8236" s="3" t="s">
        <v>8996</v>
      </c>
      <c r="G8236" s="4" t="str">
        <f>HYPERLINK("https://diaocthongthai.com/xa-minh-hung-chon-thanh/","Xã Minh Hưng")</f>
        <v>Xã Minh Hưng</v>
      </c>
    </row>
    <row r="8237" spans="1:7" x14ac:dyDescent="0.25">
      <c r="A8237" s="2">
        <v>8236</v>
      </c>
      <c r="B8237" s="3" t="s">
        <v>47</v>
      </c>
      <c r="C8237" s="4" t="str">
        <f t="shared" si="714"/>
        <v>Bình Phước</v>
      </c>
      <c r="D8237" s="3" t="s">
        <v>572</v>
      </c>
      <c r="E8237" s="4" t="str">
        <f t="shared" si="713"/>
        <v>Huyện Chơn Thành</v>
      </c>
      <c r="F8237" s="3" t="s">
        <v>8997</v>
      </c>
      <c r="G8237" s="4" t="str">
        <f>HYPERLINK("https://diaocthongthai.com/xa-minh-long-chon-thanh/","Xã Minh Long")</f>
        <v>Xã Minh Long</v>
      </c>
    </row>
    <row r="8238" spans="1:7" x14ac:dyDescent="0.25">
      <c r="A8238" s="2">
        <v>8237</v>
      </c>
      <c r="B8238" s="3" t="s">
        <v>47</v>
      </c>
      <c r="C8238" s="4" t="str">
        <f t="shared" si="714"/>
        <v>Bình Phước</v>
      </c>
      <c r="D8238" s="3" t="s">
        <v>572</v>
      </c>
      <c r="E8238" s="4" t="str">
        <f t="shared" si="713"/>
        <v>Huyện Chơn Thành</v>
      </c>
      <c r="F8238" s="3" t="s">
        <v>8998</v>
      </c>
      <c r="G8238" s="4" t="str">
        <f>HYPERLINK("https://diaocthongthai.com/xa-minh-thanh-chon-thanh/","Xã Minh Thành")</f>
        <v>Xã Minh Thành</v>
      </c>
    </row>
    <row r="8239" spans="1:7" x14ac:dyDescent="0.25">
      <c r="A8239" s="2">
        <v>8238</v>
      </c>
      <c r="B8239" s="3" t="s">
        <v>47</v>
      </c>
      <c r="C8239" s="4" t="str">
        <f t="shared" si="714"/>
        <v>Bình Phước</v>
      </c>
      <c r="D8239" s="3" t="s">
        <v>572</v>
      </c>
      <c r="E8239" s="4" t="str">
        <f t="shared" si="713"/>
        <v>Huyện Chơn Thành</v>
      </c>
      <c r="F8239" s="3" t="s">
        <v>8999</v>
      </c>
      <c r="G8239" s="4" t="str">
        <f>HYPERLINK("https://diaocthongthai.com/xa-nha-bich-chon-thanh/","Xã Nha Bích")</f>
        <v>Xã Nha Bích</v>
      </c>
    </row>
    <row r="8240" spans="1:7" x14ac:dyDescent="0.25">
      <c r="A8240" s="2">
        <v>8239</v>
      </c>
      <c r="B8240" s="3" t="s">
        <v>47</v>
      </c>
      <c r="C8240" s="4" t="str">
        <f t="shared" si="714"/>
        <v>Bình Phước</v>
      </c>
      <c r="D8240" s="3" t="s">
        <v>572</v>
      </c>
      <c r="E8240" s="4" t="str">
        <f t="shared" si="713"/>
        <v>Huyện Chơn Thành</v>
      </c>
      <c r="F8240" s="3" t="s">
        <v>9000</v>
      </c>
      <c r="G8240" s="4" t="str">
        <f>HYPERLINK("https://diaocthongthai.com/xa-minh-thang-chon-thanh/","Xã Minh Thắng")</f>
        <v>Xã Minh Thắng</v>
      </c>
    </row>
    <row r="8241" spans="1:7" x14ac:dyDescent="0.25">
      <c r="A8241" s="2">
        <v>8240</v>
      </c>
      <c r="B8241" s="3" t="s">
        <v>47</v>
      </c>
      <c r="C8241" s="4" t="str">
        <f t="shared" si="714"/>
        <v>Bình Phước</v>
      </c>
      <c r="D8241" s="3" t="s">
        <v>573</v>
      </c>
      <c r="E8241" s="4" t="str">
        <f t="shared" ref="E8241:E8250" si="715">HYPERLINK("https://diaocthongthai.com/ban-do-huyen-phu-rieng-binh-phuoc/","Huyện Phú Riềng")</f>
        <v>Huyện Phú Riềng</v>
      </c>
      <c r="F8241" s="3" t="s">
        <v>9001</v>
      </c>
      <c r="G8241" s="4" t="str">
        <f>HYPERLINK("https://diaocthongthai.com/xa-long-binh-phu-rieng/","Xã Long Bình")</f>
        <v>Xã Long Bình</v>
      </c>
    </row>
    <row r="8242" spans="1:7" x14ac:dyDescent="0.25">
      <c r="A8242" s="2">
        <v>8241</v>
      </c>
      <c r="B8242" s="3" t="s">
        <v>47</v>
      </c>
      <c r="C8242" s="4" t="str">
        <f t="shared" si="714"/>
        <v>Bình Phước</v>
      </c>
      <c r="D8242" s="3" t="s">
        <v>573</v>
      </c>
      <c r="E8242" s="4" t="str">
        <f t="shared" si="715"/>
        <v>Huyện Phú Riềng</v>
      </c>
      <c r="F8242" s="3" t="s">
        <v>9002</v>
      </c>
      <c r="G8242" s="4" t="str">
        <f>HYPERLINK("https://diaocthongthai.com/xa-binh-tan-phu-rieng/","Xã Bình Tân")</f>
        <v>Xã Bình Tân</v>
      </c>
    </row>
    <row r="8243" spans="1:7" x14ac:dyDescent="0.25">
      <c r="A8243" s="2">
        <v>8242</v>
      </c>
      <c r="B8243" s="3" t="s">
        <v>47</v>
      </c>
      <c r="C8243" s="4" t="str">
        <f t="shared" si="714"/>
        <v>Bình Phước</v>
      </c>
      <c r="D8243" s="3" t="s">
        <v>573</v>
      </c>
      <c r="E8243" s="4" t="str">
        <f t="shared" si="715"/>
        <v>Huyện Phú Riềng</v>
      </c>
      <c r="F8243" s="3" t="s">
        <v>9003</v>
      </c>
      <c r="G8243" s="4" t="str">
        <f>HYPERLINK("https://diaocthongthai.com/xa-binh-son-phu-rieng/","Xã Bình Sơn")</f>
        <v>Xã Bình Sơn</v>
      </c>
    </row>
    <row r="8244" spans="1:7" x14ac:dyDescent="0.25">
      <c r="A8244" s="2">
        <v>8243</v>
      </c>
      <c r="B8244" s="3" t="s">
        <v>47</v>
      </c>
      <c r="C8244" s="4" t="str">
        <f t="shared" si="714"/>
        <v>Bình Phước</v>
      </c>
      <c r="D8244" s="3" t="s">
        <v>573</v>
      </c>
      <c r="E8244" s="4" t="str">
        <f t="shared" si="715"/>
        <v>Huyện Phú Riềng</v>
      </c>
      <c r="F8244" s="3" t="s">
        <v>9004</v>
      </c>
      <c r="G8244" s="4" t="str">
        <f>HYPERLINK("https://diaocthongthai.com/xa-long-hung-phu-rieng/","Xã Long Hưng")</f>
        <v>Xã Long Hưng</v>
      </c>
    </row>
    <row r="8245" spans="1:7" x14ac:dyDescent="0.25">
      <c r="A8245" s="2">
        <v>8244</v>
      </c>
      <c r="B8245" s="3" t="s">
        <v>47</v>
      </c>
      <c r="C8245" s="4" t="str">
        <f t="shared" si="714"/>
        <v>Bình Phước</v>
      </c>
      <c r="D8245" s="3" t="s">
        <v>573</v>
      </c>
      <c r="E8245" s="4" t="str">
        <f t="shared" si="715"/>
        <v>Huyện Phú Riềng</v>
      </c>
      <c r="F8245" s="3" t="s">
        <v>9005</v>
      </c>
      <c r="G8245" s="4" t="str">
        <f>HYPERLINK("https://diaocthongthai.com/xa-phuoc-tan-phu-rieng/","Xã Phước Tân")</f>
        <v>Xã Phước Tân</v>
      </c>
    </row>
    <row r="8246" spans="1:7" x14ac:dyDescent="0.25">
      <c r="A8246" s="2">
        <v>8245</v>
      </c>
      <c r="B8246" s="3" t="s">
        <v>47</v>
      </c>
      <c r="C8246" s="4" t="str">
        <f t="shared" si="714"/>
        <v>Bình Phước</v>
      </c>
      <c r="D8246" s="3" t="s">
        <v>573</v>
      </c>
      <c r="E8246" s="4" t="str">
        <f t="shared" si="715"/>
        <v>Huyện Phú Riềng</v>
      </c>
      <c r="F8246" s="3" t="s">
        <v>9006</v>
      </c>
      <c r="G8246" s="4" t="str">
        <f>HYPERLINK("https://diaocthongthai.com/xa-bu-nho-phu-rieng/","Xã Bù Nho")</f>
        <v>Xã Bù Nho</v>
      </c>
    </row>
    <row r="8247" spans="1:7" x14ac:dyDescent="0.25">
      <c r="A8247" s="2">
        <v>8246</v>
      </c>
      <c r="B8247" s="3" t="s">
        <v>47</v>
      </c>
      <c r="C8247" s="4" t="str">
        <f t="shared" si="714"/>
        <v>Bình Phước</v>
      </c>
      <c r="D8247" s="3" t="s">
        <v>573</v>
      </c>
      <c r="E8247" s="4" t="str">
        <f t="shared" si="715"/>
        <v>Huyện Phú Riềng</v>
      </c>
      <c r="F8247" s="3" t="s">
        <v>9007</v>
      </c>
      <c r="G8247" s="4" t="str">
        <f>HYPERLINK("https://diaocthongthai.com/xa-long-ha-phu-rieng/","Xã Long Hà")</f>
        <v>Xã Long Hà</v>
      </c>
    </row>
    <row r="8248" spans="1:7" x14ac:dyDescent="0.25">
      <c r="A8248" s="2">
        <v>8247</v>
      </c>
      <c r="B8248" s="3" t="s">
        <v>47</v>
      </c>
      <c r="C8248" s="4" t="str">
        <f t="shared" si="714"/>
        <v>Bình Phước</v>
      </c>
      <c r="D8248" s="3" t="s">
        <v>573</v>
      </c>
      <c r="E8248" s="4" t="str">
        <f t="shared" si="715"/>
        <v>Huyện Phú Riềng</v>
      </c>
      <c r="F8248" s="3" t="s">
        <v>9008</v>
      </c>
      <c r="G8248" s="4" t="str">
        <f>HYPERLINK("https://diaocthongthai.com/xa-long-tan-phu-rieng/","Xã Long Tân")</f>
        <v>Xã Long Tân</v>
      </c>
    </row>
    <row r="8249" spans="1:7" x14ac:dyDescent="0.25">
      <c r="A8249" s="2">
        <v>8248</v>
      </c>
      <c r="B8249" s="3" t="s">
        <v>47</v>
      </c>
      <c r="C8249" s="4" t="str">
        <f t="shared" si="714"/>
        <v>Bình Phước</v>
      </c>
      <c r="D8249" s="3" t="s">
        <v>573</v>
      </c>
      <c r="E8249" s="4" t="str">
        <f t="shared" si="715"/>
        <v>Huyện Phú Riềng</v>
      </c>
      <c r="F8249" s="3" t="s">
        <v>9009</v>
      </c>
      <c r="G8249" s="4" t="str">
        <f>HYPERLINK("https://diaocthongthai.com/xa-phu-trung-phu-rieng/","Xã Phú Trung")</f>
        <v>Xã Phú Trung</v>
      </c>
    </row>
    <row r="8250" spans="1:7" x14ac:dyDescent="0.25">
      <c r="A8250" s="2">
        <v>8249</v>
      </c>
      <c r="B8250" s="3" t="s">
        <v>47</v>
      </c>
      <c r="C8250" s="4" t="str">
        <f t="shared" si="714"/>
        <v>Bình Phước</v>
      </c>
      <c r="D8250" s="3" t="s">
        <v>573</v>
      </c>
      <c r="E8250" s="4" t="str">
        <f t="shared" si="715"/>
        <v>Huyện Phú Riềng</v>
      </c>
      <c r="F8250" s="3" t="s">
        <v>9010</v>
      </c>
      <c r="G8250" s="4" t="str">
        <f>HYPERLINK("https://diaocthongthai.com/xa-phu-rieng-phu-rieng/","Xã Phú Riềng")</f>
        <v>Xã Phú Riềng</v>
      </c>
    </row>
    <row r="8251" spans="1:7" x14ac:dyDescent="0.25">
      <c r="A8251" s="2">
        <v>8250</v>
      </c>
      <c r="B8251" s="3" t="s">
        <v>48</v>
      </c>
      <c r="C8251" s="4" t="str">
        <f t="shared" ref="C8251:C8282" si="716">HYPERLINK("https://diaocthongthai.com/ban-do-tay-ninh/","Tây Ninh")</f>
        <v>Tây Ninh</v>
      </c>
      <c r="D8251" s="3" t="s">
        <v>574</v>
      </c>
      <c r="E8251" s="4" t="str">
        <f t="shared" ref="E8251:E8260" si="717">HYPERLINK("https://diaocthongthai.com/ban-do-tp-tay-ninh-tay-ninh/","Thành phố Tây Ninh")</f>
        <v>Thành phố Tây Ninh</v>
      </c>
      <c r="F8251" s="3" t="s">
        <v>9011</v>
      </c>
      <c r="G8251" s="4" t="str">
        <f>HYPERLINK("https://diaocthongthai.com/phuong-1-tp-tay-ninh/","Phường 1")</f>
        <v>Phường 1</v>
      </c>
    </row>
    <row r="8252" spans="1:7" x14ac:dyDescent="0.25">
      <c r="A8252" s="2">
        <v>8251</v>
      </c>
      <c r="B8252" s="3" t="s">
        <v>48</v>
      </c>
      <c r="C8252" s="4" t="str">
        <f t="shared" si="716"/>
        <v>Tây Ninh</v>
      </c>
      <c r="D8252" s="3" t="s">
        <v>574</v>
      </c>
      <c r="E8252" s="4" t="str">
        <f t="shared" si="717"/>
        <v>Thành phố Tây Ninh</v>
      </c>
      <c r="F8252" s="3" t="s">
        <v>9012</v>
      </c>
      <c r="G8252" s="4" t="str">
        <f>HYPERLINK("https://diaocthongthai.com/phuong-3-tp-tay-ninh/","Phường 3")</f>
        <v>Phường 3</v>
      </c>
    </row>
    <row r="8253" spans="1:7" x14ac:dyDescent="0.25">
      <c r="A8253" s="2">
        <v>8252</v>
      </c>
      <c r="B8253" s="3" t="s">
        <v>48</v>
      </c>
      <c r="C8253" s="4" t="str">
        <f t="shared" si="716"/>
        <v>Tây Ninh</v>
      </c>
      <c r="D8253" s="3" t="s">
        <v>574</v>
      </c>
      <c r="E8253" s="4" t="str">
        <f t="shared" si="717"/>
        <v>Thành phố Tây Ninh</v>
      </c>
      <c r="F8253" s="3" t="s">
        <v>9013</v>
      </c>
      <c r="G8253" s="4" t="str">
        <f>HYPERLINK("https://diaocthongthai.com/phuong-4-tp-tay-ninh/","Phường 4")</f>
        <v>Phường 4</v>
      </c>
    </row>
    <row r="8254" spans="1:7" x14ac:dyDescent="0.25">
      <c r="A8254" s="2">
        <v>8253</v>
      </c>
      <c r="B8254" s="3" t="s">
        <v>48</v>
      </c>
      <c r="C8254" s="4" t="str">
        <f t="shared" si="716"/>
        <v>Tây Ninh</v>
      </c>
      <c r="D8254" s="3" t="s">
        <v>574</v>
      </c>
      <c r="E8254" s="4" t="str">
        <f t="shared" si="717"/>
        <v>Thành phố Tây Ninh</v>
      </c>
      <c r="F8254" s="3" t="s">
        <v>9014</v>
      </c>
      <c r="G8254" s="4" t="str">
        <f>HYPERLINK("https://diaocthongthai.com/phuong-hiep-ninh-tp-tay-ninh/","Phường Hiệp Ninh")</f>
        <v>Phường Hiệp Ninh</v>
      </c>
    </row>
    <row r="8255" spans="1:7" x14ac:dyDescent="0.25">
      <c r="A8255" s="2">
        <v>8254</v>
      </c>
      <c r="B8255" s="3" t="s">
        <v>48</v>
      </c>
      <c r="C8255" s="4" t="str">
        <f t="shared" si="716"/>
        <v>Tây Ninh</v>
      </c>
      <c r="D8255" s="3" t="s">
        <v>574</v>
      </c>
      <c r="E8255" s="4" t="str">
        <f t="shared" si="717"/>
        <v>Thành phố Tây Ninh</v>
      </c>
      <c r="F8255" s="3" t="s">
        <v>9015</v>
      </c>
      <c r="G8255" s="4" t="str">
        <f>HYPERLINK("https://diaocthongthai.com/phuong-2-tp-tay-ninh/","Phường 2")</f>
        <v>Phường 2</v>
      </c>
    </row>
    <row r="8256" spans="1:7" x14ac:dyDescent="0.25">
      <c r="A8256" s="2">
        <v>8255</v>
      </c>
      <c r="B8256" s="3" t="s">
        <v>48</v>
      </c>
      <c r="C8256" s="4" t="str">
        <f t="shared" si="716"/>
        <v>Tây Ninh</v>
      </c>
      <c r="D8256" s="3" t="s">
        <v>574</v>
      </c>
      <c r="E8256" s="4" t="str">
        <f t="shared" si="717"/>
        <v>Thành phố Tây Ninh</v>
      </c>
      <c r="F8256" s="3" t="s">
        <v>9016</v>
      </c>
      <c r="G8256" s="4" t="str">
        <f>HYPERLINK("https://diaocthongthai.com/xa-thanh-tan-tp-tay-ninh/","Xã Thạnh Tân")</f>
        <v>Xã Thạnh Tân</v>
      </c>
    </row>
    <row r="8257" spans="1:7" x14ac:dyDescent="0.25">
      <c r="A8257" s="2">
        <v>8256</v>
      </c>
      <c r="B8257" s="3" t="s">
        <v>48</v>
      </c>
      <c r="C8257" s="4" t="str">
        <f t="shared" si="716"/>
        <v>Tây Ninh</v>
      </c>
      <c r="D8257" s="3" t="s">
        <v>574</v>
      </c>
      <c r="E8257" s="4" t="str">
        <f t="shared" si="717"/>
        <v>Thành phố Tây Ninh</v>
      </c>
      <c r="F8257" s="3" t="s">
        <v>9017</v>
      </c>
      <c r="G8257" s="4" t="str">
        <f>HYPERLINK("https://diaocthongthai.com/xa-tan-binh-tp-tay-ninh/","Xã Tân Bình")</f>
        <v>Xã Tân Bình</v>
      </c>
    </row>
    <row r="8258" spans="1:7" x14ac:dyDescent="0.25">
      <c r="A8258" s="2">
        <v>8257</v>
      </c>
      <c r="B8258" s="3" t="s">
        <v>48</v>
      </c>
      <c r="C8258" s="4" t="str">
        <f t="shared" si="716"/>
        <v>Tây Ninh</v>
      </c>
      <c r="D8258" s="3" t="s">
        <v>574</v>
      </c>
      <c r="E8258" s="4" t="str">
        <f t="shared" si="717"/>
        <v>Thành phố Tây Ninh</v>
      </c>
      <c r="F8258" s="3" t="s">
        <v>9018</v>
      </c>
      <c r="G8258" s="4" t="str">
        <f>HYPERLINK("https://diaocthongthai.com/xa-binh-minh-tp-tay-ninh/","Xã Bình Minh")</f>
        <v>Xã Bình Minh</v>
      </c>
    </row>
    <row r="8259" spans="1:7" x14ac:dyDescent="0.25">
      <c r="A8259" s="2">
        <v>8258</v>
      </c>
      <c r="B8259" s="3" t="s">
        <v>48</v>
      </c>
      <c r="C8259" s="4" t="str">
        <f t="shared" si="716"/>
        <v>Tây Ninh</v>
      </c>
      <c r="D8259" s="3" t="s">
        <v>574</v>
      </c>
      <c r="E8259" s="4" t="str">
        <f t="shared" si="717"/>
        <v>Thành phố Tây Ninh</v>
      </c>
      <c r="F8259" s="3" t="s">
        <v>9019</v>
      </c>
      <c r="G8259" s="4" t="str">
        <f>HYPERLINK("https://diaocthongthai.com/phuong-ninh-son-tp-tay-ninh/","Phường Ninh Sơn")</f>
        <v>Phường Ninh Sơn</v>
      </c>
    </row>
    <row r="8260" spans="1:7" x14ac:dyDescent="0.25">
      <c r="A8260" s="2">
        <v>8259</v>
      </c>
      <c r="B8260" s="3" t="s">
        <v>48</v>
      </c>
      <c r="C8260" s="4" t="str">
        <f t="shared" si="716"/>
        <v>Tây Ninh</v>
      </c>
      <c r="D8260" s="3" t="s">
        <v>574</v>
      </c>
      <c r="E8260" s="4" t="str">
        <f t="shared" si="717"/>
        <v>Thành phố Tây Ninh</v>
      </c>
      <c r="F8260" s="3" t="s">
        <v>9020</v>
      </c>
      <c r="G8260" s="4" t="str">
        <f>HYPERLINK("https://diaocthongthai.com/phuong-ninh-thanh-tp-tay-ninh/","Phường Ninh Thạnh")</f>
        <v>Phường Ninh Thạnh</v>
      </c>
    </row>
    <row r="8261" spans="1:7" x14ac:dyDescent="0.25">
      <c r="A8261" s="2">
        <v>8260</v>
      </c>
      <c r="B8261" s="3" t="s">
        <v>48</v>
      </c>
      <c r="C8261" s="4" t="str">
        <f t="shared" si="716"/>
        <v>Tây Ninh</v>
      </c>
      <c r="D8261" s="3" t="s">
        <v>575</v>
      </c>
      <c r="E8261" s="4" t="str">
        <f t="shared" ref="E8261:E8270" si="718">HYPERLINK("https://diaocthongthai.com/ban-do-huyen-tan-bien-tay-ninh/","Huyện Tân Biên")</f>
        <v>Huyện Tân Biên</v>
      </c>
      <c r="F8261" s="3" t="s">
        <v>9021</v>
      </c>
      <c r="G8261" s="4" t="str">
        <f>HYPERLINK("https://diaocthongthai.com/thi-tran-tan-bien-tan-bien/","Thị trấn Tân Biên")</f>
        <v>Thị trấn Tân Biên</v>
      </c>
    </row>
    <row r="8262" spans="1:7" x14ac:dyDescent="0.25">
      <c r="A8262" s="2">
        <v>8261</v>
      </c>
      <c r="B8262" s="3" t="s">
        <v>48</v>
      </c>
      <c r="C8262" s="4" t="str">
        <f t="shared" si="716"/>
        <v>Tây Ninh</v>
      </c>
      <c r="D8262" s="3" t="s">
        <v>575</v>
      </c>
      <c r="E8262" s="4" t="str">
        <f t="shared" si="718"/>
        <v>Huyện Tân Biên</v>
      </c>
      <c r="F8262" s="3" t="s">
        <v>9022</v>
      </c>
      <c r="G8262" s="4" t="str">
        <f>HYPERLINK("https://diaocthongthai.com/xa-tan-lap-tan-bien/","Xã Tân Lập")</f>
        <v>Xã Tân Lập</v>
      </c>
    </row>
    <row r="8263" spans="1:7" x14ac:dyDescent="0.25">
      <c r="A8263" s="2">
        <v>8262</v>
      </c>
      <c r="B8263" s="3" t="s">
        <v>48</v>
      </c>
      <c r="C8263" s="4" t="str">
        <f t="shared" si="716"/>
        <v>Tây Ninh</v>
      </c>
      <c r="D8263" s="3" t="s">
        <v>575</v>
      </c>
      <c r="E8263" s="4" t="str">
        <f t="shared" si="718"/>
        <v>Huyện Tân Biên</v>
      </c>
      <c r="F8263" s="3" t="s">
        <v>9023</v>
      </c>
      <c r="G8263" s="4" t="str">
        <f>HYPERLINK("https://diaocthongthai.com/xa-thanh-bac-tan-bien/","Xã Thạnh Bắc")</f>
        <v>Xã Thạnh Bắc</v>
      </c>
    </row>
    <row r="8264" spans="1:7" x14ac:dyDescent="0.25">
      <c r="A8264" s="2">
        <v>8263</v>
      </c>
      <c r="B8264" s="3" t="s">
        <v>48</v>
      </c>
      <c r="C8264" s="4" t="str">
        <f t="shared" si="716"/>
        <v>Tây Ninh</v>
      </c>
      <c r="D8264" s="3" t="s">
        <v>575</v>
      </c>
      <c r="E8264" s="4" t="str">
        <f t="shared" si="718"/>
        <v>Huyện Tân Biên</v>
      </c>
      <c r="F8264" s="3" t="s">
        <v>9024</v>
      </c>
      <c r="G8264" s="4" t="str">
        <f>HYPERLINK("https://diaocthongthai.com/xa-tan-binh-tan-bien/","Xã Tân Bình")</f>
        <v>Xã Tân Bình</v>
      </c>
    </row>
    <row r="8265" spans="1:7" x14ac:dyDescent="0.25">
      <c r="A8265" s="2">
        <v>8264</v>
      </c>
      <c r="B8265" s="3" t="s">
        <v>48</v>
      </c>
      <c r="C8265" s="4" t="str">
        <f t="shared" si="716"/>
        <v>Tây Ninh</v>
      </c>
      <c r="D8265" s="3" t="s">
        <v>575</v>
      </c>
      <c r="E8265" s="4" t="str">
        <f t="shared" si="718"/>
        <v>Huyện Tân Biên</v>
      </c>
      <c r="F8265" s="3" t="s">
        <v>9025</v>
      </c>
      <c r="G8265" s="4" t="str">
        <f>HYPERLINK("https://diaocthongthai.com/xa-thanh-binh-tan-bien/","Xã Thạnh Bình")</f>
        <v>Xã Thạnh Bình</v>
      </c>
    </row>
    <row r="8266" spans="1:7" x14ac:dyDescent="0.25">
      <c r="A8266" s="2">
        <v>8265</v>
      </c>
      <c r="B8266" s="3" t="s">
        <v>48</v>
      </c>
      <c r="C8266" s="4" t="str">
        <f t="shared" si="716"/>
        <v>Tây Ninh</v>
      </c>
      <c r="D8266" s="3" t="s">
        <v>575</v>
      </c>
      <c r="E8266" s="4" t="str">
        <f t="shared" si="718"/>
        <v>Huyện Tân Biên</v>
      </c>
      <c r="F8266" s="3" t="s">
        <v>9026</v>
      </c>
      <c r="G8266" s="4" t="str">
        <f>HYPERLINK("https://diaocthongthai.com/xa-thanh-tay-tan-bien/","Xã Thạnh Tây")</f>
        <v>Xã Thạnh Tây</v>
      </c>
    </row>
    <row r="8267" spans="1:7" x14ac:dyDescent="0.25">
      <c r="A8267" s="2">
        <v>8266</v>
      </c>
      <c r="B8267" s="3" t="s">
        <v>48</v>
      </c>
      <c r="C8267" s="4" t="str">
        <f t="shared" si="716"/>
        <v>Tây Ninh</v>
      </c>
      <c r="D8267" s="3" t="s">
        <v>575</v>
      </c>
      <c r="E8267" s="4" t="str">
        <f t="shared" si="718"/>
        <v>Huyện Tân Biên</v>
      </c>
      <c r="F8267" s="3" t="s">
        <v>9027</v>
      </c>
      <c r="G8267" s="4" t="str">
        <f>HYPERLINK("https://diaocthongthai.com/xa-hoa-hiep-tan-bien/","Xã Hòa Hiệp")</f>
        <v>Xã Hòa Hiệp</v>
      </c>
    </row>
    <row r="8268" spans="1:7" x14ac:dyDescent="0.25">
      <c r="A8268" s="2">
        <v>8267</v>
      </c>
      <c r="B8268" s="3" t="s">
        <v>48</v>
      </c>
      <c r="C8268" s="4" t="str">
        <f t="shared" si="716"/>
        <v>Tây Ninh</v>
      </c>
      <c r="D8268" s="3" t="s">
        <v>575</v>
      </c>
      <c r="E8268" s="4" t="str">
        <f t="shared" si="718"/>
        <v>Huyện Tân Biên</v>
      </c>
      <c r="F8268" s="3" t="s">
        <v>9028</v>
      </c>
      <c r="G8268" s="4" t="str">
        <f>HYPERLINK("https://diaocthongthai.com/xa-tan-phong-tan-bien/","Xã Tân Phong")</f>
        <v>Xã Tân Phong</v>
      </c>
    </row>
    <row r="8269" spans="1:7" x14ac:dyDescent="0.25">
      <c r="A8269" s="2">
        <v>8268</v>
      </c>
      <c r="B8269" s="3" t="s">
        <v>48</v>
      </c>
      <c r="C8269" s="4" t="str">
        <f t="shared" si="716"/>
        <v>Tây Ninh</v>
      </c>
      <c r="D8269" s="3" t="s">
        <v>575</v>
      </c>
      <c r="E8269" s="4" t="str">
        <f t="shared" si="718"/>
        <v>Huyện Tân Biên</v>
      </c>
      <c r="F8269" s="3" t="s">
        <v>9029</v>
      </c>
      <c r="G8269" s="4" t="str">
        <f>HYPERLINK("https://diaocthongthai.com/xa-mo-cong-tan-bien/","Xã Mỏ Công")</f>
        <v>Xã Mỏ Công</v>
      </c>
    </row>
    <row r="8270" spans="1:7" x14ac:dyDescent="0.25">
      <c r="A8270" s="2">
        <v>8269</v>
      </c>
      <c r="B8270" s="3" t="s">
        <v>48</v>
      </c>
      <c r="C8270" s="4" t="str">
        <f t="shared" si="716"/>
        <v>Tây Ninh</v>
      </c>
      <c r="D8270" s="3" t="s">
        <v>575</v>
      </c>
      <c r="E8270" s="4" t="str">
        <f t="shared" si="718"/>
        <v>Huyện Tân Biên</v>
      </c>
      <c r="F8270" s="3" t="s">
        <v>9030</v>
      </c>
      <c r="G8270" s="4" t="str">
        <f>HYPERLINK("https://diaocthongthai.com/xa-tra-vong-tan-bien/","Xã Trà Vong")</f>
        <v>Xã Trà Vong</v>
      </c>
    </row>
    <row r="8271" spans="1:7" x14ac:dyDescent="0.25">
      <c r="A8271" s="2">
        <v>8270</v>
      </c>
      <c r="B8271" s="3" t="s">
        <v>48</v>
      </c>
      <c r="C8271" s="4" t="str">
        <f t="shared" si="716"/>
        <v>Tây Ninh</v>
      </c>
      <c r="D8271" s="3" t="s">
        <v>576</v>
      </c>
      <c r="E8271" s="4" t="str">
        <f t="shared" ref="E8271:E8282" si="719">HYPERLINK("https://diaocthongthai.com/ban-do-huyen-tan-chau-tay-ninh/","Huyện Tân Châu")</f>
        <v>Huyện Tân Châu</v>
      </c>
      <c r="F8271" s="3" t="s">
        <v>9031</v>
      </c>
      <c r="G8271" s="4" t="str">
        <f>HYPERLINK("https://diaocthongthai.com/thi-tran-tan-chau-tan-chau-tay-ninh/","Thị trấn Tân Châu")</f>
        <v>Thị trấn Tân Châu</v>
      </c>
    </row>
    <row r="8272" spans="1:7" x14ac:dyDescent="0.25">
      <c r="A8272" s="2">
        <v>8271</v>
      </c>
      <c r="B8272" s="3" t="s">
        <v>48</v>
      </c>
      <c r="C8272" s="4" t="str">
        <f t="shared" si="716"/>
        <v>Tây Ninh</v>
      </c>
      <c r="D8272" s="3" t="s">
        <v>576</v>
      </c>
      <c r="E8272" s="4" t="str">
        <f t="shared" si="719"/>
        <v>Huyện Tân Châu</v>
      </c>
      <c r="F8272" s="3" t="s">
        <v>9032</v>
      </c>
      <c r="G8272" s="4" t="str">
        <f>HYPERLINK("https://diaocthongthai.com/xa-tan-ha-tan-chau-tay-ninh/","Xã Tân Hà")</f>
        <v>Xã Tân Hà</v>
      </c>
    </row>
    <row r="8273" spans="1:7" x14ac:dyDescent="0.25">
      <c r="A8273" s="2">
        <v>8272</v>
      </c>
      <c r="B8273" s="3" t="s">
        <v>48</v>
      </c>
      <c r="C8273" s="4" t="str">
        <f t="shared" si="716"/>
        <v>Tây Ninh</v>
      </c>
      <c r="D8273" s="3" t="s">
        <v>576</v>
      </c>
      <c r="E8273" s="4" t="str">
        <f t="shared" si="719"/>
        <v>Huyện Tân Châu</v>
      </c>
      <c r="F8273" s="3" t="s">
        <v>9033</v>
      </c>
      <c r="G8273" s="4" t="str">
        <f>HYPERLINK("https://diaocthongthai.com/xa-tan-dong-tan-chau-tay-ninh/","Xã Tân Đông")</f>
        <v>Xã Tân Đông</v>
      </c>
    </row>
    <row r="8274" spans="1:7" x14ac:dyDescent="0.25">
      <c r="A8274" s="2">
        <v>8273</v>
      </c>
      <c r="B8274" s="3" t="s">
        <v>48</v>
      </c>
      <c r="C8274" s="4" t="str">
        <f t="shared" si="716"/>
        <v>Tây Ninh</v>
      </c>
      <c r="D8274" s="3" t="s">
        <v>576</v>
      </c>
      <c r="E8274" s="4" t="str">
        <f t="shared" si="719"/>
        <v>Huyện Tân Châu</v>
      </c>
      <c r="F8274" s="3" t="s">
        <v>9034</v>
      </c>
      <c r="G8274" s="4" t="str">
        <f>HYPERLINK("https://diaocthongthai.com/xa-tan-hoi-tan-chau-tay-ninh/","Xã Tân Hội")</f>
        <v>Xã Tân Hội</v>
      </c>
    </row>
    <row r="8275" spans="1:7" x14ac:dyDescent="0.25">
      <c r="A8275" s="2">
        <v>8274</v>
      </c>
      <c r="B8275" s="3" t="s">
        <v>48</v>
      </c>
      <c r="C8275" s="4" t="str">
        <f t="shared" si="716"/>
        <v>Tây Ninh</v>
      </c>
      <c r="D8275" s="3" t="s">
        <v>576</v>
      </c>
      <c r="E8275" s="4" t="str">
        <f t="shared" si="719"/>
        <v>Huyện Tân Châu</v>
      </c>
      <c r="F8275" s="3" t="s">
        <v>9035</v>
      </c>
      <c r="G8275" s="4" t="str">
        <f>HYPERLINK("https://diaocthongthai.com/xa-tan-hoa-tan-chau-tay-ninh/","Xã Tân Hòa")</f>
        <v>Xã Tân Hòa</v>
      </c>
    </row>
    <row r="8276" spans="1:7" x14ac:dyDescent="0.25">
      <c r="A8276" s="2">
        <v>8275</v>
      </c>
      <c r="B8276" s="3" t="s">
        <v>48</v>
      </c>
      <c r="C8276" s="4" t="str">
        <f t="shared" si="716"/>
        <v>Tây Ninh</v>
      </c>
      <c r="D8276" s="3" t="s">
        <v>576</v>
      </c>
      <c r="E8276" s="4" t="str">
        <f t="shared" si="719"/>
        <v>Huyện Tân Châu</v>
      </c>
      <c r="F8276" s="3" t="s">
        <v>9036</v>
      </c>
      <c r="G8276" s="4" t="str">
        <f>HYPERLINK("https://diaocthongthai.com/xa-suoi-ngo-tan-chau-tay-ninh/","Xã Suối Ngô")</f>
        <v>Xã Suối Ngô</v>
      </c>
    </row>
    <row r="8277" spans="1:7" x14ac:dyDescent="0.25">
      <c r="A8277" s="2">
        <v>8276</v>
      </c>
      <c r="B8277" s="3" t="s">
        <v>48</v>
      </c>
      <c r="C8277" s="4" t="str">
        <f t="shared" si="716"/>
        <v>Tây Ninh</v>
      </c>
      <c r="D8277" s="3" t="s">
        <v>576</v>
      </c>
      <c r="E8277" s="4" t="str">
        <f t="shared" si="719"/>
        <v>Huyện Tân Châu</v>
      </c>
      <c r="F8277" s="3" t="s">
        <v>9037</v>
      </c>
      <c r="G8277" s="4" t="str">
        <f>HYPERLINK("https://diaocthongthai.com/xa-suoi-day-tan-chau-tay-ninh/","Xã Suối Dây")</f>
        <v>Xã Suối Dây</v>
      </c>
    </row>
    <row r="8278" spans="1:7" x14ac:dyDescent="0.25">
      <c r="A8278" s="2">
        <v>8277</v>
      </c>
      <c r="B8278" s="3" t="s">
        <v>48</v>
      </c>
      <c r="C8278" s="4" t="str">
        <f t="shared" si="716"/>
        <v>Tây Ninh</v>
      </c>
      <c r="D8278" s="3" t="s">
        <v>576</v>
      </c>
      <c r="E8278" s="4" t="str">
        <f t="shared" si="719"/>
        <v>Huyện Tân Châu</v>
      </c>
      <c r="F8278" s="3" t="s">
        <v>9038</v>
      </c>
      <c r="G8278" s="4" t="str">
        <f>HYPERLINK("https://diaocthongthai.com/xa-tan-hiep-tan-chau-tay-ninh/","Xã Tân Hiệp")</f>
        <v>Xã Tân Hiệp</v>
      </c>
    </row>
    <row r="8279" spans="1:7" x14ac:dyDescent="0.25">
      <c r="A8279" s="2">
        <v>8278</v>
      </c>
      <c r="B8279" s="3" t="s">
        <v>48</v>
      </c>
      <c r="C8279" s="4" t="str">
        <f t="shared" si="716"/>
        <v>Tây Ninh</v>
      </c>
      <c r="D8279" s="3" t="s">
        <v>576</v>
      </c>
      <c r="E8279" s="4" t="str">
        <f t="shared" si="719"/>
        <v>Huyện Tân Châu</v>
      </c>
      <c r="F8279" s="3" t="s">
        <v>9039</v>
      </c>
      <c r="G8279" s="4" t="str">
        <f>HYPERLINK("https://diaocthongthai.com/xa-thanh-dong-tan-chau-tay-ninh/","Xã Thạnh Đông")</f>
        <v>Xã Thạnh Đông</v>
      </c>
    </row>
    <row r="8280" spans="1:7" x14ac:dyDescent="0.25">
      <c r="A8280" s="2">
        <v>8279</v>
      </c>
      <c r="B8280" s="3" t="s">
        <v>48</v>
      </c>
      <c r="C8280" s="4" t="str">
        <f t="shared" si="716"/>
        <v>Tây Ninh</v>
      </c>
      <c r="D8280" s="3" t="s">
        <v>576</v>
      </c>
      <c r="E8280" s="4" t="str">
        <f t="shared" si="719"/>
        <v>Huyện Tân Châu</v>
      </c>
      <c r="F8280" s="3" t="s">
        <v>9040</v>
      </c>
      <c r="G8280" s="4" t="str">
        <f>HYPERLINK("https://diaocthongthai.com/xa-tan-thanh-tan-chau-tay-ninh/","Xã Tân Thành")</f>
        <v>Xã Tân Thành</v>
      </c>
    </row>
    <row r="8281" spans="1:7" x14ac:dyDescent="0.25">
      <c r="A8281" s="2">
        <v>8280</v>
      </c>
      <c r="B8281" s="3" t="s">
        <v>48</v>
      </c>
      <c r="C8281" s="4" t="str">
        <f t="shared" si="716"/>
        <v>Tây Ninh</v>
      </c>
      <c r="D8281" s="3" t="s">
        <v>576</v>
      </c>
      <c r="E8281" s="4" t="str">
        <f t="shared" si="719"/>
        <v>Huyện Tân Châu</v>
      </c>
      <c r="F8281" s="3" t="s">
        <v>9041</v>
      </c>
      <c r="G8281" s="4" t="str">
        <f>HYPERLINK("https://diaocthongthai.com/xa-tan-phu-tan-chau-tay-ninh/","Xã Tân Phú")</f>
        <v>Xã Tân Phú</v>
      </c>
    </row>
    <row r="8282" spans="1:7" x14ac:dyDescent="0.25">
      <c r="A8282" s="2">
        <v>8281</v>
      </c>
      <c r="B8282" s="3" t="s">
        <v>48</v>
      </c>
      <c r="C8282" s="4" t="str">
        <f t="shared" si="716"/>
        <v>Tây Ninh</v>
      </c>
      <c r="D8282" s="3" t="s">
        <v>576</v>
      </c>
      <c r="E8282" s="4" t="str">
        <f t="shared" si="719"/>
        <v>Huyện Tân Châu</v>
      </c>
      <c r="F8282" s="3" t="s">
        <v>9042</v>
      </c>
      <c r="G8282" s="4" t="str">
        <f>HYPERLINK("https://diaocthongthai.com/xa-tan-hung-tan-chau-tay-ninh/","Xã Tân Hưng")</f>
        <v>Xã Tân Hưng</v>
      </c>
    </row>
    <row r="8283" spans="1:7" x14ac:dyDescent="0.25">
      <c r="A8283" s="2">
        <v>8282</v>
      </c>
      <c r="B8283" s="3" t="s">
        <v>48</v>
      </c>
      <c r="C8283" s="4" t="str">
        <f t="shared" ref="C8283:C8314" si="720">HYPERLINK("https://diaocthongthai.com/ban-do-tay-ninh/","Tây Ninh")</f>
        <v>Tây Ninh</v>
      </c>
      <c r="D8283" s="3" t="s">
        <v>577</v>
      </c>
      <c r="E8283" s="4" t="str">
        <f t="shared" ref="E8283:E8293" si="721">HYPERLINK("https://diaocthongthai.com/ban-do-huyen-duong-minh-chau-tay-ninh/","Huyện Dương Minh Châu")</f>
        <v>Huyện Dương Minh Châu</v>
      </c>
      <c r="F8283" s="3" t="s">
        <v>9043</v>
      </c>
      <c r="G8283" s="4" t="str">
        <f>HYPERLINK("https://diaocthongthai.com/thi-tran-duong-minh-chau-duong-minh-chau/","Thị trấn Dương Minh Châu")</f>
        <v>Thị trấn Dương Minh Châu</v>
      </c>
    </row>
    <row r="8284" spans="1:7" x14ac:dyDescent="0.25">
      <c r="A8284" s="2">
        <v>8283</v>
      </c>
      <c r="B8284" s="3" t="s">
        <v>48</v>
      </c>
      <c r="C8284" s="4" t="str">
        <f t="shared" si="720"/>
        <v>Tây Ninh</v>
      </c>
      <c r="D8284" s="3" t="s">
        <v>577</v>
      </c>
      <c r="E8284" s="4" t="str">
        <f t="shared" si="721"/>
        <v>Huyện Dương Minh Châu</v>
      </c>
      <c r="F8284" s="3" t="s">
        <v>9044</v>
      </c>
      <c r="G8284" s="4" t="str">
        <f>HYPERLINK("https://diaocthongthai.com/xa-suoi-da-duong-minh-chau/","Xã Suối Đá")</f>
        <v>Xã Suối Đá</v>
      </c>
    </row>
    <row r="8285" spans="1:7" x14ac:dyDescent="0.25">
      <c r="A8285" s="2">
        <v>8284</v>
      </c>
      <c r="B8285" s="3" t="s">
        <v>48</v>
      </c>
      <c r="C8285" s="4" t="str">
        <f t="shared" si="720"/>
        <v>Tây Ninh</v>
      </c>
      <c r="D8285" s="3" t="s">
        <v>577</v>
      </c>
      <c r="E8285" s="4" t="str">
        <f t="shared" si="721"/>
        <v>Huyện Dương Minh Châu</v>
      </c>
      <c r="F8285" s="3" t="s">
        <v>9045</v>
      </c>
      <c r="G8285" s="4" t="str">
        <f>HYPERLINK("https://diaocthongthai.com/xa-phan-duong-minh-chau/","Xã Phan")</f>
        <v>Xã Phan</v>
      </c>
    </row>
    <row r="8286" spans="1:7" x14ac:dyDescent="0.25">
      <c r="A8286" s="2">
        <v>8285</v>
      </c>
      <c r="B8286" s="3" t="s">
        <v>48</v>
      </c>
      <c r="C8286" s="4" t="str">
        <f t="shared" si="720"/>
        <v>Tây Ninh</v>
      </c>
      <c r="D8286" s="3" t="s">
        <v>577</v>
      </c>
      <c r="E8286" s="4" t="str">
        <f t="shared" si="721"/>
        <v>Huyện Dương Minh Châu</v>
      </c>
      <c r="F8286" s="3" t="s">
        <v>9046</v>
      </c>
      <c r="G8286" s="4" t="str">
        <f>HYPERLINK("https://diaocthongthai.com/xa-phuoc-ninh-duong-minh-chau/","Xã Phước Ninh")</f>
        <v>Xã Phước Ninh</v>
      </c>
    </row>
    <row r="8287" spans="1:7" x14ac:dyDescent="0.25">
      <c r="A8287" s="2">
        <v>8286</v>
      </c>
      <c r="B8287" s="3" t="s">
        <v>48</v>
      </c>
      <c r="C8287" s="4" t="str">
        <f t="shared" si="720"/>
        <v>Tây Ninh</v>
      </c>
      <c r="D8287" s="3" t="s">
        <v>577</v>
      </c>
      <c r="E8287" s="4" t="str">
        <f t="shared" si="721"/>
        <v>Huyện Dương Minh Châu</v>
      </c>
      <c r="F8287" s="3" t="s">
        <v>9047</v>
      </c>
      <c r="G8287" s="4" t="str">
        <f>HYPERLINK("https://diaocthongthai.com/xa-phuoc-minh-duong-minh-chau/","Xã Phước Minh")</f>
        <v>Xã Phước Minh</v>
      </c>
    </row>
    <row r="8288" spans="1:7" x14ac:dyDescent="0.25">
      <c r="A8288" s="2">
        <v>8287</v>
      </c>
      <c r="B8288" s="3" t="s">
        <v>48</v>
      </c>
      <c r="C8288" s="4" t="str">
        <f t="shared" si="720"/>
        <v>Tây Ninh</v>
      </c>
      <c r="D8288" s="3" t="s">
        <v>577</v>
      </c>
      <c r="E8288" s="4" t="str">
        <f t="shared" si="721"/>
        <v>Huyện Dương Minh Châu</v>
      </c>
      <c r="F8288" s="3" t="s">
        <v>9048</v>
      </c>
      <c r="G8288" s="4" t="str">
        <f>HYPERLINK("https://diaocthongthai.com/xa-bau-nang-duong-minh-chau/","Xã Bàu Năng")</f>
        <v>Xã Bàu Năng</v>
      </c>
    </row>
    <row r="8289" spans="1:7" x14ac:dyDescent="0.25">
      <c r="A8289" s="2">
        <v>8288</v>
      </c>
      <c r="B8289" s="3" t="s">
        <v>48</v>
      </c>
      <c r="C8289" s="4" t="str">
        <f t="shared" si="720"/>
        <v>Tây Ninh</v>
      </c>
      <c r="D8289" s="3" t="s">
        <v>577</v>
      </c>
      <c r="E8289" s="4" t="str">
        <f t="shared" si="721"/>
        <v>Huyện Dương Minh Châu</v>
      </c>
      <c r="F8289" s="3" t="s">
        <v>9049</v>
      </c>
      <c r="G8289" s="4" t="str">
        <f>HYPERLINK("https://diaocthongthai.com/xa-cha-la-duong-minh-chau/","Xã Chà Là")</f>
        <v>Xã Chà Là</v>
      </c>
    </row>
    <row r="8290" spans="1:7" x14ac:dyDescent="0.25">
      <c r="A8290" s="2">
        <v>8289</v>
      </c>
      <c r="B8290" s="3" t="s">
        <v>48</v>
      </c>
      <c r="C8290" s="4" t="str">
        <f t="shared" si="720"/>
        <v>Tây Ninh</v>
      </c>
      <c r="D8290" s="3" t="s">
        <v>577</v>
      </c>
      <c r="E8290" s="4" t="str">
        <f t="shared" si="721"/>
        <v>Huyện Dương Minh Châu</v>
      </c>
      <c r="F8290" s="3" t="s">
        <v>9050</v>
      </c>
      <c r="G8290" s="4" t="str">
        <f>HYPERLINK("https://diaocthongthai.com/xa-cau-khoi-duong-minh-chau/","Xã Cầu Khởi")</f>
        <v>Xã Cầu Khởi</v>
      </c>
    </row>
    <row r="8291" spans="1:7" x14ac:dyDescent="0.25">
      <c r="A8291" s="2">
        <v>8290</v>
      </c>
      <c r="B8291" s="3" t="s">
        <v>48</v>
      </c>
      <c r="C8291" s="4" t="str">
        <f t="shared" si="720"/>
        <v>Tây Ninh</v>
      </c>
      <c r="D8291" s="3" t="s">
        <v>577</v>
      </c>
      <c r="E8291" s="4" t="str">
        <f t="shared" si="721"/>
        <v>Huyện Dương Minh Châu</v>
      </c>
      <c r="F8291" s="3" t="s">
        <v>9051</v>
      </c>
      <c r="G8291" s="4" t="str">
        <f>HYPERLINK("https://diaocthongthai.com/xa-ben-cui-duong-minh-chau/","Xã Bến Củi")</f>
        <v>Xã Bến Củi</v>
      </c>
    </row>
    <row r="8292" spans="1:7" x14ac:dyDescent="0.25">
      <c r="A8292" s="2">
        <v>8291</v>
      </c>
      <c r="B8292" s="3" t="s">
        <v>48</v>
      </c>
      <c r="C8292" s="4" t="str">
        <f t="shared" si="720"/>
        <v>Tây Ninh</v>
      </c>
      <c r="D8292" s="3" t="s">
        <v>577</v>
      </c>
      <c r="E8292" s="4" t="str">
        <f t="shared" si="721"/>
        <v>Huyện Dương Minh Châu</v>
      </c>
      <c r="F8292" s="3" t="s">
        <v>9052</v>
      </c>
      <c r="G8292" s="4" t="str">
        <f>HYPERLINK("https://diaocthongthai.com/xa-loc-ninh-duong-minh-chau/","Xã Lộc Ninh")</f>
        <v>Xã Lộc Ninh</v>
      </c>
    </row>
    <row r="8293" spans="1:7" x14ac:dyDescent="0.25">
      <c r="A8293" s="2">
        <v>8292</v>
      </c>
      <c r="B8293" s="3" t="s">
        <v>48</v>
      </c>
      <c r="C8293" s="4" t="str">
        <f t="shared" si="720"/>
        <v>Tây Ninh</v>
      </c>
      <c r="D8293" s="3" t="s">
        <v>577</v>
      </c>
      <c r="E8293" s="4" t="str">
        <f t="shared" si="721"/>
        <v>Huyện Dương Minh Châu</v>
      </c>
      <c r="F8293" s="3" t="s">
        <v>9053</v>
      </c>
      <c r="G8293" s="4" t="str">
        <f>HYPERLINK("https://diaocthongthai.com/xa-truong-mit-duong-minh-chau/","Xã Truông Mít")</f>
        <v>Xã Truông Mít</v>
      </c>
    </row>
    <row r="8294" spans="1:7" x14ac:dyDescent="0.25">
      <c r="A8294" s="2">
        <v>8293</v>
      </c>
      <c r="B8294" s="3" t="s">
        <v>48</v>
      </c>
      <c r="C8294" s="4" t="str">
        <f t="shared" si="720"/>
        <v>Tây Ninh</v>
      </c>
      <c r="D8294" s="3" t="s">
        <v>578</v>
      </c>
      <c r="E8294" s="4" t="str">
        <f t="shared" ref="E8294:E8308" si="722">HYPERLINK("https://diaocthongthai.com/ban-do-huyen-chau-thanh-tay-ninh/","Huyện Châu Thành")</f>
        <v>Huyện Châu Thành</v>
      </c>
      <c r="F8294" s="3" t="s">
        <v>9054</v>
      </c>
      <c r="G8294" s="4" t="str">
        <f>HYPERLINK("https://diaocthongthai.com/thi-tran-chau-thanh-chau-thanh-tay-ninh/","Thị trấn Châu Thành")</f>
        <v>Thị trấn Châu Thành</v>
      </c>
    </row>
    <row r="8295" spans="1:7" x14ac:dyDescent="0.25">
      <c r="A8295" s="2">
        <v>8294</v>
      </c>
      <c r="B8295" s="3" t="s">
        <v>48</v>
      </c>
      <c r="C8295" s="4" t="str">
        <f t="shared" si="720"/>
        <v>Tây Ninh</v>
      </c>
      <c r="D8295" s="3" t="s">
        <v>578</v>
      </c>
      <c r="E8295" s="4" t="str">
        <f t="shared" si="722"/>
        <v>Huyện Châu Thành</v>
      </c>
      <c r="F8295" s="3" t="s">
        <v>9055</v>
      </c>
      <c r="G8295" s="4" t="str">
        <f>HYPERLINK("https://diaocthongthai.com/xa-hao-duoc-chau-thanh-tay-ninh/","Xã Hảo Đước")</f>
        <v>Xã Hảo Đước</v>
      </c>
    </row>
    <row r="8296" spans="1:7" x14ac:dyDescent="0.25">
      <c r="A8296" s="2">
        <v>8295</v>
      </c>
      <c r="B8296" s="3" t="s">
        <v>48</v>
      </c>
      <c r="C8296" s="4" t="str">
        <f t="shared" si="720"/>
        <v>Tây Ninh</v>
      </c>
      <c r="D8296" s="3" t="s">
        <v>578</v>
      </c>
      <c r="E8296" s="4" t="str">
        <f t="shared" si="722"/>
        <v>Huyện Châu Thành</v>
      </c>
      <c r="F8296" s="3" t="s">
        <v>9056</v>
      </c>
      <c r="G8296" s="4" t="str">
        <f>HYPERLINK("https://diaocthongthai.com/xa-phuoc-vinh-chau-thanh-tay-ninh/","Xã Phước Vinh")</f>
        <v>Xã Phước Vinh</v>
      </c>
    </row>
    <row r="8297" spans="1:7" x14ac:dyDescent="0.25">
      <c r="A8297" s="2">
        <v>8296</v>
      </c>
      <c r="B8297" s="3" t="s">
        <v>48</v>
      </c>
      <c r="C8297" s="4" t="str">
        <f t="shared" si="720"/>
        <v>Tây Ninh</v>
      </c>
      <c r="D8297" s="3" t="s">
        <v>578</v>
      </c>
      <c r="E8297" s="4" t="str">
        <f t="shared" si="722"/>
        <v>Huyện Châu Thành</v>
      </c>
      <c r="F8297" s="3" t="s">
        <v>9057</v>
      </c>
      <c r="G8297" s="4" t="str">
        <f>HYPERLINK("https://diaocthongthai.com/xa-dong-khoi-chau-thanh-tay-ninh/","Xã Đồng Khởi")</f>
        <v>Xã Đồng Khởi</v>
      </c>
    </row>
    <row r="8298" spans="1:7" x14ac:dyDescent="0.25">
      <c r="A8298" s="2">
        <v>8297</v>
      </c>
      <c r="B8298" s="3" t="s">
        <v>48</v>
      </c>
      <c r="C8298" s="4" t="str">
        <f t="shared" si="720"/>
        <v>Tây Ninh</v>
      </c>
      <c r="D8298" s="3" t="s">
        <v>578</v>
      </c>
      <c r="E8298" s="4" t="str">
        <f t="shared" si="722"/>
        <v>Huyện Châu Thành</v>
      </c>
      <c r="F8298" s="3" t="s">
        <v>9058</v>
      </c>
      <c r="G8298" s="4" t="str">
        <f>HYPERLINK("https://diaocthongthai.com/xa-thai-binh-chau-thanh-tay-ninh/","Xã Thái Bình")</f>
        <v>Xã Thái Bình</v>
      </c>
    </row>
    <row r="8299" spans="1:7" x14ac:dyDescent="0.25">
      <c r="A8299" s="2">
        <v>8298</v>
      </c>
      <c r="B8299" s="3" t="s">
        <v>48</v>
      </c>
      <c r="C8299" s="4" t="str">
        <f t="shared" si="720"/>
        <v>Tây Ninh</v>
      </c>
      <c r="D8299" s="3" t="s">
        <v>578</v>
      </c>
      <c r="E8299" s="4" t="str">
        <f t="shared" si="722"/>
        <v>Huyện Châu Thành</v>
      </c>
      <c r="F8299" s="3" t="s">
        <v>9059</v>
      </c>
      <c r="G8299" s="4" t="str">
        <f>HYPERLINK("https://diaocthongthai.com/xa-an-co-chau-thanh-tay-ninh/","Xã An Cơ")</f>
        <v>Xã An Cơ</v>
      </c>
    </row>
    <row r="8300" spans="1:7" x14ac:dyDescent="0.25">
      <c r="A8300" s="2">
        <v>8299</v>
      </c>
      <c r="B8300" s="3" t="s">
        <v>48</v>
      </c>
      <c r="C8300" s="4" t="str">
        <f t="shared" si="720"/>
        <v>Tây Ninh</v>
      </c>
      <c r="D8300" s="3" t="s">
        <v>578</v>
      </c>
      <c r="E8300" s="4" t="str">
        <f t="shared" si="722"/>
        <v>Huyện Châu Thành</v>
      </c>
      <c r="F8300" s="3" t="s">
        <v>9060</v>
      </c>
      <c r="G8300" s="4" t="str">
        <f>HYPERLINK("https://diaocthongthai.com/xa-bien-gioi-chau-thanh-tay-ninh/","Xã Biên Giới")</f>
        <v>Xã Biên Giới</v>
      </c>
    </row>
    <row r="8301" spans="1:7" x14ac:dyDescent="0.25">
      <c r="A8301" s="2">
        <v>8300</v>
      </c>
      <c r="B8301" s="3" t="s">
        <v>48</v>
      </c>
      <c r="C8301" s="4" t="str">
        <f t="shared" si="720"/>
        <v>Tây Ninh</v>
      </c>
      <c r="D8301" s="3" t="s">
        <v>578</v>
      </c>
      <c r="E8301" s="4" t="str">
        <f t="shared" si="722"/>
        <v>Huyện Châu Thành</v>
      </c>
      <c r="F8301" s="3" t="s">
        <v>9061</v>
      </c>
      <c r="G8301" s="4" t="str">
        <f>HYPERLINK("https://diaocthongthai.com/xa-hoa-thanh-chau-thanh-tay-ninh/","Xã Hòa Thạnh")</f>
        <v>Xã Hòa Thạnh</v>
      </c>
    </row>
    <row r="8302" spans="1:7" x14ac:dyDescent="0.25">
      <c r="A8302" s="2">
        <v>8301</v>
      </c>
      <c r="B8302" s="3" t="s">
        <v>48</v>
      </c>
      <c r="C8302" s="4" t="str">
        <f t="shared" si="720"/>
        <v>Tây Ninh</v>
      </c>
      <c r="D8302" s="3" t="s">
        <v>578</v>
      </c>
      <c r="E8302" s="4" t="str">
        <f t="shared" si="722"/>
        <v>Huyện Châu Thành</v>
      </c>
      <c r="F8302" s="3" t="s">
        <v>9062</v>
      </c>
      <c r="G8302" s="4" t="str">
        <f>HYPERLINK("https://diaocthongthai.com/xa-tri-binh-chau-thanh-tay-ninh/","Xã Trí Bình")</f>
        <v>Xã Trí Bình</v>
      </c>
    </row>
    <row r="8303" spans="1:7" x14ac:dyDescent="0.25">
      <c r="A8303" s="2">
        <v>8302</v>
      </c>
      <c r="B8303" s="3" t="s">
        <v>48</v>
      </c>
      <c r="C8303" s="4" t="str">
        <f t="shared" si="720"/>
        <v>Tây Ninh</v>
      </c>
      <c r="D8303" s="3" t="s">
        <v>578</v>
      </c>
      <c r="E8303" s="4" t="str">
        <f t="shared" si="722"/>
        <v>Huyện Châu Thành</v>
      </c>
      <c r="F8303" s="3" t="s">
        <v>9063</v>
      </c>
      <c r="G8303" s="4" t="str">
        <f>HYPERLINK("https://diaocthongthai.com/xa-hoa-hoi-chau-thanh-tay-ninh/","Xã Hòa Hội")</f>
        <v>Xã Hòa Hội</v>
      </c>
    </row>
    <row r="8304" spans="1:7" x14ac:dyDescent="0.25">
      <c r="A8304" s="2">
        <v>8303</v>
      </c>
      <c r="B8304" s="3" t="s">
        <v>48</v>
      </c>
      <c r="C8304" s="4" t="str">
        <f t="shared" si="720"/>
        <v>Tây Ninh</v>
      </c>
      <c r="D8304" s="3" t="s">
        <v>578</v>
      </c>
      <c r="E8304" s="4" t="str">
        <f t="shared" si="722"/>
        <v>Huyện Châu Thành</v>
      </c>
      <c r="F8304" s="3" t="s">
        <v>9064</v>
      </c>
      <c r="G8304" s="4" t="str">
        <f>HYPERLINK("https://diaocthongthai.com/xa-an-binh-chau-thanh-tay-ninh/","Xã An Bình")</f>
        <v>Xã An Bình</v>
      </c>
    </row>
    <row r="8305" spans="1:7" x14ac:dyDescent="0.25">
      <c r="A8305" s="2">
        <v>8304</v>
      </c>
      <c r="B8305" s="3" t="s">
        <v>48</v>
      </c>
      <c r="C8305" s="4" t="str">
        <f t="shared" si="720"/>
        <v>Tây Ninh</v>
      </c>
      <c r="D8305" s="3" t="s">
        <v>578</v>
      </c>
      <c r="E8305" s="4" t="str">
        <f t="shared" si="722"/>
        <v>Huyện Châu Thành</v>
      </c>
      <c r="F8305" s="3" t="s">
        <v>9065</v>
      </c>
      <c r="G8305" s="4" t="str">
        <f>HYPERLINK("https://diaocthongthai.com/xa-thanh-dien-chau-thanh-tay-ninh/","Xã Thanh Điền")</f>
        <v>Xã Thanh Điền</v>
      </c>
    </row>
    <row r="8306" spans="1:7" x14ac:dyDescent="0.25">
      <c r="A8306" s="2">
        <v>8305</v>
      </c>
      <c r="B8306" s="3" t="s">
        <v>48</v>
      </c>
      <c r="C8306" s="4" t="str">
        <f t="shared" si="720"/>
        <v>Tây Ninh</v>
      </c>
      <c r="D8306" s="3" t="s">
        <v>578</v>
      </c>
      <c r="E8306" s="4" t="str">
        <f t="shared" si="722"/>
        <v>Huyện Châu Thành</v>
      </c>
      <c r="F8306" s="3" t="s">
        <v>9066</v>
      </c>
      <c r="G8306" s="4" t="str">
        <f>HYPERLINK("https://diaocthongthai.com/xa-thanh-long-chau-thanh-tay-ninh/","Xã Thành Long")</f>
        <v>Xã Thành Long</v>
      </c>
    </row>
    <row r="8307" spans="1:7" x14ac:dyDescent="0.25">
      <c r="A8307" s="2">
        <v>8306</v>
      </c>
      <c r="B8307" s="3" t="s">
        <v>48</v>
      </c>
      <c r="C8307" s="4" t="str">
        <f t="shared" si="720"/>
        <v>Tây Ninh</v>
      </c>
      <c r="D8307" s="3" t="s">
        <v>578</v>
      </c>
      <c r="E8307" s="4" t="str">
        <f t="shared" si="722"/>
        <v>Huyện Châu Thành</v>
      </c>
      <c r="F8307" s="3" t="s">
        <v>9067</v>
      </c>
      <c r="G8307" s="4" t="str">
        <f>HYPERLINK("https://diaocthongthai.com/xa-ninh-dien-chau-thanh-tay-ninh/","Xã Ninh Điền")</f>
        <v>Xã Ninh Điền</v>
      </c>
    </row>
    <row r="8308" spans="1:7" x14ac:dyDescent="0.25">
      <c r="A8308" s="2">
        <v>8307</v>
      </c>
      <c r="B8308" s="3" t="s">
        <v>48</v>
      </c>
      <c r="C8308" s="4" t="str">
        <f t="shared" si="720"/>
        <v>Tây Ninh</v>
      </c>
      <c r="D8308" s="3" t="s">
        <v>578</v>
      </c>
      <c r="E8308" s="4" t="str">
        <f t="shared" si="722"/>
        <v>Huyện Châu Thành</v>
      </c>
      <c r="F8308" s="3" t="s">
        <v>9068</v>
      </c>
      <c r="G8308" s="4" t="str">
        <f>HYPERLINK("https://diaocthongthai.com/xa-long-vinh-chau-thanh-tay-ninh/","Xã Long Vĩnh")</f>
        <v>Xã Long Vĩnh</v>
      </c>
    </row>
    <row r="8309" spans="1:7" x14ac:dyDescent="0.25">
      <c r="A8309" s="2">
        <v>8308</v>
      </c>
      <c r="B8309" s="3" t="s">
        <v>48</v>
      </c>
      <c r="C8309" s="4" t="str">
        <f t="shared" si="720"/>
        <v>Tây Ninh</v>
      </c>
      <c r="D8309" s="3" t="s">
        <v>579</v>
      </c>
      <c r="E8309" s="4" t="str">
        <f t="shared" ref="E8309:E8316" si="723">HYPERLINK("https://diaocthongthai.com/ban-do-huyen-hoa-thanh-tay-ninh/","Thị xã Hòa Thành")</f>
        <v>Thị xã Hòa Thành</v>
      </c>
      <c r="F8309" s="3" t="s">
        <v>9069</v>
      </c>
      <c r="G8309" s="4" t="str">
        <f>HYPERLINK("https://diaocthongthai.com/phuong-long-hoa-hoa-thanh/","Phường Long Hoa")</f>
        <v>Phường Long Hoa</v>
      </c>
    </row>
    <row r="8310" spans="1:7" x14ac:dyDescent="0.25">
      <c r="A8310" s="2">
        <v>8309</v>
      </c>
      <c r="B8310" s="3" t="s">
        <v>48</v>
      </c>
      <c r="C8310" s="4" t="str">
        <f t="shared" si="720"/>
        <v>Tây Ninh</v>
      </c>
      <c r="D8310" s="3" t="s">
        <v>579</v>
      </c>
      <c r="E8310" s="4" t="str">
        <f t="shared" si="723"/>
        <v>Thị xã Hòa Thành</v>
      </c>
      <c r="F8310" s="3" t="s">
        <v>9070</v>
      </c>
      <c r="G8310" s="4" t="str">
        <f>HYPERLINK("https://diaocthongthai.com/phuong-hiep-tan-hoa-thanh/","Phường Hiệp Tân")</f>
        <v>Phường Hiệp Tân</v>
      </c>
    </row>
    <row r="8311" spans="1:7" x14ac:dyDescent="0.25">
      <c r="A8311" s="2">
        <v>8310</v>
      </c>
      <c r="B8311" s="3" t="s">
        <v>48</v>
      </c>
      <c r="C8311" s="4" t="str">
        <f t="shared" si="720"/>
        <v>Tây Ninh</v>
      </c>
      <c r="D8311" s="3" t="s">
        <v>579</v>
      </c>
      <c r="E8311" s="4" t="str">
        <f t="shared" si="723"/>
        <v>Thị xã Hòa Thành</v>
      </c>
      <c r="F8311" s="3" t="s">
        <v>9071</v>
      </c>
      <c r="G8311" s="4" t="str">
        <f>HYPERLINK("https://diaocthongthai.com/phuong-long-thanh-bac-hoa-thanh/","Phường Long Thành Bắc")</f>
        <v>Phường Long Thành Bắc</v>
      </c>
    </row>
    <row r="8312" spans="1:7" x14ac:dyDescent="0.25">
      <c r="A8312" s="2">
        <v>8311</v>
      </c>
      <c r="B8312" s="3" t="s">
        <v>48</v>
      </c>
      <c r="C8312" s="4" t="str">
        <f t="shared" si="720"/>
        <v>Tây Ninh</v>
      </c>
      <c r="D8312" s="3" t="s">
        <v>579</v>
      </c>
      <c r="E8312" s="4" t="str">
        <f t="shared" si="723"/>
        <v>Thị xã Hòa Thành</v>
      </c>
      <c r="F8312" s="3" t="s">
        <v>9072</v>
      </c>
      <c r="G8312" s="4" t="str">
        <f>HYPERLINK("https://diaocthongthai.com/xa-truong-hoa-hoa-thanh/","Xã Trường Hòa")</f>
        <v>Xã Trường Hòa</v>
      </c>
    </row>
    <row r="8313" spans="1:7" x14ac:dyDescent="0.25">
      <c r="A8313" s="2">
        <v>8312</v>
      </c>
      <c r="B8313" s="3" t="s">
        <v>48</v>
      </c>
      <c r="C8313" s="4" t="str">
        <f t="shared" si="720"/>
        <v>Tây Ninh</v>
      </c>
      <c r="D8313" s="3" t="s">
        <v>579</v>
      </c>
      <c r="E8313" s="4" t="str">
        <f t="shared" si="723"/>
        <v>Thị xã Hòa Thành</v>
      </c>
      <c r="F8313" s="3" t="s">
        <v>9073</v>
      </c>
      <c r="G8313" s="4" t="str">
        <f>HYPERLINK("https://diaocthongthai.com/xa-truong-dong-hoa-thanh/","Xã Trường Đông")</f>
        <v>Xã Trường Đông</v>
      </c>
    </row>
    <row r="8314" spans="1:7" x14ac:dyDescent="0.25">
      <c r="A8314" s="2">
        <v>8313</v>
      </c>
      <c r="B8314" s="3" t="s">
        <v>48</v>
      </c>
      <c r="C8314" s="4" t="str">
        <f t="shared" si="720"/>
        <v>Tây Ninh</v>
      </c>
      <c r="D8314" s="3" t="s">
        <v>579</v>
      </c>
      <c r="E8314" s="4" t="str">
        <f t="shared" si="723"/>
        <v>Thị xã Hòa Thành</v>
      </c>
      <c r="F8314" s="3" t="s">
        <v>9074</v>
      </c>
      <c r="G8314" s="4" t="str">
        <f>HYPERLINK("https://diaocthongthai.com/phuong-long-thanh-trung-hoa-thanh/","Phường Long Thành Trung")</f>
        <v>Phường Long Thành Trung</v>
      </c>
    </row>
    <row r="8315" spans="1:7" x14ac:dyDescent="0.25">
      <c r="A8315" s="2">
        <v>8314</v>
      </c>
      <c r="B8315" s="3" t="s">
        <v>48</v>
      </c>
      <c r="C8315" s="4" t="str">
        <f t="shared" ref="C8315:C8344" si="724">HYPERLINK("https://diaocthongthai.com/ban-do-tay-ninh/","Tây Ninh")</f>
        <v>Tây Ninh</v>
      </c>
      <c r="D8315" s="3" t="s">
        <v>579</v>
      </c>
      <c r="E8315" s="4" t="str">
        <f t="shared" si="723"/>
        <v>Thị xã Hòa Thành</v>
      </c>
      <c r="F8315" s="3" t="s">
        <v>9075</v>
      </c>
      <c r="G8315" s="4" t="str">
        <f>HYPERLINK("https://diaocthongthai.com/xa-truong-tay-hoa-thanh/","Xã Trường Tây")</f>
        <v>Xã Trường Tây</v>
      </c>
    </row>
    <row r="8316" spans="1:7" x14ac:dyDescent="0.25">
      <c r="A8316" s="2">
        <v>8315</v>
      </c>
      <c r="B8316" s="3" t="s">
        <v>48</v>
      </c>
      <c r="C8316" s="4" t="str">
        <f t="shared" si="724"/>
        <v>Tây Ninh</v>
      </c>
      <c r="D8316" s="3" t="s">
        <v>579</v>
      </c>
      <c r="E8316" s="4" t="str">
        <f t="shared" si="723"/>
        <v>Thị xã Hòa Thành</v>
      </c>
      <c r="F8316" s="3" t="s">
        <v>9076</v>
      </c>
      <c r="G8316" s="4" t="str">
        <f>HYPERLINK("https://diaocthongthai.com/xa-long-thanh-nam-hoa-thanh/","Xã Long Thành Nam")</f>
        <v>Xã Long Thành Nam</v>
      </c>
    </row>
    <row r="8317" spans="1:7" x14ac:dyDescent="0.25">
      <c r="A8317" s="2">
        <v>8316</v>
      </c>
      <c r="B8317" s="3" t="s">
        <v>48</v>
      </c>
      <c r="C8317" s="4" t="str">
        <f t="shared" si="724"/>
        <v>Tây Ninh</v>
      </c>
      <c r="D8317" s="3" t="s">
        <v>580</v>
      </c>
      <c r="E8317" s="4" t="str">
        <f t="shared" ref="E8317:E8325" si="725">HYPERLINK("https://diaocthongthai.com/ban-do-huyen-go-dau-tay-ninh/","Huyện Gò Dầu")</f>
        <v>Huyện Gò Dầu</v>
      </c>
      <c r="F8317" s="3" t="s">
        <v>9077</v>
      </c>
      <c r="G8317" s="4" t="str">
        <f>HYPERLINK("https://diaocthongthai.com/thi-tran-go-dau-go-dau/","Thị trấn Gò Dầu")</f>
        <v>Thị trấn Gò Dầu</v>
      </c>
    </row>
    <row r="8318" spans="1:7" x14ac:dyDescent="0.25">
      <c r="A8318" s="2">
        <v>8317</v>
      </c>
      <c r="B8318" s="3" t="s">
        <v>48</v>
      </c>
      <c r="C8318" s="4" t="str">
        <f t="shared" si="724"/>
        <v>Tây Ninh</v>
      </c>
      <c r="D8318" s="3" t="s">
        <v>580</v>
      </c>
      <c r="E8318" s="4" t="str">
        <f t="shared" si="725"/>
        <v>Huyện Gò Dầu</v>
      </c>
      <c r="F8318" s="3" t="s">
        <v>9078</v>
      </c>
      <c r="G8318" s="4" t="str">
        <f>HYPERLINK("https://diaocthongthai.com/xa-thanh-duc-go-dau/","Xã Thạnh Đức")</f>
        <v>Xã Thạnh Đức</v>
      </c>
    </row>
    <row r="8319" spans="1:7" x14ac:dyDescent="0.25">
      <c r="A8319" s="2">
        <v>8318</v>
      </c>
      <c r="B8319" s="3" t="s">
        <v>48</v>
      </c>
      <c r="C8319" s="4" t="str">
        <f t="shared" si="724"/>
        <v>Tây Ninh</v>
      </c>
      <c r="D8319" s="3" t="s">
        <v>580</v>
      </c>
      <c r="E8319" s="4" t="str">
        <f t="shared" si="725"/>
        <v>Huyện Gò Dầu</v>
      </c>
      <c r="F8319" s="3" t="s">
        <v>9079</v>
      </c>
      <c r="G8319" s="4" t="str">
        <f>HYPERLINK("https://diaocthongthai.com/xa-cam-giang-go-dau/","Xã Cẩm Giang")</f>
        <v>Xã Cẩm Giang</v>
      </c>
    </row>
    <row r="8320" spans="1:7" x14ac:dyDescent="0.25">
      <c r="A8320" s="2">
        <v>8319</v>
      </c>
      <c r="B8320" s="3" t="s">
        <v>48</v>
      </c>
      <c r="C8320" s="4" t="str">
        <f t="shared" si="724"/>
        <v>Tây Ninh</v>
      </c>
      <c r="D8320" s="3" t="s">
        <v>580</v>
      </c>
      <c r="E8320" s="4" t="str">
        <f t="shared" si="725"/>
        <v>Huyện Gò Dầu</v>
      </c>
      <c r="F8320" s="3" t="s">
        <v>9080</v>
      </c>
      <c r="G8320" s="4" t="str">
        <f>HYPERLINK("https://diaocthongthai.com/xa-hiep-thanh-go-dau/","Xã Hiệp Thạnh")</f>
        <v>Xã Hiệp Thạnh</v>
      </c>
    </row>
    <row r="8321" spans="1:7" x14ac:dyDescent="0.25">
      <c r="A8321" s="2">
        <v>8320</v>
      </c>
      <c r="B8321" s="3" t="s">
        <v>48</v>
      </c>
      <c r="C8321" s="4" t="str">
        <f t="shared" si="724"/>
        <v>Tây Ninh</v>
      </c>
      <c r="D8321" s="3" t="s">
        <v>580</v>
      </c>
      <c r="E8321" s="4" t="str">
        <f t="shared" si="725"/>
        <v>Huyện Gò Dầu</v>
      </c>
      <c r="F8321" s="3" t="s">
        <v>9081</v>
      </c>
      <c r="G8321" s="4" t="str">
        <f>HYPERLINK("https://diaocthongthai.com/xa-bau-don-go-dau/","Xã Bàu Đồn")</f>
        <v>Xã Bàu Đồn</v>
      </c>
    </row>
    <row r="8322" spans="1:7" x14ac:dyDescent="0.25">
      <c r="A8322" s="2">
        <v>8321</v>
      </c>
      <c r="B8322" s="3" t="s">
        <v>48</v>
      </c>
      <c r="C8322" s="4" t="str">
        <f t="shared" si="724"/>
        <v>Tây Ninh</v>
      </c>
      <c r="D8322" s="3" t="s">
        <v>580</v>
      </c>
      <c r="E8322" s="4" t="str">
        <f t="shared" si="725"/>
        <v>Huyện Gò Dầu</v>
      </c>
      <c r="F8322" s="3" t="s">
        <v>9082</v>
      </c>
      <c r="G8322" s="4" t="str">
        <f>HYPERLINK("https://diaocthongthai.com/xa-phuoc-thanh-go-dau/","Xã Phước Thạnh")</f>
        <v>Xã Phước Thạnh</v>
      </c>
    </row>
    <row r="8323" spans="1:7" x14ac:dyDescent="0.25">
      <c r="A8323" s="2">
        <v>8322</v>
      </c>
      <c r="B8323" s="3" t="s">
        <v>48</v>
      </c>
      <c r="C8323" s="4" t="str">
        <f t="shared" si="724"/>
        <v>Tây Ninh</v>
      </c>
      <c r="D8323" s="3" t="s">
        <v>580</v>
      </c>
      <c r="E8323" s="4" t="str">
        <f t="shared" si="725"/>
        <v>Huyện Gò Dầu</v>
      </c>
      <c r="F8323" s="3" t="s">
        <v>9083</v>
      </c>
      <c r="G8323" s="4" t="str">
        <f>HYPERLINK("https://diaocthongthai.com/xa-phuoc-dong-go-dau/","Xã Phước Đông")</f>
        <v>Xã Phước Đông</v>
      </c>
    </row>
    <row r="8324" spans="1:7" x14ac:dyDescent="0.25">
      <c r="A8324" s="2">
        <v>8323</v>
      </c>
      <c r="B8324" s="3" t="s">
        <v>48</v>
      </c>
      <c r="C8324" s="4" t="str">
        <f t="shared" si="724"/>
        <v>Tây Ninh</v>
      </c>
      <c r="D8324" s="3" t="s">
        <v>580</v>
      </c>
      <c r="E8324" s="4" t="str">
        <f t="shared" si="725"/>
        <v>Huyện Gò Dầu</v>
      </c>
      <c r="F8324" s="3" t="s">
        <v>9084</v>
      </c>
      <c r="G8324" s="4" t="str">
        <f>HYPERLINK("https://diaocthongthai.com/xa-phuoc-trach-go-dau/","Xã Phước Trạch")</f>
        <v>Xã Phước Trạch</v>
      </c>
    </row>
    <row r="8325" spans="1:7" x14ac:dyDescent="0.25">
      <c r="A8325" s="2">
        <v>8324</v>
      </c>
      <c r="B8325" s="3" t="s">
        <v>48</v>
      </c>
      <c r="C8325" s="4" t="str">
        <f t="shared" si="724"/>
        <v>Tây Ninh</v>
      </c>
      <c r="D8325" s="3" t="s">
        <v>580</v>
      </c>
      <c r="E8325" s="4" t="str">
        <f t="shared" si="725"/>
        <v>Huyện Gò Dầu</v>
      </c>
      <c r="F8325" s="3" t="s">
        <v>9085</v>
      </c>
      <c r="G8325" s="4" t="str">
        <f>HYPERLINK("https://diaocthongthai.com/xa-thanh-phuoc-go-dau/","Xã Thanh Phước")</f>
        <v>Xã Thanh Phước</v>
      </c>
    </row>
    <row r="8326" spans="1:7" x14ac:dyDescent="0.25">
      <c r="A8326" s="2">
        <v>8325</v>
      </c>
      <c r="B8326" s="3" t="s">
        <v>48</v>
      </c>
      <c r="C8326" s="4" t="str">
        <f t="shared" si="724"/>
        <v>Tây Ninh</v>
      </c>
      <c r="D8326" s="3" t="s">
        <v>581</v>
      </c>
      <c r="E8326" s="4" t="str">
        <f t="shared" ref="E8326:E8334" si="726">HYPERLINK("https://diaocthongthai.com/ban-do-huyen-ben-cau-tay-ninh/","Huyện Bến Cầu")</f>
        <v>Huyện Bến Cầu</v>
      </c>
      <c r="F8326" s="3" t="s">
        <v>9086</v>
      </c>
      <c r="G8326" s="4" t="str">
        <f>HYPERLINK("https://diaocthongthai.com/thi-tran-ben-cau-ben-cau/","Thị trấn Bến Cầu")</f>
        <v>Thị trấn Bến Cầu</v>
      </c>
    </row>
    <row r="8327" spans="1:7" x14ac:dyDescent="0.25">
      <c r="A8327" s="2">
        <v>8326</v>
      </c>
      <c r="B8327" s="3" t="s">
        <v>48</v>
      </c>
      <c r="C8327" s="4" t="str">
        <f t="shared" si="724"/>
        <v>Tây Ninh</v>
      </c>
      <c r="D8327" s="3" t="s">
        <v>581</v>
      </c>
      <c r="E8327" s="4" t="str">
        <f t="shared" si="726"/>
        <v>Huyện Bến Cầu</v>
      </c>
      <c r="F8327" s="3" t="s">
        <v>9087</v>
      </c>
      <c r="G8327" s="4" t="str">
        <f>HYPERLINK("https://diaocthongthai.com/xa-long-chu-ben-cau/","Xã Long Chữ")</f>
        <v>Xã Long Chữ</v>
      </c>
    </row>
    <row r="8328" spans="1:7" x14ac:dyDescent="0.25">
      <c r="A8328" s="2">
        <v>8327</v>
      </c>
      <c r="B8328" s="3" t="s">
        <v>48</v>
      </c>
      <c r="C8328" s="4" t="str">
        <f t="shared" si="724"/>
        <v>Tây Ninh</v>
      </c>
      <c r="D8328" s="3" t="s">
        <v>581</v>
      </c>
      <c r="E8328" s="4" t="str">
        <f t="shared" si="726"/>
        <v>Huyện Bến Cầu</v>
      </c>
      <c r="F8328" s="3" t="s">
        <v>9088</v>
      </c>
      <c r="G8328" s="4" t="str">
        <f>HYPERLINK("https://diaocthongthai.com/xa-long-phuoc-ben-cau/","Xã Long Phước")</f>
        <v>Xã Long Phước</v>
      </c>
    </row>
    <row r="8329" spans="1:7" x14ac:dyDescent="0.25">
      <c r="A8329" s="2">
        <v>8328</v>
      </c>
      <c r="B8329" s="3" t="s">
        <v>48</v>
      </c>
      <c r="C8329" s="4" t="str">
        <f t="shared" si="724"/>
        <v>Tây Ninh</v>
      </c>
      <c r="D8329" s="3" t="s">
        <v>581</v>
      </c>
      <c r="E8329" s="4" t="str">
        <f t="shared" si="726"/>
        <v>Huyện Bến Cầu</v>
      </c>
      <c r="F8329" s="3" t="s">
        <v>9089</v>
      </c>
      <c r="G8329" s="4" t="str">
        <f>HYPERLINK("https://diaocthongthai.com/xa-long-giang-ben-cau/","Xã Long Giang")</f>
        <v>Xã Long Giang</v>
      </c>
    </row>
    <row r="8330" spans="1:7" x14ac:dyDescent="0.25">
      <c r="A8330" s="2">
        <v>8329</v>
      </c>
      <c r="B8330" s="3" t="s">
        <v>48</v>
      </c>
      <c r="C8330" s="4" t="str">
        <f t="shared" si="724"/>
        <v>Tây Ninh</v>
      </c>
      <c r="D8330" s="3" t="s">
        <v>581</v>
      </c>
      <c r="E8330" s="4" t="str">
        <f t="shared" si="726"/>
        <v>Huyện Bến Cầu</v>
      </c>
      <c r="F8330" s="3" t="s">
        <v>9090</v>
      </c>
      <c r="G8330" s="4" t="str">
        <f>HYPERLINK("https://diaocthongthai.com/xa-tien-thuan-ben-cau/","Xã Tiên Thuận")</f>
        <v>Xã Tiên Thuận</v>
      </c>
    </row>
    <row r="8331" spans="1:7" x14ac:dyDescent="0.25">
      <c r="A8331" s="2">
        <v>8330</v>
      </c>
      <c r="B8331" s="3" t="s">
        <v>48</v>
      </c>
      <c r="C8331" s="4" t="str">
        <f t="shared" si="724"/>
        <v>Tây Ninh</v>
      </c>
      <c r="D8331" s="3" t="s">
        <v>581</v>
      </c>
      <c r="E8331" s="4" t="str">
        <f t="shared" si="726"/>
        <v>Huyện Bến Cầu</v>
      </c>
      <c r="F8331" s="3" t="s">
        <v>9091</v>
      </c>
      <c r="G8331" s="4" t="str">
        <f>HYPERLINK("https://diaocthongthai.com/xa-long-khanh-ben-cau/","Xã Long Khánh")</f>
        <v>Xã Long Khánh</v>
      </c>
    </row>
    <row r="8332" spans="1:7" x14ac:dyDescent="0.25">
      <c r="A8332" s="2">
        <v>8331</v>
      </c>
      <c r="B8332" s="3" t="s">
        <v>48</v>
      </c>
      <c r="C8332" s="4" t="str">
        <f t="shared" si="724"/>
        <v>Tây Ninh</v>
      </c>
      <c r="D8332" s="3" t="s">
        <v>581</v>
      </c>
      <c r="E8332" s="4" t="str">
        <f t="shared" si="726"/>
        <v>Huyện Bến Cầu</v>
      </c>
      <c r="F8332" s="3" t="s">
        <v>9092</v>
      </c>
      <c r="G8332" s="4" t="str">
        <f>HYPERLINK("https://diaocthongthai.com/xa-loi-thuan-ben-cau/","Xã Lợi Thuận")</f>
        <v>Xã Lợi Thuận</v>
      </c>
    </row>
    <row r="8333" spans="1:7" x14ac:dyDescent="0.25">
      <c r="A8333" s="2">
        <v>8332</v>
      </c>
      <c r="B8333" s="3" t="s">
        <v>48</v>
      </c>
      <c r="C8333" s="4" t="str">
        <f t="shared" si="724"/>
        <v>Tây Ninh</v>
      </c>
      <c r="D8333" s="3" t="s">
        <v>581</v>
      </c>
      <c r="E8333" s="4" t="str">
        <f t="shared" si="726"/>
        <v>Huyện Bến Cầu</v>
      </c>
      <c r="F8333" s="3" t="s">
        <v>9093</v>
      </c>
      <c r="G8333" s="4" t="str">
        <f>HYPERLINK("https://diaocthongthai.com/xa-long-thuan-ben-cau/","Xã Long Thuận")</f>
        <v>Xã Long Thuận</v>
      </c>
    </row>
    <row r="8334" spans="1:7" x14ac:dyDescent="0.25">
      <c r="A8334" s="2">
        <v>8333</v>
      </c>
      <c r="B8334" s="3" t="s">
        <v>48</v>
      </c>
      <c r="C8334" s="4" t="str">
        <f t="shared" si="724"/>
        <v>Tây Ninh</v>
      </c>
      <c r="D8334" s="3" t="s">
        <v>581</v>
      </c>
      <c r="E8334" s="4" t="str">
        <f t="shared" si="726"/>
        <v>Huyện Bến Cầu</v>
      </c>
      <c r="F8334" s="3" t="s">
        <v>9094</v>
      </c>
      <c r="G8334" s="4" t="str">
        <f>HYPERLINK("https://diaocthongthai.com/xa-an-thanh-ben-cau/","Xã An Thạnh")</f>
        <v>Xã An Thạnh</v>
      </c>
    </row>
    <row r="8335" spans="1:7" x14ac:dyDescent="0.25">
      <c r="A8335" s="2">
        <v>8334</v>
      </c>
      <c r="B8335" s="3" t="s">
        <v>48</v>
      </c>
      <c r="C8335" s="4" t="str">
        <f t="shared" si="724"/>
        <v>Tây Ninh</v>
      </c>
      <c r="D8335" s="3" t="s">
        <v>582</v>
      </c>
      <c r="E8335" s="4" t="str">
        <f t="shared" ref="E8335:E8344" si="727">HYPERLINK("https://diaocthongthai.com/ban-do-huyen-trang-bang-tay-ninh/","Thị xã Trảng Bàng")</f>
        <v>Thị xã Trảng Bàng</v>
      </c>
      <c r="F8335" s="3" t="s">
        <v>9095</v>
      </c>
      <c r="G8335" s="4" t="str">
        <f>HYPERLINK("https://diaocthongthai.com/phuong-trang-bang-trang-bang/","Phường Trảng Bàng")</f>
        <v>Phường Trảng Bàng</v>
      </c>
    </row>
    <row r="8336" spans="1:7" x14ac:dyDescent="0.25">
      <c r="A8336" s="2">
        <v>8335</v>
      </c>
      <c r="B8336" s="3" t="s">
        <v>48</v>
      </c>
      <c r="C8336" s="4" t="str">
        <f t="shared" si="724"/>
        <v>Tây Ninh</v>
      </c>
      <c r="D8336" s="3" t="s">
        <v>582</v>
      </c>
      <c r="E8336" s="4" t="str">
        <f t="shared" si="727"/>
        <v>Thị xã Trảng Bàng</v>
      </c>
      <c r="F8336" s="3" t="s">
        <v>9096</v>
      </c>
      <c r="G8336" s="4" t="str">
        <f>HYPERLINK("https://diaocthongthai.com/xa-don-thuan-trang-bang/","Xã Đôn Thuận")</f>
        <v>Xã Đôn Thuận</v>
      </c>
    </row>
    <row r="8337" spans="1:7" x14ac:dyDescent="0.25">
      <c r="A8337" s="2">
        <v>8336</v>
      </c>
      <c r="B8337" s="3" t="s">
        <v>48</v>
      </c>
      <c r="C8337" s="4" t="str">
        <f t="shared" si="724"/>
        <v>Tây Ninh</v>
      </c>
      <c r="D8337" s="3" t="s">
        <v>582</v>
      </c>
      <c r="E8337" s="4" t="str">
        <f t="shared" si="727"/>
        <v>Thị xã Trảng Bàng</v>
      </c>
      <c r="F8337" s="3" t="s">
        <v>9097</v>
      </c>
      <c r="G8337" s="4" t="str">
        <f>HYPERLINK("https://diaocthongthai.com/xa-hung-thuan-trang-bang/","Xã Hưng Thuận")</f>
        <v>Xã Hưng Thuận</v>
      </c>
    </row>
    <row r="8338" spans="1:7" x14ac:dyDescent="0.25">
      <c r="A8338" s="2">
        <v>8337</v>
      </c>
      <c r="B8338" s="3" t="s">
        <v>48</v>
      </c>
      <c r="C8338" s="4" t="str">
        <f t="shared" si="724"/>
        <v>Tây Ninh</v>
      </c>
      <c r="D8338" s="3" t="s">
        <v>582</v>
      </c>
      <c r="E8338" s="4" t="str">
        <f t="shared" si="727"/>
        <v>Thị xã Trảng Bàng</v>
      </c>
      <c r="F8338" s="3" t="s">
        <v>9098</v>
      </c>
      <c r="G8338" s="4" t="str">
        <f>HYPERLINK("https://diaocthongthai.com/phuong-loc-hung-trang-bang/","Phường Lộc Hưng")</f>
        <v>Phường Lộc Hưng</v>
      </c>
    </row>
    <row r="8339" spans="1:7" x14ac:dyDescent="0.25">
      <c r="A8339" s="2">
        <v>8338</v>
      </c>
      <c r="B8339" s="3" t="s">
        <v>48</v>
      </c>
      <c r="C8339" s="4" t="str">
        <f t="shared" si="724"/>
        <v>Tây Ninh</v>
      </c>
      <c r="D8339" s="3" t="s">
        <v>582</v>
      </c>
      <c r="E8339" s="4" t="str">
        <f t="shared" si="727"/>
        <v>Thị xã Trảng Bàng</v>
      </c>
      <c r="F8339" s="3" t="s">
        <v>9099</v>
      </c>
      <c r="G8339" s="4" t="str">
        <f>HYPERLINK("https://diaocthongthai.com/phuong-gia-loc-trang-bang/","Phường Gia Lộc")</f>
        <v>Phường Gia Lộc</v>
      </c>
    </row>
    <row r="8340" spans="1:7" x14ac:dyDescent="0.25">
      <c r="A8340" s="2">
        <v>8339</v>
      </c>
      <c r="B8340" s="3" t="s">
        <v>48</v>
      </c>
      <c r="C8340" s="4" t="str">
        <f t="shared" si="724"/>
        <v>Tây Ninh</v>
      </c>
      <c r="D8340" s="3" t="s">
        <v>582</v>
      </c>
      <c r="E8340" s="4" t="str">
        <f t="shared" si="727"/>
        <v>Thị xã Trảng Bàng</v>
      </c>
      <c r="F8340" s="3" t="s">
        <v>9100</v>
      </c>
      <c r="G8340" s="4" t="str">
        <f>HYPERLINK("https://diaocthongthai.com/phuong-gia-binh-trang-bang/","Phường Gia Bình")</f>
        <v>Phường Gia Bình</v>
      </c>
    </row>
    <row r="8341" spans="1:7" x14ac:dyDescent="0.25">
      <c r="A8341" s="2">
        <v>8340</v>
      </c>
      <c r="B8341" s="3" t="s">
        <v>48</v>
      </c>
      <c r="C8341" s="4" t="str">
        <f t="shared" si="724"/>
        <v>Tây Ninh</v>
      </c>
      <c r="D8341" s="3" t="s">
        <v>582</v>
      </c>
      <c r="E8341" s="4" t="str">
        <f t="shared" si="727"/>
        <v>Thị xã Trảng Bàng</v>
      </c>
      <c r="F8341" s="3" t="s">
        <v>9101</v>
      </c>
      <c r="G8341" s="4" t="str">
        <f>HYPERLINK("https://diaocthongthai.com/xa-phuoc-binh-trang-bang/","Xã Phước Bình")</f>
        <v>Xã Phước Bình</v>
      </c>
    </row>
    <row r="8342" spans="1:7" x14ac:dyDescent="0.25">
      <c r="A8342" s="2">
        <v>8341</v>
      </c>
      <c r="B8342" s="3" t="s">
        <v>48</v>
      </c>
      <c r="C8342" s="4" t="str">
        <f t="shared" si="724"/>
        <v>Tây Ninh</v>
      </c>
      <c r="D8342" s="3" t="s">
        <v>582</v>
      </c>
      <c r="E8342" s="4" t="str">
        <f t="shared" si="727"/>
        <v>Thị xã Trảng Bàng</v>
      </c>
      <c r="F8342" s="3" t="s">
        <v>9102</v>
      </c>
      <c r="G8342" s="4" t="str">
        <f>HYPERLINK("https://diaocthongthai.com/phuong-an-tinh-trang-bang/","Phường An Tịnh")</f>
        <v>Phường An Tịnh</v>
      </c>
    </row>
    <row r="8343" spans="1:7" x14ac:dyDescent="0.25">
      <c r="A8343" s="2">
        <v>8342</v>
      </c>
      <c r="B8343" s="3" t="s">
        <v>48</v>
      </c>
      <c r="C8343" s="4" t="str">
        <f t="shared" si="724"/>
        <v>Tây Ninh</v>
      </c>
      <c r="D8343" s="3" t="s">
        <v>582</v>
      </c>
      <c r="E8343" s="4" t="str">
        <f t="shared" si="727"/>
        <v>Thị xã Trảng Bàng</v>
      </c>
      <c r="F8343" s="3" t="s">
        <v>9103</v>
      </c>
      <c r="G8343" s="4" t="str">
        <f>HYPERLINK("https://diaocthongthai.com/phuong-an-hoa-trang-bang/","Phường An Hòa")</f>
        <v>Phường An Hòa</v>
      </c>
    </row>
    <row r="8344" spans="1:7" x14ac:dyDescent="0.25">
      <c r="A8344" s="2">
        <v>8343</v>
      </c>
      <c r="B8344" s="3" t="s">
        <v>48</v>
      </c>
      <c r="C8344" s="4" t="str">
        <f t="shared" si="724"/>
        <v>Tây Ninh</v>
      </c>
      <c r="D8344" s="3" t="s">
        <v>582</v>
      </c>
      <c r="E8344" s="4" t="str">
        <f t="shared" si="727"/>
        <v>Thị xã Trảng Bàng</v>
      </c>
      <c r="F8344" s="3" t="s">
        <v>9104</v>
      </c>
      <c r="G8344" s="4" t="str">
        <f>HYPERLINK("https://diaocthongthai.com/xa-phuoc-chi-1-trang-bang/","Xã Phước Chỉ")</f>
        <v>Xã Phước Chỉ</v>
      </c>
    </row>
    <row r="8345" spans="1:7" x14ac:dyDescent="0.25">
      <c r="A8345" s="2">
        <v>8344</v>
      </c>
      <c r="B8345" s="3" t="s">
        <v>49</v>
      </c>
      <c r="C8345" s="4" t="str">
        <f t="shared" ref="C8345:C8376" si="728">HYPERLINK("https://diaocthongthai.com/ban-do-binh-duong/","Bình Dương")</f>
        <v>Bình Dương</v>
      </c>
      <c r="D8345" s="3" t="s">
        <v>583</v>
      </c>
      <c r="E8345" s="4" t="str">
        <f t="shared" ref="E8345:E8358" si="729">HYPERLINK("https://diaocthongthai.com/ban-do-tp-thu-dau-mot-binh-duong/","Thành phố Thủ Dầu Một")</f>
        <v>Thành phố Thủ Dầu Một</v>
      </c>
      <c r="F8345" s="3" t="s">
        <v>9105</v>
      </c>
      <c r="G8345" s="4" t="str">
        <f>HYPERLINK("https://diaocthongthai.com/phuong-hiep-thanh-tp-thu-dau-mot/","Phường Hiệp Thành")</f>
        <v>Phường Hiệp Thành</v>
      </c>
    </row>
    <row r="8346" spans="1:7" x14ac:dyDescent="0.25">
      <c r="A8346" s="2">
        <v>8345</v>
      </c>
      <c r="B8346" s="3" t="s">
        <v>49</v>
      </c>
      <c r="C8346" s="4" t="str">
        <f t="shared" si="728"/>
        <v>Bình Dương</v>
      </c>
      <c r="D8346" s="3" t="s">
        <v>583</v>
      </c>
      <c r="E8346" s="4" t="str">
        <f t="shared" si="729"/>
        <v>Thành phố Thủ Dầu Một</v>
      </c>
      <c r="F8346" s="3" t="s">
        <v>9106</v>
      </c>
      <c r="G8346" s="4" t="str">
        <f>HYPERLINK("https://diaocthongthai.com/phuong-phu-loi-tp-thu-dau-mot/","Phường Phú Lợi")</f>
        <v>Phường Phú Lợi</v>
      </c>
    </row>
    <row r="8347" spans="1:7" x14ac:dyDescent="0.25">
      <c r="A8347" s="2">
        <v>8346</v>
      </c>
      <c r="B8347" s="3" t="s">
        <v>49</v>
      </c>
      <c r="C8347" s="4" t="str">
        <f t="shared" si="728"/>
        <v>Bình Dương</v>
      </c>
      <c r="D8347" s="3" t="s">
        <v>583</v>
      </c>
      <c r="E8347" s="4" t="str">
        <f t="shared" si="729"/>
        <v>Thành phố Thủ Dầu Một</v>
      </c>
      <c r="F8347" s="3" t="s">
        <v>9107</v>
      </c>
      <c r="G8347" s="4" t="str">
        <f>HYPERLINK("https://diaocthongthai.com/phuong-phu-cuong-tp-thu-dau-mot/","Phường Phú Cường")</f>
        <v>Phường Phú Cường</v>
      </c>
    </row>
    <row r="8348" spans="1:7" x14ac:dyDescent="0.25">
      <c r="A8348" s="2">
        <v>8347</v>
      </c>
      <c r="B8348" s="3" t="s">
        <v>49</v>
      </c>
      <c r="C8348" s="4" t="str">
        <f t="shared" si="728"/>
        <v>Bình Dương</v>
      </c>
      <c r="D8348" s="3" t="s">
        <v>583</v>
      </c>
      <c r="E8348" s="4" t="str">
        <f t="shared" si="729"/>
        <v>Thành phố Thủ Dầu Một</v>
      </c>
      <c r="F8348" s="3" t="s">
        <v>9108</v>
      </c>
      <c r="G8348" s="4" t="str">
        <f>HYPERLINK("https://diaocthongthai.com/phuong-phu-hoa-tp-thu-dau-mot/","Phường Phú Hòa")</f>
        <v>Phường Phú Hòa</v>
      </c>
    </row>
    <row r="8349" spans="1:7" x14ac:dyDescent="0.25">
      <c r="A8349" s="2">
        <v>8348</v>
      </c>
      <c r="B8349" s="3" t="s">
        <v>49</v>
      </c>
      <c r="C8349" s="4" t="str">
        <f t="shared" si="728"/>
        <v>Bình Dương</v>
      </c>
      <c r="D8349" s="3" t="s">
        <v>583</v>
      </c>
      <c r="E8349" s="4" t="str">
        <f t="shared" si="729"/>
        <v>Thành phố Thủ Dầu Một</v>
      </c>
      <c r="F8349" s="3" t="s">
        <v>9109</v>
      </c>
      <c r="G8349" s="4" t="str">
        <f>HYPERLINK("https://diaocthongthai.com/phuong-phu-tho-tp-thu-dau-mot/","Phường Phú Thọ")</f>
        <v>Phường Phú Thọ</v>
      </c>
    </row>
    <row r="8350" spans="1:7" x14ac:dyDescent="0.25">
      <c r="A8350" s="2">
        <v>8349</v>
      </c>
      <c r="B8350" s="3" t="s">
        <v>49</v>
      </c>
      <c r="C8350" s="4" t="str">
        <f t="shared" si="728"/>
        <v>Bình Dương</v>
      </c>
      <c r="D8350" s="3" t="s">
        <v>583</v>
      </c>
      <c r="E8350" s="4" t="str">
        <f t="shared" si="729"/>
        <v>Thành phố Thủ Dầu Một</v>
      </c>
      <c r="F8350" s="3" t="s">
        <v>9110</v>
      </c>
      <c r="G8350" s="4" t="str">
        <f>HYPERLINK("https://diaocthongthai.com/phuong-chanh-nghia-tp-thu-dau-mot/","Phường Chánh Nghĩa")</f>
        <v>Phường Chánh Nghĩa</v>
      </c>
    </row>
    <row r="8351" spans="1:7" x14ac:dyDescent="0.25">
      <c r="A8351" s="2">
        <v>8350</v>
      </c>
      <c r="B8351" s="3" t="s">
        <v>49</v>
      </c>
      <c r="C8351" s="4" t="str">
        <f t="shared" si="728"/>
        <v>Bình Dương</v>
      </c>
      <c r="D8351" s="3" t="s">
        <v>583</v>
      </c>
      <c r="E8351" s="4" t="str">
        <f t="shared" si="729"/>
        <v>Thành phố Thủ Dầu Một</v>
      </c>
      <c r="F8351" s="3" t="s">
        <v>9111</v>
      </c>
      <c r="G8351" s="4" t="str">
        <f>HYPERLINK("https://diaocthongthai.com/phuong-dinh-hoa-tp-thu-dau-mot/","Phường Định Hoà")</f>
        <v>Phường Định Hoà</v>
      </c>
    </row>
    <row r="8352" spans="1:7" x14ac:dyDescent="0.25">
      <c r="A8352" s="2">
        <v>8351</v>
      </c>
      <c r="B8352" s="3" t="s">
        <v>49</v>
      </c>
      <c r="C8352" s="4" t="str">
        <f t="shared" si="728"/>
        <v>Bình Dương</v>
      </c>
      <c r="D8352" s="3" t="s">
        <v>583</v>
      </c>
      <c r="E8352" s="4" t="str">
        <f t="shared" si="729"/>
        <v>Thành phố Thủ Dầu Một</v>
      </c>
      <c r="F8352" s="3" t="s">
        <v>9112</v>
      </c>
      <c r="G8352" s="4" t="str">
        <f>HYPERLINK("https://diaocthongthai.com/phuong-hoa-phu-tp-thu-dau-mot/","Phường Hoà Phú")</f>
        <v>Phường Hoà Phú</v>
      </c>
    </row>
    <row r="8353" spans="1:7" x14ac:dyDescent="0.25">
      <c r="A8353" s="2">
        <v>8352</v>
      </c>
      <c r="B8353" s="3" t="s">
        <v>49</v>
      </c>
      <c r="C8353" s="4" t="str">
        <f t="shared" si="728"/>
        <v>Bình Dương</v>
      </c>
      <c r="D8353" s="3" t="s">
        <v>583</v>
      </c>
      <c r="E8353" s="4" t="str">
        <f t="shared" si="729"/>
        <v>Thành phố Thủ Dầu Một</v>
      </c>
      <c r="F8353" s="3" t="s">
        <v>9113</v>
      </c>
      <c r="G8353" s="4" t="str">
        <f>HYPERLINK("https://diaocthongthai.com/phuong-phu-my-tp-thu-dau-mot/","Phường Phú Mỹ")</f>
        <v>Phường Phú Mỹ</v>
      </c>
    </row>
    <row r="8354" spans="1:7" x14ac:dyDescent="0.25">
      <c r="A8354" s="2">
        <v>8353</v>
      </c>
      <c r="B8354" s="3" t="s">
        <v>49</v>
      </c>
      <c r="C8354" s="4" t="str">
        <f t="shared" si="728"/>
        <v>Bình Dương</v>
      </c>
      <c r="D8354" s="3" t="s">
        <v>583</v>
      </c>
      <c r="E8354" s="4" t="str">
        <f t="shared" si="729"/>
        <v>Thành phố Thủ Dầu Một</v>
      </c>
      <c r="F8354" s="3" t="s">
        <v>9114</v>
      </c>
      <c r="G8354" s="4" t="str">
        <f>HYPERLINK("https://diaocthongthai.com/phuong-phu-tan-tp-thu-dau-mot/","Phường Phú Tân")</f>
        <v>Phường Phú Tân</v>
      </c>
    </row>
    <row r="8355" spans="1:7" x14ac:dyDescent="0.25">
      <c r="A8355" s="2">
        <v>8354</v>
      </c>
      <c r="B8355" s="3" t="s">
        <v>49</v>
      </c>
      <c r="C8355" s="4" t="str">
        <f t="shared" si="728"/>
        <v>Bình Dương</v>
      </c>
      <c r="D8355" s="3" t="s">
        <v>583</v>
      </c>
      <c r="E8355" s="4" t="str">
        <f t="shared" si="729"/>
        <v>Thành phố Thủ Dầu Một</v>
      </c>
      <c r="F8355" s="3" t="s">
        <v>9115</v>
      </c>
      <c r="G8355" s="4" t="str">
        <f>HYPERLINK("https://diaocthongthai.com/phuong-tan-an-tp-thu-dau-mot/","Phường Tân An")</f>
        <v>Phường Tân An</v>
      </c>
    </row>
    <row r="8356" spans="1:7" x14ac:dyDescent="0.25">
      <c r="A8356" s="2">
        <v>8355</v>
      </c>
      <c r="B8356" s="3" t="s">
        <v>49</v>
      </c>
      <c r="C8356" s="4" t="str">
        <f t="shared" si="728"/>
        <v>Bình Dương</v>
      </c>
      <c r="D8356" s="3" t="s">
        <v>583</v>
      </c>
      <c r="E8356" s="4" t="str">
        <f t="shared" si="729"/>
        <v>Thành phố Thủ Dầu Một</v>
      </c>
      <c r="F8356" s="3" t="s">
        <v>9116</v>
      </c>
      <c r="G8356" s="4" t="str">
        <f>HYPERLINK("https://diaocthongthai.com/phuong-hiep-an-tp-thu-dau-mot/","Phường Hiệp An")</f>
        <v>Phường Hiệp An</v>
      </c>
    </row>
    <row r="8357" spans="1:7" x14ac:dyDescent="0.25">
      <c r="A8357" s="2">
        <v>8356</v>
      </c>
      <c r="B8357" s="3" t="s">
        <v>49</v>
      </c>
      <c r="C8357" s="4" t="str">
        <f t="shared" si="728"/>
        <v>Bình Dương</v>
      </c>
      <c r="D8357" s="3" t="s">
        <v>583</v>
      </c>
      <c r="E8357" s="4" t="str">
        <f t="shared" si="729"/>
        <v>Thành phố Thủ Dầu Một</v>
      </c>
      <c r="F8357" s="3" t="s">
        <v>9117</v>
      </c>
      <c r="G8357" s="4" t="str">
        <f>HYPERLINK("https://diaocthongthai.com/phuong-tuong-binh-hiep-tp-thu-dau-mot/","Phường Tương Bình Hiệp")</f>
        <v>Phường Tương Bình Hiệp</v>
      </c>
    </row>
    <row r="8358" spans="1:7" x14ac:dyDescent="0.25">
      <c r="A8358" s="2">
        <v>8357</v>
      </c>
      <c r="B8358" s="3" t="s">
        <v>49</v>
      </c>
      <c r="C8358" s="4" t="str">
        <f t="shared" si="728"/>
        <v>Bình Dương</v>
      </c>
      <c r="D8358" s="3" t="s">
        <v>583</v>
      </c>
      <c r="E8358" s="4" t="str">
        <f t="shared" si="729"/>
        <v>Thành phố Thủ Dầu Một</v>
      </c>
      <c r="F8358" s="3" t="s">
        <v>9118</v>
      </c>
      <c r="G8358" s="4" t="str">
        <f>HYPERLINK("https://diaocthongthai.com/phuong-chanh-my-tp-thu-dau-mot/","Phường Chánh Mỹ")</f>
        <v>Phường Chánh Mỹ</v>
      </c>
    </row>
    <row r="8359" spans="1:7" x14ac:dyDescent="0.25">
      <c r="A8359" s="2">
        <v>8358</v>
      </c>
      <c r="B8359" s="3" t="s">
        <v>49</v>
      </c>
      <c r="C8359" s="4" t="str">
        <f t="shared" si="728"/>
        <v>Bình Dương</v>
      </c>
      <c r="D8359" s="3" t="s">
        <v>584</v>
      </c>
      <c r="E8359" s="4" t="str">
        <f t="shared" ref="E8359:E8365" si="730">HYPERLINK("https://diaocthongthai.com/ban-do-huyen-bau-bang-binh-duong/","Huyện Bàu Bàng")</f>
        <v>Huyện Bàu Bàng</v>
      </c>
      <c r="F8359" s="3" t="s">
        <v>9119</v>
      </c>
      <c r="G8359" s="4" t="str">
        <f>HYPERLINK("https://diaocthongthai.com/xa-tru-van-tho-bau-bang/","Xã Trừ Văn Thố")</f>
        <v>Xã Trừ Văn Thố</v>
      </c>
    </row>
    <row r="8360" spans="1:7" x14ac:dyDescent="0.25">
      <c r="A8360" s="2">
        <v>8359</v>
      </c>
      <c r="B8360" s="3" t="s">
        <v>49</v>
      </c>
      <c r="C8360" s="4" t="str">
        <f t="shared" si="728"/>
        <v>Bình Dương</v>
      </c>
      <c r="D8360" s="3" t="s">
        <v>584</v>
      </c>
      <c r="E8360" s="4" t="str">
        <f t="shared" si="730"/>
        <v>Huyện Bàu Bàng</v>
      </c>
      <c r="F8360" s="3" t="s">
        <v>9120</v>
      </c>
      <c r="G8360" s="4" t="str">
        <f>HYPERLINK("https://diaocthongthai.com/xa-cay-truong-ii-bau-bang/","Xã Cây Trường II")</f>
        <v>Xã Cây Trường II</v>
      </c>
    </row>
    <row r="8361" spans="1:7" x14ac:dyDescent="0.25">
      <c r="A8361" s="2">
        <v>8360</v>
      </c>
      <c r="B8361" s="3" t="s">
        <v>49</v>
      </c>
      <c r="C8361" s="4" t="str">
        <f t="shared" si="728"/>
        <v>Bình Dương</v>
      </c>
      <c r="D8361" s="3" t="s">
        <v>584</v>
      </c>
      <c r="E8361" s="4" t="str">
        <f t="shared" si="730"/>
        <v>Huyện Bàu Bàng</v>
      </c>
      <c r="F8361" s="3" t="s">
        <v>9121</v>
      </c>
      <c r="G8361" s="4" t="str">
        <f>HYPERLINK("https://diaocthongthai.com/thi-tran-lai-uyen-bau-bang/","Thị trấn Lai Uyên")</f>
        <v>Thị trấn Lai Uyên</v>
      </c>
    </row>
    <row r="8362" spans="1:7" x14ac:dyDescent="0.25">
      <c r="A8362" s="2">
        <v>8361</v>
      </c>
      <c r="B8362" s="3" t="s">
        <v>49</v>
      </c>
      <c r="C8362" s="4" t="str">
        <f t="shared" si="728"/>
        <v>Bình Dương</v>
      </c>
      <c r="D8362" s="3" t="s">
        <v>584</v>
      </c>
      <c r="E8362" s="4" t="str">
        <f t="shared" si="730"/>
        <v>Huyện Bàu Bàng</v>
      </c>
      <c r="F8362" s="3" t="s">
        <v>9122</v>
      </c>
      <c r="G8362" s="4" t="str">
        <f>HYPERLINK("https://diaocthongthai.com/xa-tan-hung-bau-bang/","Xã Tân Hưng")</f>
        <v>Xã Tân Hưng</v>
      </c>
    </row>
    <row r="8363" spans="1:7" x14ac:dyDescent="0.25">
      <c r="A8363" s="2">
        <v>8362</v>
      </c>
      <c r="B8363" s="3" t="s">
        <v>49</v>
      </c>
      <c r="C8363" s="4" t="str">
        <f t="shared" si="728"/>
        <v>Bình Dương</v>
      </c>
      <c r="D8363" s="3" t="s">
        <v>584</v>
      </c>
      <c r="E8363" s="4" t="str">
        <f t="shared" si="730"/>
        <v>Huyện Bàu Bàng</v>
      </c>
      <c r="F8363" s="3" t="s">
        <v>9123</v>
      </c>
      <c r="G8363" s="4" t="str">
        <f>HYPERLINK("https://diaocthongthai.com/xa-long-nguyen-bau-bang/","Xã Long Nguyên")</f>
        <v>Xã Long Nguyên</v>
      </c>
    </row>
    <row r="8364" spans="1:7" x14ac:dyDescent="0.25">
      <c r="A8364" s="2">
        <v>8363</v>
      </c>
      <c r="B8364" s="3" t="s">
        <v>49</v>
      </c>
      <c r="C8364" s="4" t="str">
        <f t="shared" si="728"/>
        <v>Bình Dương</v>
      </c>
      <c r="D8364" s="3" t="s">
        <v>584</v>
      </c>
      <c r="E8364" s="4" t="str">
        <f t="shared" si="730"/>
        <v>Huyện Bàu Bàng</v>
      </c>
      <c r="F8364" s="3" t="s">
        <v>9124</v>
      </c>
      <c r="G8364" s="4" t="str">
        <f>HYPERLINK("https://diaocthongthai.com/xa-hung-hoa-bau-bang/","Xã Hưng Hòa")</f>
        <v>Xã Hưng Hòa</v>
      </c>
    </row>
    <row r="8365" spans="1:7" x14ac:dyDescent="0.25">
      <c r="A8365" s="2">
        <v>8364</v>
      </c>
      <c r="B8365" s="3" t="s">
        <v>49</v>
      </c>
      <c r="C8365" s="4" t="str">
        <f t="shared" si="728"/>
        <v>Bình Dương</v>
      </c>
      <c r="D8365" s="3" t="s">
        <v>584</v>
      </c>
      <c r="E8365" s="4" t="str">
        <f t="shared" si="730"/>
        <v>Huyện Bàu Bàng</v>
      </c>
      <c r="F8365" s="3" t="s">
        <v>9125</v>
      </c>
      <c r="G8365" s="4" t="str">
        <f>HYPERLINK("https://diaocthongthai.com/xa-lai-hung-bau-bang/","Xã Lai Hưng")</f>
        <v>Xã Lai Hưng</v>
      </c>
    </row>
    <row r="8366" spans="1:7" x14ac:dyDescent="0.25">
      <c r="A8366" s="2">
        <v>8365</v>
      </c>
      <c r="B8366" s="3" t="s">
        <v>49</v>
      </c>
      <c r="C8366" s="4" t="str">
        <f t="shared" si="728"/>
        <v>Bình Dương</v>
      </c>
      <c r="D8366" s="3" t="s">
        <v>585</v>
      </c>
      <c r="E8366" s="4" t="str">
        <f t="shared" ref="E8366:E8377" si="731">HYPERLINK("https://diaocthongthai.com/ban-do-huyen-dau-tieng-binh-duong/","Huyện Dầu Tiếng")</f>
        <v>Huyện Dầu Tiếng</v>
      </c>
      <c r="F8366" s="3" t="s">
        <v>9126</v>
      </c>
      <c r="G8366" s="4" t="str">
        <f>HYPERLINK("https://diaocthongthai.com/thi-tran-dau-tieng-dau-tieng/","Thị trấn Dầu Tiếng")</f>
        <v>Thị trấn Dầu Tiếng</v>
      </c>
    </row>
    <row r="8367" spans="1:7" x14ac:dyDescent="0.25">
      <c r="A8367" s="2">
        <v>8366</v>
      </c>
      <c r="B8367" s="3" t="s">
        <v>49</v>
      </c>
      <c r="C8367" s="4" t="str">
        <f t="shared" si="728"/>
        <v>Bình Dương</v>
      </c>
      <c r="D8367" s="3" t="s">
        <v>585</v>
      </c>
      <c r="E8367" s="4" t="str">
        <f t="shared" si="731"/>
        <v>Huyện Dầu Tiếng</v>
      </c>
      <c r="F8367" s="3" t="s">
        <v>9127</v>
      </c>
      <c r="G8367" s="4" t="str">
        <f>HYPERLINK("https://diaocthongthai.com/xa-minh-hoa-dau-tieng/","Xã Minh Hoà")</f>
        <v>Xã Minh Hoà</v>
      </c>
    </row>
    <row r="8368" spans="1:7" x14ac:dyDescent="0.25">
      <c r="A8368" s="2">
        <v>8367</v>
      </c>
      <c r="B8368" s="3" t="s">
        <v>49</v>
      </c>
      <c r="C8368" s="4" t="str">
        <f t="shared" si="728"/>
        <v>Bình Dương</v>
      </c>
      <c r="D8368" s="3" t="s">
        <v>585</v>
      </c>
      <c r="E8368" s="4" t="str">
        <f t="shared" si="731"/>
        <v>Huyện Dầu Tiếng</v>
      </c>
      <c r="F8368" s="3" t="s">
        <v>9128</v>
      </c>
      <c r="G8368" s="4" t="str">
        <f>HYPERLINK("https://diaocthongthai.com/xa-minh-thanh-dau-tieng/","Xã Minh Thạnh")</f>
        <v>Xã Minh Thạnh</v>
      </c>
    </row>
    <row r="8369" spans="1:7" x14ac:dyDescent="0.25">
      <c r="A8369" s="2">
        <v>8368</v>
      </c>
      <c r="B8369" s="3" t="s">
        <v>49</v>
      </c>
      <c r="C8369" s="4" t="str">
        <f t="shared" si="728"/>
        <v>Bình Dương</v>
      </c>
      <c r="D8369" s="3" t="s">
        <v>585</v>
      </c>
      <c r="E8369" s="4" t="str">
        <f t="shared" si="731"/>
        <v>Huyện Dầu Tiếng</v>
      </c>
      <c r="F8369" s="3" t="s">
        <v>9129</v>
      </c>
      <c r="G8369" s="4" t="str">
        <f>HYPERLINK("https://diaocthongthai.com/xa-minh-tan-dau-tieng/","Xã Minh Tân")</f>
        <v>Xã Minh Tân</v>
      </c>
    </row>
    <row r="8370" spans="1:7" x14ac:dyDescent="0.25">
      <c r="A8370" s="2">
        <v>8369</v>
      </c>
      <c r="B8370" s="3" t="s">
        <v>49</v>
      </c>
      <c r="C8370" s="4" t="str">
        <f t="shared" si="728"/>
        <v>Bình Dương</v>
      </c>
      <c r="D8370" s="3" t="s">
        <v>585</v>
      </c>
      <c r="E8370" s="4" t="str">
        <f t="shared" si="731"/>
        <v>Huyện Dầu Tiếng</v>
      </c>
      <c r="F8370" s="3" t="s">
        <v>9130</v>
      </c>
      <c r="G8370" s="4" t="str">
        <f>HYPERLINK("https://diaocthongthai.com/xa-dinh-an-dau-tieng/","Xã Định An")</f>
        <v>Xã Định An</v>
      </c>
    </row>
    <row r="8371" spans="1:7" x14ac:dyDescent="0.25">
      <c r="A8371" s="2">
        <v>8370</v>
      </c>
      <c r="B8371" s="3" t="s">
        <v>49</v>
      </c>
      <c r="C8371" s="4" t="str">
        <f t="shared" si="728"/>
        <v>Bình Dương</v>
      </c>
      <c r="D8371" s="3" t="s">
        <v>585</v>
      </c>
      <c r="E8371" s="4" t="str">
        <f t="shared" si="731"/>
        <v>Huyện Dầu Tiếng</v>
      </c>
      <c r="F8371" s="3" t="s">
        <v>9131</v>
      </c>
      <c r="G8371" s="4" t="str">
        <f>HYPERLINK("https://diaocthongthai.com/xa-long-hoa-dau-tieng/","Xã Long Hoà")</f>
        <v>Xã Long Hoà</v>
      </c>
    </row>
    <row r="8372" spans="1:7" x14ac:dyDescent="0.25">
      <c r="A8372" s="2">
        <v>8371</v>
      </c>
      <c r="B8372" s="3" t="s">
        <v>49</v>
      </c>
      <c r="C8372" s="4" t="str">
        <f t="shared" si="728"/>
        <v>Bình Dương</v>
      </c>
      <c r="D8372" s="3" t="s">
        <v>585</v>
      </c>
      <c r="E8372" s="4" t="str">
        <f t="shared" si="731"/>
        <v>Huyện Dầu Tiếng</v>
      </c>
      <c r="F8372" s="3" t="s">
        <v>9132</v>
      </c>
      <c r="G8372" s="4" t="str">
        <f>HYPERLINK("https://diaocthongthai.com/xa-dinh-thanh-dau-tieng/","Xã Định Thành")</f>
        <v>Xã Định Thành</v>
      </c>
    </row>
    <row r="8373" spans="1:7" x14ac:dyDescent="0.25">
      <c r="A8373" s="2">
        <v>8372</v>
      </c>
      <c r="B8373" s="3" t="s">
        <v>49</v>
      </c>
      <c r="C8373" s="4" t="str">
        <f t="shared" si="728"/>
        <v>Bình Dương</v>
      </c>
      <c r="D8373" s="3" t="s">
        <v>585</v>
      </c>
      <c r="E8373" s="4" t="str">
        <f t="shared" si="731"/>
        <v>Huyện Dầu Tiếng</v>
      </c>
      <c r="F8373" s="3" t="s">
        <v>9133</v>
      </c>
      <c r="G8373" s="4" t="str">
        <f>HYPERLINK("https://diaocthongthai.com/xa-dinh-hiep-dau-tieng/","Xã Định Hiệp")</f>
        <v>Xã Định Hiệp</v>
      </c>
    </row>
    <row r="8374" spans="1:7" x14ac:dyDescent="0.25">
      <c r="A8374" s="2">
        <v>8373</v>
      </c>
      <c r="B8374" s="3" t="s">
        <v>49</v>
      </c>
      <c r="C8374" s="4" t="str">
        <f t="shared" si="728"/>
        <v>Bình Dương</v>
      </c>
      <c r="D8374" s="3" t="s">
        <v>585</v>
      </c>
      <c r="E8374" s="4" t="str">
        <f t="shared" si="731"/>
        <v>Huyện Dầu Tiếng</v>
      </c>
      <c r="F8374" s="3" t="s">
        <v>9134</v>
      </c>
      <c r="G8374" s="4" t="str">
        <f>HYPERLINK("https://diaocthongthai.com/xa-an-lap-dau-tieng/","Xã An Lập")</f>
        <v>Xã An Lập</v>
      </c>
    </row>
    <row r="8375" spans="1:7" x14ac:dyDescent="0.25">
      <c r="A8375" s="2">
        <v>8374</v>
      </c>
      <c r="B8375" s="3" t="s">
        <v>49</v>
      </c>
      <c r="C8375" s="4" t="str">
        <f t="shared" si="728"/>
        <v>Bình Dương</v>
      </c>
      <c r="D8375" s="3" t="s">
        <v>585</v>
      </c>
      <c r="E8375" s="4" t="str">
        <f t="shared" si="731"/>
        <v>Huyện Dầu Tiếng</v>
      </c>
      <c r="F8375" s="3" t="s">
        <v>9135</v>
      </c>
      <c r="G8375" s="4" t="str">
        <f>HYPERLINK("https://diaocthongthai.com/xa-long-tan-dau-tieng/","Xã Long Tân")</f>
        <v>Xã Long Tân</v>
      </c>
    </row>
    <row r="8376" spans="1:7" x14ac:dyDescent="0.25">
      <c r="A8376" s="2">
        <v>8375</v>
      </c>
      <c r="B8376" s="3" t="s">
        <v>49</v>
      </c>
      <c r="C8376" s="4" t="str">
        <f t="shared" si="728"/>
        <v>Bình Dương</v>
      </c>
      <c r="D8376" s="3" t="s">
        <v>585</v>
      </c>
      <c r="E8376" s="4" t="str">
        <f t="shared" si="731"/>
        <v>Huyện Dầu Tiếng</v>
      </c>
      <c r="F8376" s="3" t="s">
        <v>9136</v>
      </c>
      <c r="G8376" s="4" t="str">
        <f>HYPERLINK("https://diaocthongthai.com/xa-thanh-an-dau-tieng/","Xã Thanh An")</f>
        <v>Xã Thanh An</v>
      </c>
    </row>
    <row r="8377" spans="1:7" x14ac:dyDescent="0.25">
      <c r="A8377" s="2">
        <v>8376</v>
      </c>
      <c r="B8377" s="3" t="s">
        <v>49</v>
      </c>
      <c r="C8377" s="4" t="str">
        <f t="shared" ref="C8377:C8408" si="732">HYPERLINK("https://diaocthongthai.com/ban-do-binh-duong/","Bình Dương")</f>
        <v>Bình Dương</v>
      </c>
      <c r="D8377" s="3" t="s">
        <v>585</v>
      </c>
      <c r="E8377" s="4" t="str">
        <f t="shared" si="731"/>
        <v>Huyện Dầu Tiếng</v>
      </c>
      <c r="F8377" s="3" t="s">
        <v>9137</v>
      </c>
      <c r="G8377" s="4" t="str">
        <f>HYPERLINK("https://diaocthongthai.com/xa-thanh-tuyen-dau-tieng/","Xã Thanh Tuyền")</f>
        <v>Xã Thanh Tuyền</v>
      </c>
    </row>
    <row r="8378" spans="1:7" x14ac:dyDescent="0.25">
      <c r="A8378" s="2">
        <v>8377</v>
      </c>
      <c r="B8378" s="3" t="s">
        <v>49</v>
      </c>
      <c r="C8378" s="4" t="str">
        <f t="shared" si="732"/>
        <v>Bình Dương</v>
      </c>
      <c r="D8378" s="3" t="s">
        <v>586</v>
      </c>
      <c r="E8378" s="4" t="str">
        <f t="shared" ref="E8378:E8385" si="733">HYPERLINK("https://diaocthongthai.com/ban-do-thi-xa-ben-cat-binh-duong/","Thị xã Bến Cát")</f>
        <v>Thị xã Bến Cát</v>
      </c>
      <c r="F8378" s="3" t="s">
        <v>9138</v>
      </c>
      <c r="G8378" s="4" t="str">
        <f>HYPERLINK("https://diaocthongthai.com/phuong-my-phuoc-ben-cat/","Phường Mỹ Phước")</f>
        <v>Phường Mỹ Phước</v>
      </c>
    </row>
    <row r="8379" spans="1:7" x14ac:dyDescent="0.25">
      <c r="A8379" s="2">
        <v>8378</v>
      </c>
      <c r="B8379" s="3" t="s">
        <v>49</v>
      </c>
      <c r="C8379" s="4" t="str">
        <f t="shared" si="732"/>
        <v>Bình Dương</v>
      </c>
      <c r="D8379" s="3" t="s">
        <v>586</v>
      </c>
      <c r="E8379" s="4" t="str">
        <f t="shared" si="733"/>
        <v>Thị xã Bến Cát</v>
      </c>
      <c r="F8379" s="3" t="s">
        <v>9139</v>
      </c>
      <c r="G8379" s="4" t="str">
        <f>HYPERLINK("https://diaocthongthai.com/phuong-chanh-phu-hoa-ben-cat/","Phường Chánh Phú Hòa")</f>
        <v>Phường Chánh Phú Hòa</v>
      </c>
    </row>
    <row r="8380" spans="1:7" x14ac:dyDescent="0.25">
      <c r="A8380" s="2">
        <v>8379</v>
      </c>
      <c r="B8380" s="3" t="s">
        <v>49</v>
      </c>
      <c r="C8380" s="4" t="str">
        <f t="shared" si="732"/>
        <v>Bình Dương</v>
      </c>
      <c r="D8380" s="3" t="s">
        <v>586</v>
      </c>
      <c r="E8380" s="4" t="str">
        <f t="shared" si="733"/>
        <v>Thị xã Bến Cát</v>
      </c>
      <c r="F8380" s="3" t="s">
        <v>9140</v>
      </c>
      <c r="G8380" s="4" t="str">
        <f>HYPERLINK("https://diaocthongthai.com/xa-an-dien-ben-cat/","Xã An Điền")</f>
        <v>Xã An Điền</v>
      </c>
    </row>
    <row r="8381" spans="1:7" x14ac:dyDescent="0.25">
      <c r="A8381" s="2">
        <v>8380</v>
      </c>
      <c r="B8381" s="3" t="s">
        <v>49</v>
      </c>
      <c r="C8381" s="4" t="str">
        <f t="shared" si="732"/>
        <v>Bình Dương</v>
      </c>
      <c r="D8381" s="3" t="s">
        <v>586</v>
      </c>
      <c r="E8381" s="4" t="str">
        <f t="shared" si="733"/>
        <v>Thị xã Bến Cát</v>
      </c>
      <c r="F8381" s="3" t="s">
        <v>9141</v>
      </c>
      <c r="G8381" s="4" t="str">
        <f>HYPERLINK("https://diaocthongthai.com/xa-an-tay-ben-cat/","Xã An Tây")</f>
        <v>Xã An Tây</v>
      </c>
    </row>
    <row r="8382" spans="1:7" x14ac:dyDescent="0.25">
      <c r="A8382" s="2">
        <v>8381</v>
      </c>
      <c r="B8382" s="3" t="s">
        <v>49</v>
      </c>
      <c r="C8382" s="4" t="str">
        <f t="shared" si="732"/>
        <v>Bình Dương</v>
      </c>
      <c r="D8382" s="3" t="s">
        <v>586</v>
      </c>
      <c r="E8382" s="4" t="str">
        <f t="shared" si="733"/>
        <v>Thị xã Bến Cát</v>
      </c>
      <c r="F8382" s="3" t="s">
        <v>9142</v>
      </c>
      <c r="G8382" s="4" t="str">
        <f>HYPERLINK("https://diaocthongthai.com/phuong-thoi-hoa-ben-cat/","Phường Thới Hòa")</f>
        <v>Phường Thới Hòa</v>
      </c>
    </row>
    <row r="8383" spans="1:7" x14ac:dyDescent="0.25">
      <c r="A8383" s="2">
        <v>8382</v>
      </c>
      <c r="B8383" s="3" t="s">
        <v>49</v>
      </c>
      <c r="C8383" s="4" t="str">
        <f t="shared" si="732"/>
        <v>Bình Dương</v>
      </c>
      <c r="D8383" s="3" t="s">
        <v>586</v>
      </c>
      <c r="E8383" s="4" t="str">
        <f t="shared" si="733"/>
        <v>Thị xã Bến Cát</v>
      </c>
      <c r="F8383" s="3" t="s">
        <v>9143</v>
      </c>
      <c r="G8383" s="4" t="str">
        <f>HYPERLINK("https://diaocthongthai.com/phuong-hoa-loi-ben-cat/","Phường Hòa Lợi")</f>
        <v>Phường Hòa Lợi</v>
      </c>
    </row>
    <row r="8384" spans="1:7" x14ac:dyDescent="0.25">
      <c r="A8384" s="2">
        <v>8383</v>
      </c>
      <c r="B8384" s="3" t="s">
        <v>49</v>
      </c>
      <c r="C8384" s="4" t="str">
        <f t="shared" si="732"/>
        <v>Bình Dương</v>
      </c>
      <c r="D8384" s="3" t="s">
        <v>586</v>
      </c>
      <c r="E8384" s="4" t="str">
        <f t="shared" si="733"/>
        <v>Thị xã Bến Cát</v>
      </c>
      <c r="F8384" s="3" t="s">
        <v>9144</v>
      </c>
      <c r="G8384" s="4" t="str">
        <f>HYPERLINK("https://diaocthongthai.com/phuong-tan-dinh-ben-cat/","Phường Tân Định")</f>
        <v>Phường Tân Định</v>
      </c>
    </row>
    <row r="8385" spans="1:7" x14ac:dyDescent="0.25">
      <c r="A8385" s="2">
        <v>8384</v>
      </c>
      <c r="B8385" s="3" t="s">
        <v>49</v>
      </c>
      <c r="C8385" s="4" t="str">
        <f t="shared" si="732"/>
        <v>Bình Dương</v>
      </c>
      <c r="D8385" s="3" t="s">
        <v>586</v>
      </c>
      <c r="E8385" s="4" t="str">
        <f t="shared" si="733"/>
        <v>Thị xã Bến Cát</v>
      </c>
      <c r="F8385" s="3" t="s">
        <v>9145</v>
      </c>
      <c r="G8385" s="4" t="str">
        <f>HYPERLINK("https://diaocthongthai.com/xa-phu-an-ben-cat/","Xã Phú An")</f>
        <v>Xã Phú An</v>
      </c>
    </row>
    <row r="8386" spans="1:7" x14ac:dyDescent="0.25">
      <c r="A8386" s="2">
        <v>8385</v>
      </c>
      <c r="B8386" s="3" t="s">
        <v>49</v>
      </c>
      <c r="C8386" s="4" t="str">
        <f t="shared" si="732"/>
        <v>Bình Dương</v>
      </c>
      <c r="D8386" s="3" t="s">
        <v>587</v>
      </c>
      <c r="E8386" s="4" t="str">
        <f t="shared" ref="E8386:E8396" si="734">HYPERLINK("https://diaocthongthai.com/ban-do-huyen-phu-giao-binh-duong/","Huyện Phú Giáo")</f>
        <v>Huyện Phú Giáo</v>
      </c>
      <c r="F8386" s="3" t="s">
        <v>9146</v>
      </c>
      <c r="G8386" s="4" t="str">
        <f>HYPERLINK("https://diaocthongthai.com/thi-tran-phuoc-vinh-phu-giao/","Thị trấn Phước Vĩnh")</f>
        <v>Thị trấn Phước Vĩnh</v>
      </c>
    </row>
    <row r="8387" spans="1:7" x14ac:dyDescent="0.25">
      <c r="A8387" s="2">
        <v>8386</v>
      </c>
      <c r="B8387" s="3" t="s">
        <v>49</v>
      </c>
      <c r="C8387" s="4" t="str">
        <f t="shared" si="732"/>
        <v>Bình Dương</v>
      </c>
      <c r="D8387" s="3" t="s">
        <v>587</v>
      </c>
      <c r="E8387" s="4" t="str">
        <f t="shared" si="734"/>
        <v>Huyện Phú Giáo</v>
      </c>
      <c r="F8387" s="3" t="s">
        <v>9147</v>
      </c>
      <c r="G8387" s="4" t="str">
        <f>HYPERLINK("https://diaocthongthai.com/xa-an-linh-phu-giao/","Xã An Linh")</f>
        <v>Xã An Linh</v>
      </c>
    </row>
    <row r="8388" spans="1:7" x14ac:dyDescent="0.25">
      <c r="A8388" s="2">
        <v>8387</v>
      </c>
      <c r="B8388" s="3" t="s">
        <v>49</v>
      </c>
      <c r="C8388" s="4" t="str">
        <f t="shared" si="732"/>
        <v>Bình Dương</v>
      </c>
      <c r="D8388" s="3" t="s">
        <v>587</v>
      </c>
      <c r="E8388" s="4" t="str">
        <f t="shared" si="734"/>
        <v>Huyện Phú Giáo</v>
      </c>
      <c r="F8388" s="3" t="s">
        <v>9148</v>
      </c>
      <c r="G8388" s="4" t="str">
        <f>HYPERLINK("https://diaocthongthai.com/xa-phuoc-sang-phu-giao/","Xã Phước Sang")</f>
        <v>Xã Phước Sang</v>
      </c>
    </row>
    <row r="8389" spans="1:7" x14ac:dyDescent="0.25">
      <c r="A8389" s="2">
        <v>8388</v>
      </c>
      <c r="B8389" s="3" t="s">
        <v>49</v>
      </c>
      <c r="C8389" s="4" t="str">
        <f t="shared" si="732"/>
        <v>Bình Dương</v>
      </c>
      <c r="D8389" s="3" t="s">
        <v>587</v>
      </c>
      <c r="E8389" s="4" t="str">
        <f t="shared" si="734"/>
        <v>Huyện Phú Giáo</v>
      </c>
      <c r="F8389" s="3" t="s">
        <v>9149</v>
      </c>
      <c r="G8389" s="4" t="str">
        <f>HYPERLINK("https://diaocthongthai.com/xa-an-thai-phu-giao/","Xã An Thái")</f>
        <v>Xã An Thái</v>
      </c>
    </row>
    <row r="8390" spans="1:7" x14ac:dyDescent="0.25">
      <c r="A8390" s="2">
        <v>8389</v>
      </c>
      <c r="B8390" s="3" t="s">
        <v>49</v>
      </c>
      <c r="C8390" s="4" t="str">
        <f t="shared" si="732"/>
        <v>Bình Dương</v>
      </c>
      <c r="D8390" s="3" t="s">
        <v>587</v>
      </c>
      <c r="E8390" s="4" t="str">
        <f t="shared" si="734"/>
        <v>Huyện Phú Giáo</v>
      </c>
      <c r="F8390" s="3" t="s">
        <v>9150</v>
      </c>
      <c r="G8390" s="4" t="str">
        <f>HYPERLINK("https://diaocthongthai.com/xa-an-long-phu-giao/","Xã An Long")</f>
        <v>Xã An Long</v>
      </c>
    </row>
    <row r="8391" spans="1:7" x14ac:dyDescent="0.25">
      <c r="A8391" s="2">
        <v>8390</v>
      </c>
      <c r="B8391" s="3" t="s">
        <v>49</v>
      </c>
      <c r="C8391" s="4" t="str">
        <f t="shared" si="732"/>
        <v>Bình Dương</v>
      </c>
      <c r="D8391" s="3" t="s">
        <v>587</v>
      </c>
      <c r="E8391" s="4" t="str">
        <f t="shared" si="734"/>
        <v>Huyện Phú Giáo</v>
      </c>
      <c r="F8391" s="3" t="s">
        <v>9151</v>
      </c>
      <c r="G8391" s="4" t="str">
        <f>HYPERLINK("https://diaocthongthai.com/xa-an-binh-phu-giao/","Xã An Bình")</f>
        <v>Xã An Bình</v>
      </c>
    </row>
    <row r="8392" spans="1:7" x14ac:dyDescent="0.25">
      <c r="A8392" s="2">
        <v>8391</v>
      </c>
      <c r="B8392" s="3" t="s">
        <v>49</v>
      </c>
      <c r="C8392" s="4" t="str">
        <f t="shared" si="732"/>
        <v>Bình Dương</v>
      </c>
      <c r="D8392" s="3" t="s">
        <v>587</v>
      </c>
      <c r="E8392" s="4" t="str">
        <f t="shared" si="734"/>
        <v>Huyện Phú Giáo</v>
      </c>
      <c r="F8392" s="3" t="s">
        <v>9152</v>
      </c>
      <c r="G8392" s="4" t="str">
        <f>HYPERLINK("https://diaocthongthai.com/xa-tan-hiep-phu-giao/","Xã Tân Hiệp")</f>
        <v>Xã Tân Hiệp</v>
      </c>
    </row>
    <row r="8393" spans="1:7" x14ac:dyDescent="0.25">
      <c r="A8393" s="2">
        <v>8392</v>
      </c>
      <c r="B8393" s="3" t="s">
        <v>49</v>
      </c>
      <c r="C8393" s="4" t="str">
        <f t="shared" si="732"/>
        <v>Bình Dương</v>
      </c>
      <c r="D8393" s="3" t="s">
        <v>587</v>
      </c>
      <c r="E8393" s="4" t="str">
        <f t="shared" si="734"/>
        <v>Huyện Phú Giáo</v>
      </c>
      <c r="F8393" s="3" t="s">
        <v>9153</v>
      </c>
      <c r="G8393" s="4" t="str">
        <f>HYPERLINK("https://diaocthongthai.com/xa-tam-lap-phu-giao/","Xã Tam Lập")</f>
        <v>Xã Tam Lập</v>
      </c>
    </row>
    <row r="8394" spans="1:7" x14ac:dyDescent="0.25">
      <c r="A8394" s="2">
        <v>8393</v>
      </c>
      <c r="B8394" s="3" t="s">
        <v>49</v>
      </c>
      <c r="C8394" s="4" t="str">
        <f t="shared" si="732"/>
        <v>Bình Dương</v>
      </c>
      <c r="D8394" s="3" t="s">
        <v>587</v>
      </c>
      <c r="E8394" s="4" t="str">
        <f t="shared" si="734"/>
        <v>Huyện Phú Giáo</v>
      </c>
      <c r="F8394" s="3" t="s">
        <v>9154</v>
      </c>
      <c r="G8394" s="4" t="str">
        <f>HYPERLINK("https://diaocthongthai.com/xa-tan-long-phu-giao/","Xã Tân Long")</f>
        <v>Xã Tân Long</v>
      </c>
    </row>
    <row r="8395" spans="1:7" x14ac:dyDescent="0.25">
      <c r="A8395" s="2">
        <v>8394</v>
      </c>
      <c r="B8395" s="3" t="s">
        <v>49</v>
      </c>
      <c r="C8395" s="4" t="str">
        <f t="shared" si="732"/>
        <v>Bình Dương</v>
      </c>
      <c r="D8395" s="3" t="s">
        <v>587</v>
      </c>
      <c r="E8395" s="4" t="str">
        <f t="shared" si="734"/>
        <v>Huyện Phú Giáo</v>
      </c>
      <c r="F8395" s="3" t="s">
        <v>9155</v>
      </c>
      <c r="G8395" s="4" t="str">
        <f>HYPERLINK("https://diaocthongthai.com/xa-vinh-hoa-phu-giao/","Xã Vĩnh Hoà")</f>
        <v>Xã Vĩnh Hoà</v>
      </c>
    </row>
    <row r="8396" spans="1:7" x14ac:dyDescent="0.25">
      <c r="A8396" s="2">
        <v>8395</v>
      </c>
      <c r="B8396" s="3" t="s">
        <v>49</v>
      </c>
      <c r="C8396" s="4" t="str">
        <f t="shared" si="732"/>
        <v>Bình Dương</v>
      </c>
      <c r="D8396" s="3" t="s">
        <v>587</v>
      </c>
      <c r="E8396" s="4" t="str">
        <f t="shared" si="734"/>
        <v>Huyện Phú Giáo</v>
      </c>
      <c r="F8396" s="3" t="s">
        <v>9156</v>
      </c>
      <c r="G8396" s="4" t="str">
        <f>HYPERLINK("https://diaocthongthai.com/xa-phuoc-hoa-phu-giao/","Xã Phước Hoà")</f>
        <v>Xã Phước Hoà</v>
      </c>
    </row>
    <row r="8397" spans="1:7" x14ac:dyDescent="0.25">
      <c r="A8397" s="2">
        <v>8396</v>
      </c>
      <c r="B8397" s="3" t="s">
        <v>49</v>
      </c>
      <c r="C8397" s="4" t="str">
        <f t="shared" si="732"/>
        <v>Bình Dương</v>
      </c>
      <c r="D8397" s="3" t="s">
        <v>588</v>
      </c>
      <c r="E8397" s="4" t="str">
        <f t="shared" ref="E8397:E8408" si="735">HYPERLINK("https://diaocthongthai.com/ban-do-thi-xa-tan-uyen-binh-duong/","Thị xã Tân Uyên")</f>
        <v>Thị xã Tân Uyên</v>
      </c>
      <c r="F8397" s="3" t="s">
        <v>9157</v>
      </c>
      <c r="G8397" s="4" t="str">
        <f>HYPERLINK("https://diaocthongthai.com/phuong-uyen-hung-tan-uyen-binh-duong/","Phường Uyên Hưng")</f>
        <v>Phường Uyên Hưng</v>
      </c>
    </row>
    <row r="8398" spans="1:7" x14ac:dyDescent="0.25">
      <c r="A8398" s="2">
        <v>8397</v>
      </c>
      <c r="B8398" s="3" t="s">
        <v>49</v>
      </c>
      <c r="C8398" s="4" t="str">
        <f t="shared" si="732"/>
        <v>Bình Dương</v>
      </c>
      <c r="D8398" s="3" t="s">
        <v>588</v>
      </c>
      <c r="E8398" s="4" t="str">
        <f t="shared" si="735"/>
        <v>Thị xã Tân Uyên</v>
      </c>
      <c r="F8398" s="3" t="s">
        <v>9158</v>
      </c>
      <c r="G8398" s="4" t="str">
        <f>HYPERLINK("https://diaocthongthai.com/phuong-tan-phuoc-khanh-tan-uyen-binh-duong/","Phường Tân Phước Khánh")</f>
        <v>Phường Tân Phước Khánh</v>
      </c>
    </row>
    <row r="8399" spans="1:7" x14ac:dyDescent="0.25">
      <c r="A8399" s="2">
        <v>8398</v>
      </c>
      <c r="B8399" s="3" t="s">
        <v>49</v>
      </c>
      <c r="C8399" s="4" t="str">
        <f t="shared" si="732"/>
        <v>Bình Dương</v>
      </c>
      <c r="D8399" s="3" t="s">
        <v>588</v>
      </c>
      <c r="E8399" s="4" t="str">
        <f t="shared" si="735"/>
        <v>Thị xã Tân Uyên</v>
      </c>
      <c r="F8399" s="3" t="s">
        <v>9159</v>
      </c>
      <c r="G8399" s="4" t="str">
        <f>HYPERLINK("https://diaocthongthai.com/phuong-vinh-tan-tan-uyen-binh-duong/","Phường Vĩnh Tân")</f>
        <v>Phường Vĩnh Tân</v>
      </c>
    </row>
    <row r="8400" spans="1:7" x14ac:dyDescent="0.25">
      <c r="A8400" s="2">
        <v>8399</v>
      </c>
      <c r="B8400" s="3" t="s">
        <v>49</v>
      </c>
      <c r="C8400" s="4" t="str">
        <f t="shared" si="732"/>
        <v>Bình Dương</v>
      </c>
      <c r="D8400" s="3" t="s">
        <v>588</v>
      </c>
      <c r="E8400" s="4" t="str">
        <f t="shared" si="735"/>
        <v>Thị xã Tân Uyên</v>
      </c>
      <c r="F8400" s="3" t="s">
        <v>9160</v>
      </c>
      <c r="G8400" s="4" t="str">
        <f>HYPERLINK("https://diaocthongthai.com/phuong-hoi-nghia-tan-uyen-binh-duong/","Phường Hội Nghĩa")</f>
        <v>Phường Hội Nghĩa</v>
      </c>
    </row>
    <row r="8401" spans="1:7" x14ac:dyDescent="0.25">
      <c r="A8401" s="2">
        <v>8400</v>
      </c>
      <c r="B8401" s="3" t="s">
        <v>49</v>
      </c>
      <c r="C8401" s="4" t="str">
        <f t="shared" si="732"/>
        <v>Bình Dương</v>
      </c>
      <c r="D8401" s="3" t="s">
        <v>588</v>
      </c>
      <c r="E8401" s="4" t="str">
        <f t="shared" si="735"/>
        <v>Thị xã Tân Uyên</v>
      </c>
      <c r="F8401" s="3" t="s">
        <v>9161</v>
      </c>
      <c r="G8401" s="4" t="str">
        <f>HYPERLINK("https://diaocthongthai.com/phuong-tan-hiep-tan-uyen-binh-duong/","Phường Tân Hiệp")</f>
        <v>Phường Tân Hiệp</v>
      </c>
    </row>
    <row r="8402" spans="1:7" x14ac:dyDescent="0.25">
      <c r="A8402" s="2">
        <v>8401</v>
      </c>
      <c r="B8402" s="3" t="s">
        <v>49</v>
      </c>
      <c r="C8402" s="4" t="str">
        <f t="shared" si="732"/>
        <v>Bình Dương</v>
      </c>
      <c r="D8402" s="3" t="s">
        <v>588</v>
      </c>
      <c r="E8402" s="4" t="str">
        <f t="shared" si="735"/>
        <v>Thị xã Tân Uyên</v>
      </c>
      <c r="F8402" s="3" t="s">
        <v>9162</v>
      </c>
      <c r="G8402" s="4" t="str">
        <f>HYPERLINK("https://diaocthongthai.com/phuong-khanh-binh-tan-uyen-binh-duong/","Phường Khánh Bình")</f>
        <v>Phường Khánh Bình</v>
      </c>
    </row>
    <row r="8403" spans="1:7" x14ac:dyDescent="0.25">
      <c r="A8403" s="2">
        <v>8402</v>
      </c>
      <c r="B8403" s="3" t="s">
        <v>49</v>
      </c>
      <c r="C8403" s="4" t="str">
        <f t="shared" si="732"/>
        <v>Bình Dương</v>
      </c>
      <c r="D8403" s="3" t="s">
        <v>588</v>
      </c>
      <c r="E8403" s="4" t="str">
        <f t="shared" si="735"/>
        <v>Thị xã Tân Uyên</v>
      </c>
      <c r="F8403" s="3" t="s">
        <v>9163</v>
      </c>
      <c r="G8403" s="4" t="str">
        <f>HYPERLINK("https://diaocthongthai.com/phuong-phu-chanh-tan-uyen-binh-duong/","Phường Phú Chánh")</f>
        <v>Phường Phú Chánh</v>
      </c>
    </row>
    <row r="8404" spans="1:7" x14ac:dyDescent="0.25">
      <c r="A8404" s="2">
        <v>8403</v>
      </c>
      <c r="B8404" s="3" t="s">
        <v>49</v>
      </c>
      <c r="C8404" s="4" t="str">
        <f t="shared" si="732"/>
        <v>Bình Dương</v>
      </c>
      <c r="D8404" s="3" t="s">
        <v>588</v>
      </c>
      <c r="E8404" s="4" t="str">
        <f t="shared" si="735"/>
        <v>Thị xã Tân Uyên</v>
      </c>
      <c r="F8404" s="3" t="s">
        <v>9164</v>
      </c>
      <c r="G8404" s="4" t="str">
        <f>HYPERLINK("https://diaocthongthai.com/xa-bach-dang-tan-uyen-binh-duong/","Xã Bạch Đằng")</f>
        <v>Xã Bạch Đằng</v>
      </c>
    </row>
    <row r="8405" spans="1:7" x14ac:dyDescent="0.25">
      <c r="A8405" s="2">
        <v>8404</v>
      </c>
      <c r="B8405" s="3" t="s">
        <v>49</v>
      </c>
      <c r="C8405" s="4" t="str">
        <f t="shared" si="732"/>
        <v>Bình Dương</v>
      </c>
      <c r="D8405" s="3" t="s">
        <v>588</v>
      </c>
      <c r="E8405" s="4" t="str">
        <f t="shared" si="735"/>
        <v>Thị xã Tân Uyên</v>
      </c>
      <c r="F8405" s="3" t="s">
        <v>9165</v>
      </c>
      <c r="G8405" s="4" t="str">
        <f>HYPERLINK("https://diaocthongthai.com/phuong-tan-vinh-hiep-tan-uyen-binh-duong/","Phường Tân Vĩnh Hiệp")</f>
        <v>Phường Tân Vĩnh Hiệp</v>
      </c>
    </row>
    <row r="8406" spans="1:7" x14ac:dyDescent="0.25">
      <c r="A8406" s="2">
        <v>8405</v>
      </c>
      <c r="B8406" s="3" t="s">
        <v>49</v>
      </c>
      <c r="C8406" s="4" t="str">
        <f t="shared" si="732"/>
        <v>Bình Dương</v>
      </c>
      <c r="D8406" s="3" t="s">
        <v>588</v>
      </c>
      <c r="E8406" s="4" t="str">
        <f t="shared" si="735"/>
        <v>Thị xã Tân Uyên</v>
      </c>
      <c r="F8406" s="3" t="s">
        <v>9166</v>
      </c>
      <c r="G8406" s="4" t="str">
        <f>HYPERLINK("https://diaocthongthai.com/phuong-thanh-phuoc-tan-uyen-binh-duong/","Phường Thạnh Phước")</f>
        <v>Phường Thạnh Phước</v>
      </c>
    </row>
    <row r="8407" spans="1:7" x14ac:dyDescent="0.25">
      <c r="A8407" s="2">
        <v>8406</v>
      </c>
      <c r="B8407" s="3" t="s">
        <v>49</v>
      </c>
      <c r="C8407" s="4" t="str">
        <f t="shared" si="732"/>
        <v>Bình Dương</v>
      </c>
      <c r="D8407" s="3" t="s">
        <v>588</v>
      </c>
      <c r="E8407" s="4" t="str">
        <f t="shared" si="735"/>
        <v>Thị xã Tân Uyên</v>
      </c>
      <c r="F8407" s="3" t="s">
        <v>9167</v>
      </c>
      <c r="G8407" s="4" t="str">
        <f>HYPERLINK("https://diaocthongthai.com/xa-thanh-hoi-tan-uyen-binh-duong/","Xã Thạnh Hội")</f>
        <v>Xã Thạnh Hội</v>
      </c>
    </row>
    <row r="8408" spans="1:7" x14ac:dyDescent="0.25">
      <c r="A8408" s="2">
        <v>8407</v>
      </c>
      <c r="B8408" s="3" t="s">
        <v>49</v>
      </c>
      <c r="C8408" s="4" t="str">
        <f t="shared" si="732"/>
        <v>Bình Dương</v>
      </c>
      <c r="D8408" s="3" t="s">
        <v>588</v>
      </c>
      <c r="E8408" s="4" t="str">
        <f t="shared" si="735"/>
        <v>Thị xã Tân Uyên</v>
      </c>
      <c r="F8408" s="3" t="s">
        <v>9168</v>
      </c>
      <c r="G8408" s="4" t="str">
        <f>HYPERLINK("https://diaocthongthai.com/phuong-thai-hoa-tan-uyen-binh-duong/","Phường Thái Hòa")</f>
        <v>Phường Thái Hòa</v>
      </c>
    </row>
    <row r="8409" spans="1:7" x14ac:dyDescent="0.25">
      <c r="A8409" s="2">
        <v>8408</v>
      </c>
      <c r="B8409" s="3" t="s">
        <v>49</v>
      </c>
      <c r="C8409" s="4" t="str">
        <f t="shared" ref="C8409:C8435" si="736">HYPERLINK("https://diaocthongthai.com/ban-do-binh-duong/","Bình Dương")</f>
        <v>Bình Dương</v>
      </c>
      <c r="D8409" s="3" t="s">
        <v>589</v>
      </c>
      <c r="E8409" s="4" t="str">
        <f t="shared" ref="E8409:E8415" si="737">HYPERLINK("https://diaocthongthai.com/ban-do-thi-xa-di-an-binh-duong/","Thành phố Dĩ An")</f>
        <v>Thành phố Dĩ An</v>
      </c>
      <c r="F8409" s="3" t="s">
        <v>9169</v>
      </c>
      <c r="G8409" s="4" t="str">
        <f>HYPERLINK("https://diaocthongthai.com/phuong-di-an-tp-di-an/","Phường Dĩ An")</f>
        <v>Phường Dĩ An</v>
      </c>
    </row>
    <row r="8410" spans="1:7" x14ac:dyDescent="0.25">
      <c r="A8410" s="2">
        <v>8409</v>
      </c>
      <c r="B8410" s="3" t="s">
        <v>49</v>
      </c>
      <c r="C8410" s="4" t="str">
        <f t="shared" si="736"/>
        <v>Bình Dương</v>
      </c>
      <c r="D8410" s="3" t="s">
        <v>589</v>
      </c>
      <c r="E8410" s="4" t="str">
        <f t="shared" si="737"/>
        <v>Thành phố Dĩ An</v>
      </c>
      <c r="F8410" s="3" t="s">
        <v>9170</v>
      </c>
      <c r="G8410" s="4" t="str">
        <f>HYPERLINK("https://diaocthongthai.com/phuong-tan-binh-tp-di-an/","Phường Tân Bình")</f>
        <v>Phường Tân Bình</v>
      </c>
    </row>
    <row r="8411" spans="1:7" x14ac:dyDescent="0.25">
      <c r="A8411" s="2">
        <v>8410</v>
      </c>
      <c r="B8411" s="3" t="s">
        <v>49</v>
      </c>
      <c r="C8411" s="4" t="str">
        <f t="shared" si="736"/>
        <v>Bình Dương</v>
      </c>
      <c r="D8411" s="3" t="s">
        <v>589</v>
      </c>
      <c r="E8411" s="4" t="str">
        <f t="shared" si="737"/>
        <v>Thành phố Dĩ An</v>
      </c>
      <c r="F8411" s="3" t="s">
        <v>9171</v>
      </c>
      <c r="G8411" s="4" t="str">
        <f>HYPERLINK("https://diaocthongthai.com/phuong-tan-dong-hiep-tp-di-an/","Phường Tân Đông Hiệp")</f>
        <v>Phường Tân Đông Hiệp</v>
      </c>
    </row>
    <row r="8412" spans="1:7" x14ac:dyDescent="0.25">
      <c r="A8412" s="2">
        <v>8411</v>
      </c>
      <c r="B8412" s="3" t="s">
        <v>49</v>
      </c>
      <c r="C8412" s="4" t="str">
        <f t="shared" si="736"/>
        <v>Bình Dương</v>
      </c>
      <c r="D8412" s="3" t="s">
        <v>589</v>
      </c>
      <c r="E8412" s="4" t="str">
        <f t="shared" si="737"/>
        <v>Thành phố Dĩ An</v>
      </c>
      <c r="F8412" s="3" t="s">
        <v>9172</v>
      </c>
      <c r="G8412" s="4" t="str">
        <f>HYPERLINK("https://diaocthongthai.com/phuong-binh-an-tp-di-an/","Phường Bình An")</f>
        <v>Phường Bình An</v>
      </c>
    </row>
    <row r="8413" spans="1:7" x14ac:dyDescent="0.25">
      <c r="A8413" s="2">
        <v>8412</v>
      </c>
      <c r="B8413" s="3" t="s">
        <v>49</v>
      </c>
      <c r="C8413" s="4" t="str">
        <f t="shared" si="736"/>
        <v>Bình Dương</v>
      </c>
      <c r="D8413" s="3" t="s">
        <v>589</v>
      </c>
      <c r="E8413" s="4" t="str">
        <f t="shared" si="737"/>
        <v>Thành phố Dĩ An</v>
      </c>
      <c r="F8413" s="3" t="s">
        <v>9173</v>
      </c>
      <c r="G8413" s="4" t="str">
        <f>HYPERLINK("https://diaocthongthai.com/phuong-binh-thang-tp-di-an/","Phường Bình Thắng")</f>
        <v>Phường Bình Thắng</v>
      </c>
    </row>
    <row r="8414" spans="1:7" x14ac:dyDescent="0.25">
      <c r="A8414" s="2">
        <v>8413</v>
      </c>
      <c r="B8414" s="3" t="s">
        <v>49</v>
      </c>
      <c r="C8414" s="4" t="str">
        <f t="shared" si="736"/>
        <v>Bình Dương</v>
      </c>
      <c r="D8414" s="3" t="s">
        <v>589</v>
      </c>
      <c r="E8414" s="4" t="str">
        <f t="shared" si="737"/>
        <v>Thành phố Dĩ An</v>
      </c>
      <c r="F8414" s="3" t="s">
        <v>9174</v>
      </c>
      <c r="G8414" s="4" t="str">
        <f>HYPERLINK("https://diaocthongthai.com/phuong-dong-hoa-tp-di-an/","Phường Đông Hòa")</f>
        <v>Phường Đông Hòa</v>
      </c>
    </row>
    <row r="8415" spans="1:7" x14ac:dyDescent="0.25">
      <c r="A8415" s="2">
        <v>8414</v>
      </c>
      <c r="B8415" s="3" t="s">
        <v>49</v>
      </c>
      <c r="C8415" s="4" t="str">
        <f t="shared" si="736"/>
        <v>Bình Dương</v>
      </c>
      <c r="D8415" s="3" t="s">
        <v>589</v>
      </c>
      <c r="E8415" s="4" t="str">
        <f t="shared" si="737"/>
        <v>Thành phố Dĩ An</v>
      </c>
      <c r="F8415" s="3" t="s">
        <v>9175</v>
      </c>
      <c r="G8415" s="4" t="str">
        <f>HYPERLINK("https://diaocthongthai.com/phuong-an-binh-tp-di-an/","Phường An Bình")</f>
        <v>Phường An Bình</v>
      </c>
    </row>
    <row r="8416" spans="1:7" x14ac:dyDescent="0.25">
      <c r="A8416" s="2">
        <v>8415</v>
      </c>
      <c r="B8416" s="3" t="s">
        <v>49</v>
      </c>
      <c r="C8416" s="4" t="str">
        <f t="shared" si="736"/>
        <v>Bình Dương</v>
      </c>
      <c r="D8416" s="3" t="s">
        <v>590</v>
      </c>
      <c r="E8416" s="4" t="str">
        <f t="shared" ref="E8416:E8425" si="738">HYPERLINK("https://diaocthongthai.com/ban-do-thi-xa-thuan-an-binh-duong/","Thành phố Thuận An")</f>
        <v>Thành phố Thuận An</v>
      </c>
      <c r="F8416" s="3" t="s">
        <v>9176</v>
      </c>
      <c r="G8416" s="4" t="str">
        <f>HYPERLINK("https://diaocthongthai.com/phuong-an-thanh-tp-thuan-an/","Phường An Thạnh")</f>
        <v>Phường An Thạnh</v>
      </c>
    </row>
    <row r="8417" spans="1:7" x14ac:dyDescent="0.25">
      <c r="A8417" s="2">
        <v>8416</v>
      </c>
      <c r="B8417" s="3" t="s">
        <v>49</v>
      </c>
      <c r="C8417" s="4" t="str">
        <f t="shared" si="736"/>
        <v>Bình Dương</v>
      </c>
      <c r="D8417" s="3" t="s">
        <v>590</v>
      </c>
      <c r="E8417" s="4" t="str">
        <f t="shared" si="738"/>
        <v>Thành phố Thuận An</v>
      </c>
      <c r="F8417" s="3" t="s">
        <v>9177</v>
      </c>
      <c r="G8417" s="4" t="str">
        <f>HYPERLINK("https://diaocthongthai.com/phuong-lai-thieu-tp-thuan-an/","Phường Lái Thiêu")</f>
        <v>Phường Lái Thiêu</v>
      </c>
    </row>
    <row r="8418" spans="1:7" x14ac:dyDescent="0.25">
      <c r="A8418" s="2">
        <v>8417</v>
      </c>
      <c r="B8418" s="3" t="s">
        <v>49</v>
      </c>
      <c r="C8418" s="4" t="str">
        <f t="shared" si="736"/>
        <v>Bình Dương</v>
      </c>
      <c r="D8418" s="3" t="s">
        <v>590</v>
      </c>
      <c r="E8418" s="4" t="str">
        <f t="shared" si="738"/>
        <v>Thành phố Thuận An</v>
      </c>
      <c r="F8418" s="3" t="s">
        <v>9178</v>
      </c>
      <c r="G8418" s="4" t="str">
        <f>HYPERLINK("https://diaocthongthai.com/phuong-binh-chuan-tp-thuan-an/","Phường Bình Chuẩn")</f>
        <v>Phường Bình Chuẩn</v>
      </c>
    </row>
    <row r="8419" spans="1:7" x14ac:dyDescent="0.25">
      <c r="A8419" s="2">
        <v>8418</v>
      </c>
      <c r="B8419" s="3" t="s">
        <v>49</v>
      </c>
      <c r="C8419" s="4" t="str">
        <f t="shared" si="736"/>
        <v>Bình Dương</v>
      </c>
      <c r="D8419" s="3" t="s">
        <v>590</v>
      </c>
      <c r="E8419" s="4" t="str">
        <f t="shared" si="738"/>
        <v>Thành phố Thuận An</v>
      </c>
      <c r="F8419" s="3" t="s">
        <v>9179</v>
      </c>
      <c r="G8419" s="4" t="str">
        <f>HYPERLINK("https://diaocthongthai.com/phuong-thuan-giao-tp-thuan-an/","Phường Thuận Giao")</f>
        <v>Phường Thuận Giao</v>
      </c>
    </row>
    <row r="8420" spans="1:7" x14ac:dyDescent="0.25">
      <c r="A8420" s="2">
        <v>8419</v>
      </c>
      <c r="B8420" s="3" t="s">
        <v>49</v>
      </c>
      <c r="C8420" s="4" t="str">
        <f t="shared" si="736"/>
        <v>Bình Dương</v>
      </c>
      <c r="D8420" s="3" t="s">
        <v>590</v>
      </c>
      <c r="E8420" s="4" t="str">
        <f t="shared" si="738"/>
        <v>Thành phố Thuận An</v>
      </c>
      <c r="F8420" s="3" t="s">
        <v>9180</v>
      </c>
      <c r="G8420" s="4" t="str">
        <f>HYPERLINK("https://diaocthongthai.com/phuong-an-phu-tp-thuan-an/","Phường An Phú")</f>
        <v>Phường An Phú</v>
      </c>
    </row>
    <row r="8421" spans="1:7" x14ac:dyDescent="0.25">
      <c r="A8421" s="2">
        <v>8420</v>
      </c>
      <c r="B8421" s="3" t="s">
        <v>49</v>
      </c>
      <c r="C8421" s="4" t="str">
        <f t="shared" si="736"/>
        <v>Bình Dương</v>
      </c>
      <c r="D8421" s="3" t="s">
        <v>590</v>
      </c>
      <c r="E8421" s="4" t="str">
        <f t="shared" si="738"/>
        <v>Thành phố Thuận An</v>
      </c>
      <c r="F8421" s="3" t="s">
        <v>9181</v>
      </c>
      <c r="G8421" s="4" t="str">
        <f>HYPERLINK("https://diaocthongthai.com/phuong-hung-dinh-tp-thuan-an/","Phường Hưng Định")</f>
        <v>Phường Hưng Định</v>
      </c>
    </row>
    <row r="8422" spans="1:7" x14ac:dyDescent="0.25">
      <c r="A8422" s="2">
        <v>8421</v>
      </c>
      <c r="B8422" s="3" t="s">
        <v>49</v>
      </c>
      <c r="C8422" s="4" t="str">
        <f t="shared" si="736"/>
        <v>Bình Dương</v>
      </c>
      <c r="D8422" s="3" t="s">
        <v>590</v>
      </c>
      <c r="E8422" s="4" t="str">
        <f t="shared" si="738"/>
        <v>Thành phố Thuận An</v>
      </c>
      <c r="F8422" s="3" t="s">
        <v>9182</v>
      </c>
      <c r="G8422" s="4" t="str">
        <f>HYPERLINK("https://diaocthongthai.com/xa-an-son-tp-thuan-an/","Xã An Sơn")</f>
        <v>Xã An Sơn</v>
      </c>
    </row>
    <row r="8423" spans="1:7" x14ac:dyDescent="0.25">
      <c r="A8423" s="2">
        <v>8422</v>
      </c>
      <c r="B8423" s="3" t="s">
        <v>49</v>
      </c>
      <c r="C8423" s="4" t="str">
        <f t="shared" si="736"/>
        <v>Bình Dương</v>
      </c>
      <c r="D8423" s="3" t="s">
        <v>590</v>
      </c>
      <c r="E8423" s="4" t="str">
        <f t="shared" si="738"/>
        <v>Thành phố Thuận An</v>
      </c>
      <c r="F8423" s="3" t="s">
        <v>9183</v>
      </c>
      <c r="G8423" s="4" t="str">
        <f>HYPERLINK("https://diaocthongthai.com/phuong-binh-nham-tp-thuan-an/","Phường Bình Nhâm")</f>
        <v>Phường Bình Nhâm</v>
      </c>
    </row>
    <row r="8424" spans="1:7" x14ac:dyDescent="0.25">
      <c r="A8424" s="2">
        <v>8423</v>
      </c>
      <c r="B8424" s="3" t="s">
        <v>49</v>
      </c>
      <c r="C8424" s="4" t="str">
        <f t="shared" si="736"/>
        <v>Bình Dương</v>
      </c>
      <c r="D8424" s="3" t="s">
        <v>590</v>
      </c>
      <c r="E8424" s="4" t="str">
        <f t="shared" si="738"/>
        <v>Thành phố Thuận An</v>
      </c>
      <c r="F8424" s="3" t="s">
        <v>9184</v>
      </c>
      <c r="G8424" s="4" t="str">
        <f>HYPERLINK("https://diaocthongthai.com/phuong-binh-hoa-tp-thuan-an/","Phường Bình Hòa")</f>
        <v>Phường Bình Hòa</v>
      </c>
    </row>
    <row r="8425" spans="1:7" x14ac:dyDescent="0.25">
      <c r="A8425" s="2">
        <v>8424</v>
      </c>
      <c r="B8425" s="3" t="s">
        <v>49</v>
      </c>
      <c r="C8425" s="4" t="str">
        <f t="shared" si="736"/>
        <v>Bình Dương</v>
      </c>
      <c r="D8425" s="3" t="s">
        <v>590</v>
      </c>
      <c r="E8425" s="4" t="str">
        <f t="shared" si="738"/>
        <v>Thành phố Thuận An</v>
      </c>
      <c r="F8425" s="3" t="s">
        <v>9185</v>
      </c>
      <c r="G8425" s="4" t="str">
        <f>HYPERLINK("https://diaocthongthai.com/phuong-vinh-phu-tp-thuan-an/","Phường Vĩnh Phú")</f>
        <v>Phường Vĩnh Phú</v>
      </c>
    </row>
    <row r="8426" spans="1:7" x14ac:dyDescent="0.25">
      <c r="A8426" s="2">
        <v>8425</v>
      </c>
      <c r="B8426" s="3" t="s">
        <v>49</v>
      </c>
      <c r="C8426" s="4" t="str">
        <f t="shared" si="736"/>
        <v>Bình Dương</v>
      </c>
      <c r="D8426" s="3" t="s">
        <v>591</v>
      </c>
      <c r="E8426" s="4" t="str">
        <f t="shared" ref="E8426:E8435" si="739">HYPERLINK("https://diaocthongthai.com/ban-do-huyen-bac-tan-uyen-binh-duong/","Huyện Bắc Tân Uyên")</f>
        <v>Huyện Bắc Tân Uyên</v>
      </c>
      <c r="F8426" s="3" t="s">
        <v>9186</v>
      </c>
      <c r="G8426" s="4" t="str">
        <f>HYPERLINK("https://diaocthongthai.com/xa-tan-dinh-bac-tan-uyen/","Xã Tân Định")</f>
        <v>Xã Tân Định</v>
      </c>
    </row>
    <row r="8427" spans="1:7" x14ac:dyDescent="0.25">
      <c r="A8427" s="2">
        <v>8426</v>
      </c>
      <c r="B8427" s="3" t="s">
        <v>49</v>
      </c>
      <c r="C8427" s="4" t="str">
        <f t="shared" si="736"/>
        <v>Bình Dương</v>
      </c>
      <c r="D8427" s="3" t="s">
        <v>591</v>
      </c>
      <c r="E8427" s="4" t="str">
        <f t="shared" si="739"/>
        <v>Huyện Bắc Tân Uyên</v>
      </c>
      <c r="F8427" s="3" t="s">
        <v>9187</v>
      </c>
      <c r="G8427" s="4" t="str">
        <f>HYPERLINK("https://diaocthongthai.com/xa-binh-my-bac-tan-uyen/","Xã Bình Mỹ")</f>
        <v>Xã Bình Mỹ</v>
      </c>
    </row>
    <row r="8428" spans="1:7" x14ac:dyDescent="0.25">
      <c r="A8428" s="2">
        <v>8427</v>
      </c>
      <c r="B8428" s="3" t="s">
        <v>49</v>
      </c>
      <c r="C8428" s="4" t="str">
        <f t="shared" si="736"/>
        <v>Bình Dương</v>
      </c>
      <c r="D8428" s="3" t="s">
        <v>591</v>
      </c>
      <c r="E8428" s="4" t="str">
        <f t="shared" si="739"/>
        <v>Huyện Bắc Tân Uyên</v>
      </c>
      <c r="F8428" s="3" t="s">
        <v>9188</v>
      </c>
      <c r="G8428" s="4" t="str">
        <f>HYPERLINK("https://diaocthongthai.com/thi-tran-tan-binh-bac-tan-uyen/","Thị trấn Tân Bình")</f>
        <v>Thị trấn Tân Bình</v>
      </c>
    </row>
    <row r="8429" spans="1:7" x14ac:dyDescent="0.25">
      <c r="A8429" s="2">
        <v>8428</v>
      </c>
      <c r="B8429" s="3" t="s">
        <v>49</v>
      </c>
      <c r="C8429" s="4" t="str">
        <f t="shared" si="736"/>
        <v>Bình Dương</v>
      </c>
      <c r="D8429" s="3" t="s">
        <v>591</v>
      </c>
      <c r="E8429" s="4" t="str">
        <f t="shared" si="739"/>
        <v>Huyện Bắc Tân Uyên</v>
      </c>
      <c r="F8429" s="3" t="s">
        <v>9189</v>
      </c>
      <c r="G8429" s="4" t="str">
        <f>HYPERLINK("https://diaocthongthai.com/xa-tan-lap-bac-tan-uyen/","Xã Tân Lập")</f>
        <v>Xã Tân Lập</v>
      </c>
    </row>
    <row r="8430" spans="1:7" x14ac:dyDescent="0.25">
      <c r="A8430" s="2">
        <v>8429</v>
      </c>
      <c r="B8430" s="3" t="s">
        <v>49</v>
      </c>
      <c r="C8430" s="4" t="str">
        <f t="shared" si="736"/>
        <v>Bình Dương</v>
      </c>
      <c r="D8430" s="3" t="s">
        <v>591</v>
      </c>
      <c r="E8430" s="4" t="str">
        <f t="shared" si="739"/>
        <v>Huyện Bắc Tân Uyên</v>
      </c>
      <c r="F8430" s="3" t="s">
        <v>9190</v>
      </c>
      <c r="G8430" s="4" t="str">
        <f>HYPERLINK("https://diaocthongthai.com/thi-tran-tan-thanh-bac-tan-uyen/","Thị trấn Tân Thành")</f>
        <v>Thị trấn Tân Thành</v>
      </c>
    </row>
    <row r="8431" spans="1:7" x14ac:dyDescent="0.25">
      <c r="A8431" s="2">
        <v>8430</v>
      </c>
      <c r="B8431" s="3" t="s">
        <v>49</v>
      </c>
      <c r="C8431" s="4" t="str">
        <f t="shared" si="736"/>
        <v>Bình Dương</v>
      </c>
      <c r="D8431" s="3" t="s">
        <v>591</v>
      </c>
      <c r="E8431" s="4" t="str">
        <f t="shared" si="739"/>
        <v>Huyện Bắc Tân Uyên</v>
      </c>
      <c r="F8431" s="3" t="s">
        <v>9191</v>
      </c>
      <c r="G8431" s="4" t="str">
        <f>HYPERLINK("https://diaocthongthai.com/xa-dat-cuoc-bac-tan-uyen/","Xã Đất Cuốc")</f>
        <v>Xã Đất Cuốc</v>
      </c>
    </row>
    <row r="8432" spans="1:7" x14ac:dyDescent="0.25">
      <c r="A8432" s="2">
        <v>8431</v>
      </c>
      <c r="B8432" s="3" t="s">
        <v>49</v>
      </c>
      <c r="C8432" s="4" t="str">
        <f t="shared" si="736"/>
        <v>Bình Dương</v>
      </c>
      <c r="D8432" s="3" t="s">
        <v>591</v>
      </c>
      <c r="E8432" s="4" t="str">
        <f t="shared" si="739"/>
        <v>Huyện Bắc Tân Uyên</v>
      </c>
      <c r="F8432" s="3" t="s">
        <v>9192</v>
      </c>
      <c r="G8432" s="4" t="str">
        <f>HYPERLINK("https://diaocthongthai.com/xa-hieu-liem-bac-tan-uyen/","Xã Hiếu Liêm")</f>
        <v>Xã Hiếu Liêm</v>
      </c>
    </row>
    <row r="8433" spans="1:7" x14ac:dyDescent="0.25">
      <c r="A8433" s="2">
        <v>8432</v>
      </c>
      <c r="B8433" s="3" t="s">
        <v>49</v>
      </c>
      <c r="C8433" s="4" t="str">
        <f t="shared" si="736"/>
        <v>Bình Dương</v>
      </c>
      <c r="D8433" s="3" t="s">
        <v>591</v>
      </c>
      <c r="E8433" s="4" t="str">
        <f t="shared" si="739"/>
        <v>Huyện Bắc Tân Uyên</v>
      </c>
      <c r="F8433" s="3" t="s">
        <v>9193</v>
      </c>
      <c r="G8433" s="4" t="str">
        <f>HYPERLINK("https://diaocthongthai.com/xa-lac-an-bac-tan-uyen/","Xã Lạc An")</f>
        <v>Xã Lạc An</v>
      </c>
    </row>
    <row r="8434" spans="1:7" x14ac:dyDescent="0.25">
      <c r="A8434" s="2">
        <v>8433</v>
      </c>
      <c r="B8434" s="3" t="s">
        <v>49</v>
      </c>
      <c r="C8434" s="4" t="str">
        <f t="shared" si="736"/>
        <v>Bình Dương</v>
      </c>
      <c r="D8434" s="3" t="s">
        <v>591</v>
      </c>
      <c r="E8434" s="4" t="str">
        <f t="shared" si="739"/>
        <v>Huyện Bắc Tân Uyên</v>
      </c>
      <c r="F8434" s="3" t="s">
        <v>9194</v>
      </c>
      <c r="G8434" s="4" t="str">
        <f>HYPERLINK("https://diaocthongthai.com/xa-tan-my-bac-tan-uyen/","Xã Tân Mỹ")</f>
        <v>Xã Tân Mỹ</v>
      </c>
    </row>
    <row r="8435" spans="1:7" x14ac:dyDescent="0.25">
      <c r="A8435" s="2">
        <v>8434</v>
      </c>
      <c r="B8435" s="3" t="s">
        <v>49</v>
      </c>
      <c r="C8435" s="4" t="str">
        <f t="shared" si="736"/>
        <v>Bình Dương</v>
      </c>
      <c r="D8435" s="3" t="s">
        <v>591</v>
      </c>
      <c r="E8435" s="4" t="str">
        <f t="shared" si="739"/>
        <v>Huyện Bắc Tân Uyên</v>
      </c>
      <c r="F8435" s="3" t="s">
        <v>9195</v>
      </c>
      <c r="G8435" s="4" t="str">
        <f>HYPERLINK("https://diaocthongthai.com/xa-thuong-tan-bac-tan-uyen/","Xã Thường Tân")</f>
        <v>Xã Thường Tân</v>
      </c>
    </row>
    <row r="8436" spans="1:7" x14ac:dyDescent="0.25">
      <c r="A8436" s="2">
        <v>8435</v>
      </c>
      <c r="B8436" s="3" t="s">
        <v>50</v>
      </c>
      <c r="C8436" s="4" t="str">
        <f t="shared" ref="C8436:C8467" si="740">HYPERLINK("https://diaocthongthai.com/ban-do-dong-nai/","Đồng Nai")</f>
        <v>Đồng Nai</v>
      </c>
      <c r="D8436" s="3" t="s">
        <v>592</v>
      </c>
      <c r="E8436" s="4" t="str">
        <f t="shared" ref="E8436:E8465" si="741">HYPERLINK("https://diaocthongthai.com/ban-do-tp-bien-hoa-dong-nai/","Thành phố Biên Hòa")</f>
        <v>Thành phố Biên Hòa</v>
      </c>
      <c r="F8436" s="3" t="s">
        <v>9196</v>
      </c>
      <c r="G8436" s="4" t="str">
        <f>HYPERLINK("https://diaocthongthai.com/phuong-trang-dai-tp-bien-hoa/","Phường Trảng Dài")</f>
        <v>Phường Trảng Dài</v>
      </c>
    </row>
    <row r="8437" spans="1:7" x14ac:dyDescent="0.25">
      <c r="A8437" s="2">
        <v>8436</v>
      </c>
      <c r="B8437" s="3" t="s">
        <v>50</v>
      </c>
      <c r="C8437" s="4" t="str">
        <f t="shared" si="740"/>
        <v>Đồng Nai</v>
      </c>
      <c r="D8437" s="3" t="s">
        <v>592</v>
      </c>
      <c r="E8437" s="4" t="str">
        <f t="shared" si="741"/>
        <v>Thành phố Biên Hòa</v>
      </c>
      <c r="F8437" s="3" t="s">
        <v>9197</v>
      </c>
      <c r="G8437" s="4" t="str">
        <f>HYPERLINK("https://diaocthongthai.com/phuong-tan-phong-tp-bien-hoa/","Phường Tân Phong")</f>
        <v>Phường Tân Phong</v>
      </c>
    </row>
    <row r="8438" spans="1:7" x14ac:dyDescent="0.25">
      <c r="A8438" s="2">
        <v>8437</v>
      </c>
      <c r="B8438" s="3" t="s">
        <v>50</v>
      </c>
      <c r="C8438" s="4" t="str">
        <f t="shared" si="740"/>
        <v>Đồng Nai</v>
      </c>
      <c r="D8438" s="3" t="s">
        <v>592</v>
      </c>
      <c r="E8438" s="4" t="str">
        <f t="shared" si="741"/>
        <v>Thành phố Biên Hòa</v>
      </c>
      <c r="F8438" s="3" t="s">
        <v>9198</v>
      </c>
      <c r="G8438" s="4" t="str">
        <f>HYPERLINK("https://diaocthongthai.com/phuong-tan-bien-tp-bien-hoa/","Phường Tân Biên")</f>
        <v>Phường Tân Biên</v>
      </c>
    </row>
    <row r="8439" spans="1:7" x14ac:dyDescent="0.25">
      <c r="A8439" s="2">
        <v>8438</v>
      </c>
      <c r="B8439" s="3" t="s">
        <v>50</v>
      </c>
      <c r="C8439" s="4" t="str">
        <f t="shared" si="740"/>
        <v>Đồng Nai</v>
      </c>
      <c r="D8439" s="3" t="s">
        <v>592</v>
      </c>
      <c r="E8439" s="4" t="str">
        <f t="shared" si="741"/>
        <v>Thành phố Biên Hòa</v>
      </c>
      <c r="F8439" s="3" t="s">
        <v>9199</v>
      </c>
      <c r="G8439" s="4" t="str">
        <f>HYPERLINK("https://diaocthongthai.com/phuong-ho-nai-tp-bien-hoa/","Phường Hố Nai")</f>
        <v>Phường Hố Nai</v>
      </c>
    </row>
    <row r="8440" spans="1:7" x14ac:dyDescent="0.25">
      <c r="A8440" s="2">
        <v>8439</v>
      </c>
      <c r="B8440" s="3" t="s">
        <v>50</v>
      </c>
      <c r="C8440" s="4" t="str">
        <f t="shared" si="740"/>
        <v>Đồng Nai</v>
      </c>
      <c r="D8440" s="3" t="s">
        <v>592</v>
      </c>
      <c r="E8440" s="4" t="str">
        <f t="shared" si="741"/>
        <v>Thành phố Biên Hòa</v>
      </c>
      <c r="F8440" s="3" t="s">
        <v>9200</v>
      </c>
      <c r="G8440" s="4" t="str">
        <f>HYPERLINK("https://diaocthongthai.com/phuong-tan-hoa-tp-bien-hoa/","Phường Tân Hòa")</f>
        <v>Phường Tân Hòa</v>
      </c>
    </row>
    <row r="8441" spans="1:7" x14ac:dyDescent="0.25">
      <c r="A8441" s="2">
        <v>8440</v>
      </c>
      <c r="B8441" s="3" t="s">
        <v>50</v>
      </c>
      <c r="C8441" s="4" t="str">
        <f t="shared" si="740"/>
        <v>Đồng Nai</v>
      </c>
      <c r="D8441" s="3" t="s">
        <v>592</v>
      </c>
      <c r="E8441" s="4" t="str">
        <f t="shared" si="741"/>
        <v>Thành phố Biên Hòa</v>
      </c>
      <c r="F8441" s="3" t="s">
        <v>9201</v>
      </c>
      <c r="G8441" s="4" t="str">
        <f>HYPERLINK("https://diaocthongthai.com/phuong-tan-hiep-tp-bien-hoa/","Phường Tân Hiệp")</f>
        <v>Phường Tân Hiệp</v>
      </c>
    </row>
    <row r="8442" spans="1:7" x14ac:dyDescent="0.25">
      <c r="A8442" s="2">
        <v>8441</v>
      </c>
      <c r="B8442" s="3" t="s">
        <v>50</v>
      </c>
      <c r="C8442" s="4" t="str">
        <f t="shared" si="740"/>
        <v>Đồng Nai</v>
      </c>
      <c r="D8442" s="3" t="s">
        <v>592</v>
      </c>
      <c r="E8442" s="4" t="str">
        <f t="shared" si="741"/>
        <v>Thành phố Biên Hòa</v>
      </c>
      <c r="F8442" s="3" t="s">
        <v>9202</v>
      </c>
      <c r="G8442" s="4" t="str">
        <f>HYPERLINK("https://diaocthongthai.com/phuong-buu-long-tp-bien-hoa/","Phường Bửu Long")</f>
        <v>Phường Bửu Long</v>
      </c>
    </row>
    <row r="8443" spans="1:7" x14ac:dyDescent="0.25">
      <c r="A8443" s="2">
        <v>8442</v>
      </c>
      <c r="B8443" s="3" t="s">
        <v>50</v>
      </c>
      <c r="C8443" s="4" t="str">
        <f t="shared" si="740"/>
        <v>Đồng Nai</v>
      </c>
      <c r="D8443" s="3" t="s">
        <v>592</v>
      </c>
      <c r="E8443" s="4" t="str">
        <f t="shared" si="741"/>
        <v>Thành phố Biên Hòa</v>
      </c>
      <c r="F8443" s="3" t="s">
        <v>9203</v>
      </c>
      <c r="G8443" s="4" t="str">
        <f>HYPERLINK("https://diaocthongthai.com/phuong-tan-tien-tp-bien-hoa/","Phường Tân Tiến")</f>
        <v>Phường Tân Tiến</v>
      </c>
    </row>
    <row r="8444" spans="1:7" x14ac:dyDescent="0.25">
      <c r="A8444" s="2">
        <v>8443</v>
      </c>
      <c r="B8444" s="3" t="s">
        <v>50</v>
      </c>
      <c r="C8444" s="4" t="str">
        <f t="shared" si="740"/>
        <v>Đồng Nai</v>
      </c>
      <c r="D8444" s="3" t="s">
        <v>592</v>
      </c>
      <c r="E8444" s="4" t="str">
        <f t="shared" si="741"/>
        <v>Thành phố Biên Hòa</v>
      </c>
      <c r="F8444" s="3" t="s">
        <v>9204</v>
      </c>
      <c r="G8444" s="4" t="str">
        <f>HYPERLINK("https://diaocthongthai.com/phuong-tam-hiep-tp-bien-hoa/","Phường Tam Hiệp")</f>
        <v>Phường Tam Hiệp</v>
      </c>
    </row>
    <row r="8445" spans="1:7" x14ac:dyDescent="0.25">
      <c r="A8445" s="2">
        <v>8444</v>
      </c>
      <c r="B8445" s="3" t="s">
        <v>50</v>
      </c>
      <c r="C8445" s="4" t="str">
        <f t="shared" si="740"/>
        <v>Đồng Nai</v>
      </c>
      <c r="D8445" s="3" t="s">
        <v>592</v>
      </c>
      <c r="E8445" s="4" t="str">
        <f t="shared" si="741"/>
        <v>Thành phố Biên Hòa</v>
      </c>
      <c r="F8445" s="3" t="s">
        <v>9205</v>
      </c>
      <c r="G8445" s="4" t="str">
        <f>HYPERLINK("https://diaocthongthai.com/phuong-long-binh-tp-bien-hoa/","Phường Long Bình")</f>
        <v>Phường Long Bình</v>
      </c>
    </row>
    <row r="8446" spans="1:7" x14ac:dyDescent="0.25">
      <c r="A8446" s="2">
        <v>8445</v>
      </c>
      <c r="B8446" s="3" t="s">
        <v>50</v>
      </c>
      <c r="C8446" s="4" t="str">
        <f t="shared" si="740"/>
        <v>Đồng Nai</v>
      </c>
      <c r="D8446" s="3" t="s">
        <v>592</v>
      </c>
      <c r="E8446" s="4" t="str">
        <f t="shared" si="741"/>
        <v>Thành phố Biên Hòa</v>
      </c>
      <c r="F8446" s="3" t="s">
        <v>9206</v>
      </c>
      <c r="G8446" s="4" t="str">
        <f>HYPERLINK("https://diaocthongthai.com/phuong-quang-vinh-tp-bien-hoa/","Phường Quang Vinh")</f>
        <v>Phường Quang Vinh</v>
      </c>
    </row>
    <row r="8447" spans="1:7" x14ac:dyDescent="0.25">
      <c r="A8447" s="2">
        <v>8446</v>
      </c>
      <c r="B8447" s="3" t="s">
        <v>50</v>
      </c>
      <c r="C8447" s="4" t="str">
        <f t="shared" si="740"/>
        <v>Đồng Nai</v>
      </c>
      <c r="D8447" s="3" t="s">
        <v>592</v>
      </c>
      <c r="E8447" s="4" t="str">
        <f t="shared" si="741"/>
        <v>Thành phố Biên Hòa</v>
      </c>
      <c r="F8447" s="3" t="s">
        <v>9207</v>
      </c>
      <c r="G8447" s="4" t="str">
        <f>HYPERLINK("https://diaocthongthai.com/phuong-tan-mai-tp-bien-hoa/","Phường Tân Mai")</f>
        <v>Phường Tân Mai</v>
      </c>
    </row>
    <row r="8448" spans="1:7" x14ac:dyDescent="0.25">
      <c r="A8448" s="2">
        <v>8447</v>
      </c>
      <c r="B8448" s="3" t="s">
        <v>50</v>
      </c>
      <c r="C8448" s="4" t="str">
        <f t="shared" si="740"/>
        <v>Đồng Nai</v>
      </c>
      <c r="D8448" s="3" t="s">
        <v>592</v>
      </c>
      <c r="E8448" s="4" t="str">
        <f t="shared" si="741"/>
        <v>Thành phố Biên Hòa</v>
      </c>
      <c r="F8448" s="3" t="s">
        <v>9208</v>
      </c>
      <c r="G8448" s="4" t="str">
        <f>HYPERLINK("https://diaocthongthai.com/phuong-thong-nhat-tp-bien-hoa/","Phường Thống Nhất")</f>
        <v>Phường Thống Nhất</v>
      </c>
    </row>
    <row r="8449" spans="1:7" x14ac:dyDescent="0.25">
      <c r="A8449" s="2">
        <v>8448</v>
      </c>
      <c r="B8449" s="3" t="s">
        <v>50</v>
      </c>
      <c r="C8449" s="4" t="str">
        <f t="shared" si="740"/>
        <v>Đồng Nai</v>
      </c>
      <c r="D8449" s="3" t="s">
        <v>592</v>
      </c>
      <c r="E8449" s="4" t="str">
        <f t="shared" si="741"/>
        <v>Thành phố Biên Hòa</v>
      </c>
      <c r="F8449" s="3" t="s">
        <v>9209</v>
      </c>
      <c r="G8449" s="4" t="str">
        <f>HYPERLINK("https://diaocthongthai.com/phuong-trung-dung-tp-bien-hoa/","Phường Trung Dũng")</f>
        <v>Phường Trung Dũng</v>
      </c>
    </row>
    <row r="8450" spans="1:7" x14ac:dyDescent="0.25">
      <c r="A8450" s="2">
        <v>8449</v>
      </c>
      <c r="B8450" s="3" t="s">
        <v>50</v>
      </c>
      <c r="C8450" s="4" t="str">
        <f t="shared" si="740"/>
        <v>Đồng Nai</v>
      </c>
      <c r="D8450" s="3" t="s">
        <v>592</v>
      </c>
      <c r="E8450" s="4" t="str">
        <f t="shared" si="741"/>
        <v>Thành phố Biên Hòa</v>
      </c>
      <c r="F8450" s="3" t="s">
        <v>9210</v>
      </c>
      <c r="G8450" s="4" t="str">
        <f>HYPERLINK("https://diaocthongthai.com/phuong-tam-hoa-tp-bien-hoa/","Phường Tam Hòa")</f>
        <v>Phường Tam Hòa</v>
      </c>
    </row>
    <row r="8451" spans="1:7" x14ac:dyDescent="0.25">
      <c r="A8451" s="2">
        <v>8450</v>
      </c>
      <c r="B8451" s="3" t="s">
        <v>50</v>
      </c>
      <c r="C8451" s="4" t="str">
        <f t="shared" si="740"/>
        <v>Đồng Nai</v>
      </c>
      <c r="D8451" s="3" t="s">
        <v>592</v>
      </c>
      <c r="E8451" s="4" t="str">
        <f t="shared" si="741"/>
        <v>Thành phố Biên Hòa</v>
      </c>
      <c r="F8451" s="3" t="s">
        <v>9211</v>
      </c>
      <c r="G8451" s="4" t="str">
        <f>HYPERLINK("https://diaocthongthai.com/phuong-hoa-binh-tp-bien-hoa/","Phường Hòa Bình")</f>
        <v>Phường Hòa Bình</v>
      </c>
    </row>
    <row r="8452" spans="1:7" x14ac:dyDescent="0.25">
      <c r="A8452" s="2">
        <v>8451</v>
      </c>
      <c r="B8452" s="3" t="s">
        <v>50</v>
      </c>
      <c r="C8452" s="4" t="str">
        <f t="shared" si="740"/>
        <v>Đồng Nai</v>
      </c>
      <c r="D8452" s="3" t="s">
        <v>592</v>
      </c>
      <c r="E8452" s="4" t="str">
        <f t="shared" si="741"/>
        <v>Thành phố Biên Hòa</v>
      </c>
      <c r="F8452" s="3" t="s">
        <v>9212</v>
      </c>
      <c r="G8452" s="4" t="str">
        <f>HYPERLINK("https://diaocthongthai.com/phuong-quyet-thang-tp-bien-hoa/","Phường Quyết Thắng")</f>
        <v>Phường Quyết Thắng</v>
      </c>
    </row>
    <row r="8453" spans="1:7" x14ac:dyDescent="0.25">
      <c r="A8453" s="2">
        <v>8452</v>
      </c>
      <c r="B8453" s="3" t="s">
        <v>50</v>
      </c>
      <c r="C8453" s="4" t="str">
        <f t="shared" si="740"/>
        <v>Đồng Nai</v>
      </c>
      <c r="D8453" s="3" t="s">
        <v>592</v>
      </c>
      <c r="E8453" s="4" t="str">
        <f t="shared" si="741"/>
        <v>Thành phố Biên Hòa</v>
      </c>
      <c r="F8453" s="3" t="s">
        <v>9213</v>
      </c>
      <c r="G8453" s="4" t="str">
        <f>HYPERLINK("https://diaocthongthai.com/phuong-thanh-binh-tp-bien-hoa/","Phường Thanh Bình")</f>
        <v>Phường Thanh Bình</v>
      </c>
    </row>
    <row r="8454" spans="1:7" x14ac:dyDescent="0.25">
      <c r="A8454" s="2">
        <v>8453</v>
      </c>
      <c r="B8454" s="3" t="s">
        <v>50</v>
      </c>
      <c r="C8454" s="4" t="str">
        <f t="shared" si="740"/>
        <v>Đồng Nai</v>
      </c>
      <c r="D8454" s="3" t="s">
        <v>592</v>
      </c>
      <c r="E8454" s="4" t="str">
        <f t="shared" si="741"/>
        <v>Thành phố Biên Hòa</v>
      </c>
      <c r="F8454" s="3" t="s">
        <v>9214</v>
      </c>
      <c r="G8454" s="4" t="str">
        <f>HYPERLINK("https://diaocthongthai.com/phuong-binh-da-tp-bien-hoa/","Phường Bình Đa")</f>
        <v>Phường Bình Đa</v>
      </c>
    </row>
    <row r="8455" spans="1:7" x14ac:dyDescent="0.25">
      <c r="A8455" s="2">
        <v>8454</v>
      </c>
      <c r="B8455" s="3" t="s">
        <v>50</v>
      </c>
      <c r="C8455" s="4" t="str">
        <f t="shared" si="740"/>
        <v>Đồng Nai</v>
      </c>
      <c r="D8455" s="3" t="s">
        <v>592</v>
      </c>
      <c r="E8455" s="4" t="str">
        <f t="shared" si="741"/>
        <v>Thành phố Biên Hòa</v>
      </c>
      <c r="F8455" s="3" t="s">
        <v>9215</v>
      </c>
      <c r="G8455" s="4" t="str">
        <f>HYPERLINK("https://diaocthongthai.com/phuong-an-binh-tp-bien-hoa/","Phường An Bình")</f>
        <v>Phường An Bình</v>
      </c>
    </row>
    <row r="8456" spans="1:7" x14ac:dyDescent="0.25">
      <c r="A8456" s="2">
        <v>8455</v>
      </c>
      <c r="B8456" s="3" t="s">
        <v>50</v>
      </c>
      <c r="C8456" s="4" t="str">
        <f t="shared" si="740"/>
        <v>Đồng Nai</v>
      </c>
      <c r="D8456" s="3" t="s">
        <v>592</v>
      </c>
      <c r="E8456" s="4" t="str">
        <f t="shared" si="741"/>
        <v>Thành phố Biên Hòa</v>
      </c>
      <c r="F8456" s="3" t="s">
        <v>9216</v>
      </c>
      <c r="G8456" s="4" t="str">
        <f>HYPERLINK("https://diaocthongthai.com/phuong-buu-hoa-tp-bien-hoa/","Phường Bửu Hòa")</f>
        <v>Phường Bửu Hòa</v>
      </c>
    </row>
    <row r="8457" spans="1:7" x14ac:dyDescent="0.25">
      <c r="A8457" s="2">
        <v>8456</v>
      </c>
      <c r="B8457" s="3" t="s">
        <v>50</v>
      </c>
      <c r="C8457" s="4" t="str">
        <f t="shared" si="740"/>
        <v>Đồng Nai</v>
      </c>
      <c r="D8457" s="3" t="s">
        <v>592</v>
      </c>
      <c r="E8457" s="4" t="str">
        <f t="shared" si="741"/>
        <v>Thành phố Biên Hòa</v>
      </c>
      <c r="F8457" s="3" t="s">
        <v>9217</v>
      </c>
      <c r="G8457" s="4" t="str">
        <f>HYPERLINK("https://diaocthongthai.com/phuong-long-binh-tan-tp-bien-hoa/","Phường Long Bình Tân")</f>
        <v>Phường Long Bình Tân</v>
      </c>
    </row>
    <row r="8458" spans="1:7" x14ac:dyDescent="0.25">
      <c r="A8458" s="2">
        <v>8457</v>
      </c>
      <c r="B8458" s="3" t="s">
        <v>50</v>
      </c>
      <c r="C8458" s="4" t="str">
        <f t="shared" si="740"/>
        <v>Đồng Nai</v>
      </c>
      <c r="D8458" s="3" t="s">
        <v>592</v>
      </c>
      <c r="E8458" s="4" t="str">
        <f t="shared" si="741"/>
        <v>Thành phố Biên Hòa</v>
      </c>
      <c r="F8458" s="3" t="s">
        <v>9218</v>
      </c>
      <c r="G8458" s="4" t="str">
        <f>HYPERLINK("https://diaocthongthai.com/phuong-tan-van-tp-bien-hoa/","Phường Tân Vạn")</f>
        <v>Phường Tân Vạn</v>
      </c>
    </row>
    <row r="8459" spans="1:7" x14ac:dyDescent="0.25">
      <c r="A8459" s="2">
        <v>8458</v>
      </c>
      <c r="B8459" s="3" t="s">
        <v>50</v>
      </c>
      <c r="C8459" s="4" t="str">
        <f t="shared" si="740"/>
        <v>Đồng Nai</v>
      </c>
      <c r="D8459" s="3" t="s">
        <v>592</v>
      </c>
      <c r="E8459" s="4" t="str">
        <f t="shared" si="741"/>
        <v>Thành phố Biên Hòa</v>
      </c>
      <c r="F8459" s="3" t="s">
        <v>9219</v>
      </c>
      <c r="G8459" s="4" t="str">
        <f>HYPERLINK("https://diaocthongthai.com/phuong-tan-hanh-tp-bien-hoa/","Phường Tân Hạnh")</f>
        <v>Phường Tân Hạnh</v>
      </c>
    </row>
    <row r="8460" spans="1:7" x14ac:dyDescent="0.25">
      <c r="A8460" s="2">
        <v>8459</v>
      </c>
      <c r="B8460" s="3" t="s">
        <v>50</v>
      </c>
      <c r="C8460" s="4" t="str">
        <f t="shared" si="740"/>
        <v>Đồng Nai</v>
      </c>
      <c r="D8460" s="3" t="s">
        <v>592</v>
      </c>
      <c r="E8460" s="4" t="str">
        <f t="shared" si="741"/>
        <v>Thành phố Biên Hòa</v>
      </c>
      <c r="F8460" s="3" t="s">
        <v>9220</v>
      </c>
      <c r="G8460" s="4" t="str">
        <f>HYPERLINK("https://diaocthongthai.com/phuong-hiep-hoa-tp-bien-hoa/","Phường Hiệp Hòa")</f>
        <v>Phường Hiệp Hòa</v>
      </c>
    </row>
    <row r="8461" spans="1:7" x14ac:dyDescent="0.25">
      <c r="A8461" s="2">
        <v>8460</v>
      </c>
      <c r="B8461" s="3" t="s">
        <v>50</v>
      </c>
      <c r="C8461" s="4" t="str">
        <f t="shared" si="740"/>
        <v>Đồng Nai</v>
      </c>
      <c r="D8461" s="3" t="s">
        <v>592</v>
      </c>
      <c r="E8461" s="4" t="str">
        <f t="shared" si="741"/>
        <v>Thành phố Biên Hòa</v>
      </c>
      <c r="F8461" s="3" t="s">
        <v>9221</v>
      </c>
      <c r="G8461" s="4" t="str">
        <f>HYPERLINK("https://diaocthongthai.com/phuong-hoa-an-tp-bien-hoa/","Phường Hóa An")</f>
        <v>Phường Hóa An</v>
      </c>
    </row>
    <row r="8462" spans="1:7" x14ac:dyDescent="0.25">
      <c r="A8462" s="2">
        <v>8461</v>
      </c>
      <c r="B8462" s="3" t="s">
        <v>50</v>
      </c>
      <c r="C8462" s="4" t="str">
        <f t="shared" si="740"/>
        <v>Đồng Nai</v>
      </c>
      <c r="D8462" s="3" t="s">
        <v>592</v>
      </c>
      <c r="E8462" s="4" t="str">
        <f t="shared" si="741"/>
        <v>Thành phố Biên Hòa</v>
      </c>
      <c r="F8462" s="3" t="s">
        <v>9222</v>
      </c>
      <c r="G8462" s="4" t="str">
        <f>HYPERLINK("https://diaocthongthai.com/phuong-an-hoa-tp-bien-hoa/","Phường An Hòa")</f>
        <v>Phường An Hòa</v>
      </c>
    </row>
    <row r="8463" spans="1:7" x14ac:dyDescent="0.25">
      <c r="A8463" s="2">
        <v>8462</v>
      </c>
      <c r="B8463" s="3" t="s">
        <v>50</v>
      </c>
      <c r="C8463" s="4" t="str">
        <f t="shared" si="740"/>
        <v>Đồng Nai</v>
      </c>
      <c r="D8463" s="3" t="s">
        <v>592</v>
      </c>
      <c r="E8463" s="4" t="str">
        <f t="shared" si="741"/>
        <v>Thành phố Biên Hòa</v>
      </c>
      <c r="F8463" s="3" t="s">
        <v>9223</v>
      </c>
      <c r="G8463" s="4" t="str">
        <f>HYPERLINK("https://diaocthongthai.com/phuong-tam-phuoc-tp-bien-hoa/","Phường Tam Phước")</f>
        <v>Phường Tam Phước</v>
      </c>
    </row>
    <row r="8464" spans="1:7" x14ac:dyDescent="0.25">
      <c r="A8464" s="2">
        <v>8463</v>
      </c>
      <c r="B8464" s="3" t="s">
        <v>50</v>
      </c>
      <c r="C8464" s="4" t="str">
        <f t="shared" si="740"/>
        <v>Đồng Nai</v>
      </c>
      <c r="D8464" s="3" t="s">
        <v>592</v>
      </c>
      <c r="E8464" s="4" t="str">
        <f t="shared" si="741"/>
        <v>Thành phố Biên Hòa</v>
      </c>
      <c r="F8464" s="3" t="s">
        <v>9224</v>
      </c>
      <c r="G8464" s="4" t="str">
        <f>HYPERLINK("https://diaocthongthai.com/phuong-phuoc-tan-tp-bien-hoa/","Phường Phước Tân")</f>
        <v>Phường Phước Tân</v>
      </c>
    </row>
    <row r="8465" spans="1:7" x14ac:dyDescent="0.25">
      <c r="A8465" s="2">
        <v>8464</v>
      </c>
      <c r="B8465" s="3" t="s">
        <v>50</v>
      </c>
      <c r="C8465" s="4" t="str">
        <f t="shared" si="740"/>
        <v>Đồng Nai</v>
      </c>
      <c r="D8465" s="3" t="s">
        <v>592</v>
      </c>
      <c r="E8465" s="4" t="str">
        <f t="shared" si="741"/>
        <v>Thành phố Biên Hòa</v>
      </c>
      <c r="F8465" s="3" t="s">
        <v>9225</v>
      </c>
      <c r="G8465" s="4" t="str">
        <f>HYPERLINK("https://diaocthongthai.com/xa-long-hung-tp-bien-hoa/","Xã Long Hưng")</f>
        <v>Xã Long Hưng</v>
      </c>
    </row>
    <row r="8466" spans="1:7" x14ac:dyDescent="0.25">
      <c r="A8466" s="2">
        <v>8465</v>
      </c>
      <c r="B8466" s="3" t="s">
        <v>50</v>
      </c>
      <c r="C8466" s="4" t="str">
        <f t="shared" si="740"/>
        <v>Đồng Nai</v>
      </c>
      <c r="D8466" s="3" t="s">
        <v>593</v>
      </c>
      <c r="E8466" s="4" t="str">
        <f t="shared" ref="E8466:E8480" si="742">HYPERLINK("https://diaocthongthai.com/ban-do-tp-long-khanh-dong-nai/","Thành phố Long Khánh")</f>
        <v>Thành phố Long Khánh</v>
      </c>
      <c r="F8466" s="3" t="s">
        <v>9226</v>
      </c>
      <c r="G8466" s="4" t="str">
        <f>HYPERLINK("https://diaocthongthai.com/phuong-xuan-trung-tp-long-khanh/","Phường Xuân Trung")</f>
        <v>Phường Xuân Trung</v>
      </c>
    </row>
    <row r="8467" spans="1:7" x14ac:dyDescent="0.25">
      <c r="A8467" s="2">
        <v>8466</v>
      </c>
      <c r="B8467" s="3" t="s">
        <v>50</v>
      </c>
      <c r="C8467" s="4" t="str">
        <f t="shared" si="740"/>
        <v>Đồng Nai</v>
      </c>
      <c r="D8467" s="3" t="s">
        <v>593</v>
      </c>
      <c r="E8467" s="4" t="str">
        <f t="shared" si="742"/>
        <v>Thành phố Long Khánh</v>
      </c>
      <c r="F8467" s="3" t="s">
        <v>9227</v>
      </c>
      <c r="G8467" s="4" t="str">
        <f>HYPERLINK("https://diaocthongthai.com/phuong-xuan-thanh-tp-long-khanh/","Phường Xuân Thanh")</f>
        <v>Phường Xuân Thanh</v>
      </c>
    </row>
    <row r="8468" spans="1:7" x14ac:dyDescent="0.25">
      <c r="A8468" s="2">
        <v>8467</v>
      </c>
      <c r="B8468" s="3" t="s">
        <v>50</v>
      </c>
      <c r="C8468" s="4" t="str">
        <f t="shared" ref="C8468:C8499" si="743">HYPERLINK("https://diaocthongthai.com/ban-do-dong-nai/","Đồng Nai")</f>
        <v>Đồng Nai</v>
      </c>
      <c r="D8468" s="3" t="s">
        <v>593</v>
      </c>
      <c r="E8468" s="4" t="str">
        <f t="shared" si="742"/>
        <v>Thành phố Long Khánh</v>
      </c>
      <c r="F8468" s="3" t="s">
        <v>9228</v>
      </c>
      <c r="G8468" s="4" t="str">
        <f>HYPERLINK("https://diaocthongthai.com/phuong-xuan-binh-tp-long-khanh/","Phường Xuân Bình")</f>
        <v>Phường Xuân Bình</v>
      </c>
    </row>
    <row r="8469" spans="1:7" x14ac:dyDescent="0.25">
      <c r="A8469" s="2">
        <v>8468</v>
      </c>
      <c r="B8469" s="3" t="s">
        <v>50</v>
      </c>
      <c r="C8469" s="4" t="str">
        <f t="shared" si="743"/>
        <v>Đồng Nai</v>
      </c>
      <c r="D8469" s="3" t="s">
        <v>593</v>
      </c>
      <c r="E8469" s="4" t="str">
        <f t="shared" si="742"/>
        <v>Thành phố Long Khánh</v>
      </c>
      <c r="F8469" s="3" t="s">
        <v>9229</v>
      </c>
      <c r="G8469" s="4" t="str">
        <f>HYPERLINK("https://diaocthongthai.com/phuong-xuan-an-tp-long-khanh/","Phường Xuân An")</f>
        <v>Phường Xuân An</v>
      </c>
    </row>
    <row r="8470" spans="1:7" x14ac:dyDescent="0.25">
      <c r="A8470" s="2">
        <v>8469</v>
      </c>
      <c r="B8470" s="3" t="s">
        <v>50</v>
      </c>
      <c r="C8470" s="4" t="str">
        <f t="shared" si="743"/>
        <v>Đồng Nai</v>
      </c>
      <c r="D8470" s="3" t="s">
        <v>593</v>
      </c>
      <c r="E8470" s="4" t="str">
        <f t="shared" si="742"/>
        <v>Thành phố Long Khánh</v>
      </c>
      <c r="F8470" s="3" t="s">
        <v>9230</v>
      </c>
      <c r="G8470" s="4" t="str">
        <f>HYPERLINK("https://diaocthongthai.com/phuong-xuan-hoa-tp-long-khanh/","Phường Xuân Hoà")</f>
        <v>Phường Xuân Hoà</v>
      </c>
    </row>
    <row r="8471" spans="1:7" x14ac:dyDescent="0.25">
      <c r="A8471" s="2">
        <v>8470</v>
      </c>
      <c r="B8471" s="3" t="s">
        <v>50</v>
      </c>
      <c r="C8471" s="4" t="str">
        <f t="shared" si="743"/>
        <v>Đồng Nai</v>
      </c>
      <c r="D8471" s="3" t="s">
        <v>593</v>
      </c>
      <c r="E8471" s="4" t="str">
        <f t="shared" si="742"/>
        <v>Thành phố Long Khánh</v>
      </c>
      <c r="F8471" s="3" t="s">
        <v>9231</v>
      </c>
      <c r="G8471" s="4" t="str">
        <f>HYPERLINK("https://diaocthongthai.com/phuong-phu-binh-tp-long-khanh/","Phường Phú Bình")</f>
        <v>Phường Phú Bình</v>
      </c>
    </row>
    <row r="8472" spans="1:7" x14ac:dyDescent="0.25">
      <c r="A8472" s="2">
        <v>8471</v>
      </c>
      <c r="B8472" s="3" t="s">
        <v>50</v>
      </c>
      <c r="C8472" s="4" t="str">
        <f t="shared" si="743"/>
        <v>Đồng Nai</v>
      </c>
      <c r="D8472" s="3" t="s">
        <v>593</v>
      </c>
      <c r="E8472" s="4" t="str">
        <f t="shared" si="742"/>
        <v>Thành phố Long Khánh</v>
      </c>
      <c r="F8472" s="3" t="s">
        <v>9232</v>
      </c>
      <c r="G8472" s="4" t="str">
        <f>HYPERLINK("https://diaocthongthai.com/xa-binh-loc-tp-long-khanh/","Xã Bình Lộc")</f>
        <v>Xã Bình Lộc</v>
      </c>
    </row>
    <row r="8473" spans="1:7" x14ac:dyDescent="0.25">
      <c r="A8473" s="2">
        <v>8472</v>
      </c>
      <c r="B8473" s="3" t="s">
        <v>50</v>
      </c>
      <c r="C8473" s="4" t="str">
        <f t="shared" si="743"/>
        <v>Đồng Nai</v>
      </c>
      <c r="D8473" s="3" t="s">
        <v>593</v>
      </c>
      <c r="E8473" s="4" t="str">
        <f t="shared" si="742"/>
        <v>Thành phố Long Khánh</v>
      </c>
      <c r="F8473" s="3" t="s">
        <v>9233</v>
      </c>
      <c r="G8473" s="4" t="str">
        <f>HYPERLINK("https://diaocthongthai.com/xa-bao-quang-tp-long-khanh/","Xã Bảo Quang")</f>
        <v>Xã Bảo Quang</v>
      </c>
    </row>
    <row r="8474" spans="1:7" x14ac:dyDescent="0.25">
      <c r="A8474" s="2">
        <v>8473</v>
      </c>
      <c r="B8474" s="3" t="s">
        <v>50</v>
      </c>
      <c r="C8474" s="4" t="str">
        <f t="shared" si="743"/>
        <v>Đồng Nai</v>
      </c>
      <c r="D8474" s="3" t="s">
        <v>593</v>
      </c>
      <c r="E8474" s="4" t="str">
        <f t="shared" si="742"/>
        <v>Thành phố Long Khánh</v>
      </c>
      <c r="F8474" s="3" t="s">
        <v>9234</v>
      </c>
      <c r="G8474" s="4" t="str">
        <f>HYPERLINK("https://diaocthongthai.com/phuong-suoi-tre-tp-long-khanh/","Phường Suối Tre")</f>
        <v>Phường Suối Tre</v>
      </c>
    </row>
    <row r="8475" spans="1:7" x14ac:dyDescent="0.25">
      <c r="A8475" s="2">
        <v>8474</v>
      </c>
      <c r="B8475" s="3" t="s">
        <v>50</v>
      </c>
      <c r="C8475" s="4" t="str">
        <f t="shared" si="743"/>
        <v>Đồng Nai</v>
      </c>
      <c r="D8475" s="3" t="s">
        <v>593</v>
      </c>
      <c r="E8475" s="4" t="str">
        <f t="shared" si="742"/>
        <v>Thành phố Long Khánh</v>
      </c>
      <c r="F8475" s="3" t="s">
        <v>9235</v>
      </c>
      <c r="G8475" s="4" t="str">
        <f>HYPERLINK("https://diaocthongthai.com/phuong-bao-vinh-tp-long-khanh/","Phường Bảo Vinh")</f>
        <v>Phường Bảo Vinh</v>
      </c>
    </row>
    <row r="8476" spans="1:7" x14ac:dyDescent="0.25">
      <c r="A8476" s="2">
        <v>8475</v>
      </c>
      <c r="B8476" s="3" t="s">
        <v>50</v>
      </c>
      <c r="C8476" s="4" t="str">
        <f t="shared" si="743"/>
        <v>Đồng Nai</v>
      </c>
      <c r="D8476" s="3" t="s">
        <v>593</v>
      </c>
      <c r="E8476" s="4" t="str">
        <f t="shared" si="742"/>
        <v>Thành phố Long Khánh</v>
      </c>
      <c r="F8476" s="3" t="s">
        <v>9236</v>
      </c>
      <c r="G8476" s="4" t="str">
        <f>HYPERLINK("https://diaocthongthai.com/phuong-xuan-lap-tp-long-khanh/","Phường Xuân Lập")</f>
        <v>Phường Xuân Lập</v>
      </c>
    </row>
    <row r="8477" spans="1:7" x14ac:dyDescent="0.25">
      <c r="A8477" s="2">
        <v>8476</v>
      </c>
      <c r="B8477" s="3" t="s">
        <v>50</v>
      </c>
      <c r="C8477" s="4" t="str">
        <f t="shared" si="743"/>
        <v>Đồng Nai</v>
      </c>
      <c r="D8477" s="3" t="s">
        <v>593</v>
      </c>
      <c r="E8477" s="4" t="str">
        <f t="shared" si="742"/>
        <v>Thành phố Long Khánh</v>
      </c>
      <c r="F8477" s="3" t="s">
        <v>9237</v>
      </c>
      <c r="G8477" s="4" t="str">
        <f>HYPERLINK("https://diaocthongthai.com/phuong-bau-sen-tp-long-khanh/","Phường Bàu Sen")</f>
        <v>Phường Bàu Sen</v>
      </c>
    </row>
    <row r="8478" spans="1:7" x14ac:dyDescent="0.25">
      <c r="A8478" s="2">
        <v>8477</v>
      </c>
      <c r="B8478" s="3" t="s">
        <v>50</v>
      </c>
      <c r="C8478" s="4" t="str">
        <f t="shared" si="743"/>
        <v>Đồng Nai</v>
      </c>
      <c r="D8478" s="3" t="s">
        <v>593</v>
      </c>
      <c r="E8478" s="4" t="str">
        <f t="shared" si="742"/>
        <v>Thành phố Long Khánh</v>
      </c>
      <c r="F8478" s="3" t="s">
        <v>9238</v>
      </c>
      <c r="G8478" s="4" t="str">
        <f>HYPERLINK("https://diaocthongthai.com/xa-bau-tram-tp-long-khanh/","Xã Bàu Trâm")</f>
        <v>Xã Bàu Trâm</v>
      </c>
    </row>
    <row r="8479" spans="1:7" x14ac:dyDescent="0.25">
      <c r="A8479" s="2">
        <v>8478</v>
      </c>
      <c r="B8479" s="3" t="s">
        <v>50</v>
      </c>
      <c r="C8479" s="4" t="str">
        <f t="shared" si="743"/>
        <v>Đồng Nai</v>
      </c>
      <c r="D8479" s="3" t="s">
        <v>593</v>
      </c>
      <c r="E8479" s="4" t="str">
        <f t="shared" si="742"/>
        <v>Thành phố Long Khánh</v>
      </c>
      <c r="F8479" s="3" t="s">
        <v>9239</v>
      </c>
      <c r="G8479" s="4" t="str">
        <f>HYPERLINK("https://diaocthongthai.com/phuong-xuan-tan-tp-long-khanh/","Phường Xuân Tân")</f>
        <v>Phường Xuân Tân</v>
      </c>
    </row>
    <row r="8480" spans="1:7" x14ac:dyDescent="0.25">
      <c r="A8480" s="2">
        <v>8479</v>
      </c>
      <c r="B8480" s="3" t="s">
        <v>50</v>
      </c>
      <c r="C8480" s="4" t="str">
        <f t="shared" si="743"/>
        <v>Đồng Nai</v>
      </c>
      <c r="D8480" s="3" t="s">
        <v>593</v>
      </c>
      <c r="E8480" s="4" t="str">
        <f t="shared" si="742"/>
        <v>Thành phố Long Khánh</v>
      </c>
      <c r="F8480" s="3" t="s">
        <v>9240</v>
      </c>
      <c r="G8480" s="4" t="str">
        <f>HYPERLINK("https://diaocthongthai.com/xa-hang-gon-tp-long-khanh/","Xã Hàng Gòn")</f>
        <v>Xã Hàng Gòn</v>
      </c>
    </row>
    <row r="8481" spans="1:7" x14ac:dyDescent="0.25">
      <c r="A8481" s="2">
        <v>8480</v>
      </c>
      <c r="B8481" s="3" t="s">
        <v>50</v>
      </c>
      <c r="C8481" s="4" t="str">
        <f t="shared" si="743"/>
        <v>Đồng Nai</v>
      </c>
      <c r="D8481" s="3" t="s">
        <v>594</v>
      </c>
      <c r="E8481" s="4" t="str">
        <f t="shared" ref="E8481:E8498" si="744">HYPERLINK("https://diaocthongthai.com/ban-do-huyen-tan-phu-dong-nai/","Huyện Tân Phú")</f>
        <v>Huyện Tân Phú</v>
      </c>
      <c r="F8481" s="3" t="s">
        <v>9241</v>
      </c>
      <c r="G8481" s="4" t="str">
        <f>HYPERLINK("https://diaocthongthai.com/thi-tran-tan-phu-tan-phu/","Thị trấn Tân Phú")</f>
        <v>Thị trấn Tân Phú</v>
      </c>
    </row>
    <row r="8482" spans="1:7" x14ac:dyDescent="0.25">
      <c r="A8482" s="2">
        <v>8481</v>
      </c>
      <c r="B8482" s="3" t="s">
        <v>50</v>
      </c>
      <c r="C8482" s="4" t="str">
        <f t="shared" si="743"/>
        <v>Đồng Nai</v>
      </c>
      <c r="D8482" s="3" t="s">
        <v>594</v>
      </c>
      <c r="E8482" s="4" t="str">
        <f t="shared" si="744"/>
        <v>Huyện Tân Phú</v>
      </c>
      <c r="F8482" s="3" t="s">
        <v>9242</v>
      </c>
      <c r="G8482" s="4" t="str">
        <f>HYPERLINK("https://diaocthongthai.com/xa-dac-lua-tan-phu/","Xã Dak Lua")</f>
        <v>Xã Dak Lua</v>
      </c>
    </row>
    <row r="8483" spans="1:7" x14ac:dyDescent="0.25">
      <c r="A8483" s="2">
        <v>8482</v>
      </c>
      <c r="B8483" s="3" t="s">
        <v>50</v>
      </c>
      <c r="C8483" s="4" t="str">
        <f t="shared" si="743"/>
        <v>Đồng Nai</v>
      </c>
      <c r="D8483" s="3" t="s">
        <v>594</v>
      </c>
      <c r="E8483" s="4" t="str">
        <f t="shared" si="744"/>
        <v>Huyện Tân Phú</v>
      </c>
      <c r="F8483" s="3" t="s">
        <v>9243</v>
      </c>
      <c r="G8483" s="4" t="str">
        <f>HYPERLINK("https://diaocthongthai.com/xa-nam-cat-tien-tan-phu/","Xã Nam Cát Tiên")</f>
        <v>Xã Nam Cát Tiên</v>
      </c>
    </row>
    <row r="8484" spans="1:7" x14ac:dyDescent="0.25">
      <c r="A8484" s="2">
        <v>8483</v>
      </c>
      <c r="B8484" s="3" t="s">
        <v>50</v>
      </c>
      <c r="C8484" s="4" t="str">
        <f t="shared" si="743"/>
        <v>Đồng Nai</v>
      </c>
      <c r="D8484" s="3" t="s">
        <v>594</v>
      </c>
      <c r="E8484" s="4" t="str">
        <f t="shared" si="744"/>
        <v>Huyện Tân Phú</v>
      </c>
      <c r="F8484" s="3" t="s">
        <v>9244</v>
      </c>
      <c r="G8484" s="4" t="str">
        <f>HYPERLINK("https://diaocthongthai.com/xa-phu-an-tan-phu/","Xã Phú An")</f>
        <v>Xã Phú An</v>
      </c>
    </row>
    <row r="8485" spans="1:7" x14ac:dyDescent="0.25">
      <c r="A8485" s="2">
        <v>8484</v>
      </c>
      <c r="B8485" s="3" t="s">
        <v>50</v>
      </c>
      <c r="C8485" s="4" t="str">
        <f t="shared" si="743"/>
        <v>Đồng Nai</v>
      </c>
      <c r="D8485" s="3" t="s">
        <v>594</v>
      </c>
      <c r="E8485" s="4" t="str">
        <f t="shared" si="744"/>
        <v>Huyện Tân Phú</v>
      </c>
      <c r="F8485" s="3" t="s">
        <v>9245</v>
      </c>
      <c r="G8485" s="4" t="str">
        <f>HYPERLINK("https://diaocthongthai.com/xa-nui-tuong-tan-phu/","Xã Núi Tượng")</f>
        <v>Xã Núi Tượng</v>
      </c>
    </row>
    <row r="8486" spans="1:7" x14ac:dyDescent="0.25">
      <c r="A8486" s="2">
        <v>8485</v>
      </c>
      <c r="B8486" s="3" t="s">
        <v>50</v>
      </c>
      <c r="C8486" s="4" t="str">
        <f t="shared" si="743"/>
        <v>Đồng Nai</v>
      </c>
      <c r="D8486" s="3" t="s">
        <v>594</v>
      </c>
      <c r="E8486" s="4" t="str">
        <f t="shared" si="744"/>
        <v>Huyện Tân Phú</v>
      </c>
      <c r="F8486" s="3" t="s">
        <v>9246</v>
      </c>
      <c r="G8486" s="4" t="str">
        <f>HYPERLINK("https://diaocthongthai.com/xa-ta-lai-tan-phu/","Xã Tà Lài")</f>
        <v>Xã Tà Lài</v>
      </c>
    </row>
    <row r="8487" spans="1:7" x14ac:dyDescent="0.25">
      <c r="A8487" s="2">
        <v>8486</v>
      </c>
      <c r="B8487" s="3" t="s">
        <v>50</v>
      </c>
      <c r="C8487" s="4" t="str">
        <f t="shared" si="743"/>
        <v>Đồng Nai</v>
      </c>
      <c r="D8487" s="3" t="s">
        <v>594</v>
      </c>
      <c r="E8487" s="4" t="str">
        <f t="shared" si="744"/>
        <v>Huyện Tân Phú</v>
      </c>
      <c r="F8487" s="3" t="s">
        <v>9247</v>
      </c>
      <c r="G8487" s="4" t="str">
        <f>HYPERLINK("https://diaocthongthai.com/xa-phu-lap-tan-phu/","Xã Phú Lập")</f>
        <v>Xã Phú Lập</v>
      </c>
    </row>
    <row r="8488" spans="1:7" x14ac:dyDescent="0.25">
      <c r="A8488" s="2">
        <v>8487</v>
      </c>
      <c r="B8488" s="3" t="s">
        <v>50</v>
      </c>
      <c r="C8488" s="4" t="str">
        <f t="shared" si="743"/>
        <v>Đồng Nai</v>
      </c>
      <c r="D8488" s="3" t="s">
        <v>594</v>
      </c>
      <c r="E8488" s="4" t="str">
        <f t="shared" si="744"/>
        <v>Huyện Tân Phú</v>
      </c>
      <c r="F8488" s="3" t="s">
        <v>9248</v>
      </c>
      <c r="G8488" s="4" t="str">
        <f>HYPERLINK("https://diaocthongthai.com/xa-phu-son-tan-phu/","Xã Phú Sơn")</f>
        <v>Xã Phú Sơn</v>
      </c>
    </row>
    <row r="8489" spans="1:7" x14ac:dyDescent="0.25">
      <c r="A8489" s="2">
        <v>8488</v>
      </c>
      <c r="B8489" s="3" t="s">
        <v>50</v>
      </c>
      <c r="C8489" s="4" t="str">
        <f t="shared" si="743"/>
        <v>Đồng Nai</v>
      </c>
      <c r="D8489" s="3" t="s">
        <v>594</v>
      </c>
      <c r="E8489" s="4" t="str">
        <f t="shared" si="744"/>
        <v>Huyện Tân Phú</v>
      </c>
      <c r="F8489" s="3" t="s">
        <v>9249</v>
      </c>
      <c r="G8489" s="4" t="str">
        <f>HYPERLINK("https://diaocthongthai.com/xa-phu-thinh-tan-phu/","Xã Phú Thịnh")</f>
        <v>Xã Phú Thịnh</v>
      </c>
    </row>
    <row r="8490" spans="1:7" x14ac:dyDescent="0.25">
      <c r="A8490" s="2">
        <v>8489</v>
      </c>
      <c r="B8490" s="3" t="s">
        <v>50</v>
      </c>
      <c r="C8490" s="4" t="str">
        <f t="shared" si="743"/>
        <v>Đồng Nai</v>
      </c>
      <c r="D8490" s="3" t="s">
        <v>594</v>
      </c>
      <c r="E8490" s="4" t="str">
        <f t="shared" si="744"/>
        <v>Huyện Tân Phú</v>
      </c>
      <c r="F8490" s="3" t="s">
        <v>9250</v>
      </c>
      <c r="G8490" s="4" t="str">
        <f>HYPERLINK("https://diaocthongthai.com/xa-thanh-son-tan-phu/","Xã Thanh Sơn")</f>
        <v>Xã Thanh Sơn</v>
      </c>
    </row>
    <row r="8491" spans="1:7" x14ac:dyDescent="0.25">
      <c r="A8491" s="2">
        <v>8490</v>
      </c>
      <c r="B8491" s="3" t="s">
        <v>50</v>
      </c>
      <c r="C8491" s="4" t="str">
        <f t="shared" si="743"/>
        <v>Đồng Nai</v>
      </c>
      <c r="D8491" s="3" t="s">
        <v>594</v>
      </c>
      <c r="E8491" s="4" t="str">
        <f t="shared" si="744"/>
        <v>Huyện Tân Phú</v>
      </c>
      <c r="F8491" s="3" t="s">
        <v>9251</v>
      </c>
      <c r="G8491" s="4" t="str">
        <f>HYPERLINK("https://diaocthongthai.com/xa-phu-trung-tan-phu/","Xã Phú Trung")</f>
        <v>Xã Phú Trung</v>
      </c>
    </row>
    <row r="8492" spans="1:7" x14ac:dyDescent="0.25">
      <c r="A8492" s="2">
        <v>8491</v>
      </c>
      <c r="B8492" s="3" t="s">
        <v>50</v>
      </c>
      <c r="C8492" s="4" t="str">
        <f t="shared" si="743"/>
        <v>Đồng Nai</v>
      </c>
      <c r="D8492" s="3" t="s">
        <v>594</v>
      </c>
      <c r="E8492" s="4" t="str">
        <f t="shared" si="744"/>
        <v>Huyện Tân Phú</v>
      </c>
      <c r="F8492" s="3" t="s">
        <v>9252</v>
      </c>
      <c r="G8492" s="4" t="str">
        <f>HYPERLINK("https://diaocthongthai.com/xa-phu-xuan-tan-phu/","Xã Phú Xuân")</f>
        <v>Xã Phú Xuân</v>
      </c>
    </row>
    <row r="8493" spans="1:7" x14ac:dyDescent="0.25">
      <c r="A8493" s="2">
        <v>8492</v>
      </c>
      <c r="B8493" s="3" t="s">
        <v>50</v>
      </c>
      <c r="C8493" s="4" t="str">
        <f t="shared" si="743"/>
        <v>Đồng Nai</v>
      </c>
      <c r="D8493" s="3" t="s">
        <v>594</v>
      </c>
      <c r="E8493" s="4" t="str">
        <f t="shared" si="744"/>
        <v>Huyện Tân Phú</v>
      </c>
      <c r="F8493" s="3" t="s">
        <v>9253</v>
      </c>
      <c r="G8493" s="4" t="str">
        <f>HYPERLINK("https://diaocthongthai.com/xa-phu-loc-tan-phu/","Xã Phú Lộc")</f>
        <v>Xã Phú Lộc</v>
      </c>
    </row>
    <row r="8494" spans="1:7" x14ac:dyDescent="0.25">
      <c r="A8494" s="2">
        <v>8493</v>
      </c>
      <c r="B8494" s="3" t="s">
        <v>50</v>
      </c>
      <c r="C8494" s="4" t="str">
        <f t="shared" si="743"/>
        <v>Đồng Nai</v>
      </c>
      <c r="D8494" s="3" t="s">
        <v>594</v>
      </c>
      <c r="E8494" s="4" t="str">
        <f t="shared" si="744"/>
        <v>Huyện Tân Phú</v>
      </c>
      <c r="F8494" s="3" t="s">
        <v>9254</v>
      </c>
      <c r="G8494" s="4" t="str">
        <f>HYPERLINK("https://diaocthongthai.com/xa-phu-lam-tan-phu/","Xã Phú Lâm")</f>
        <v>Xã Phú Lâm</v>
      </c>
    </row>
    <row r="8495" spans="1:7" x14ac:dyDescent="0.25">
      <c r="A8495" s="2">
        <v>8494</v>
      </c>
      <c r="B8495" s="3" t="s">
        <v>50</v>
      </c>
      <c r="C8495" s="4" t="str">
        <f t="shared" si="743"/>
        <v>Đồng Nai</v>
      </c>
      <c r="D8495" s="3" t="s">
        <v>594</v>
      </c>
      <c r="E8495" s="4" t="str">
        <f t="shared" si="744"/>
        <v>Huyện Tân Phú</v>
      </c>
      <c r="F8495" s="3" t="s">
        <v>9255</v>
      </c>
      <c r="G8495" s="4" t="str">
        <f>HYPERLINK("https://diaocthongthai.com/xa-phu-binh-tan-phu/","Xã Phú Bình")</f>
        <v>Xã Phú Bình</v>
      </c>
    </row>
    <row r="8496" spans="1:7" x14ac:dyDescent="0.25">
      <c r="A8496" s="2">
        <v>8495</v>
      </c>
      <c r="B8496" s="3" t="s">
        <v>50</v>
      </c>
      <c r="C8496" s="4" t="str">
        <f t="shared" si="743"/>
        <v>Đồng Nai</v>
      </c>
      <c r="D8496" s="3" t="s">
        <v>594</v>
      </c>
      <c r="E8496" s="4" t="str">
        <f t="shared" si="744"/>
        <v>Huyện Tân Phú</v>
      </c>
      <c r="F8496" s="3" t="s">
        <v>9256</v>
      </c>
      <c r="G8496" s="4" t="str">
        <f>HYPERLINK("https://diaocthongthai.com/xa-phu-thanh-tan-phu/","Xã Phú Thanh")</f>
        <v>Xã Phú Thanh</v>
      </c>
    </row>
    <row r="8497" spans="1:7" x14ac:dyDescent="0.25">
      <c r="A8497" s="2">
        <v>8496</v>
      </c>
      <c r="B8497" s="3" t="s">
        <v>50</v>
      </c>
      <c r="C8497" s="4" t="str">
        <f t="shared" si="743"/>
        <v>Đồng Nai</v>
      </c>
      <c r="D8497" s="3" t="s">
        <v>594</v>
      </c>
      <c r="E8497" s="4" t="str">
        <f t="shared" si="744"/>
        <v>Huyện Tân Phú</v>
      </c>
      <c r="F8497" s="3" t="s">
        <v>9257</v>
      </c>
      <c r="G8497" s="4" t="str">
        <f>HYPERLINK("https://diaocthongthai.com/xa-tra-co-tan-phu/","Xã Trà Cổ")</f>
        <v>Xã Trà Cổ</v>
      </c>
    </row>
    <row r="8498" spans="1:7" x14ac:dyDescent="0.25">
      <c r="A8498" s="2">
        <v>8497</v>
      </c>
      <c r="B8498" s="3" t="s">
        <v>50</v>
      </c>
      <c r="C8498" s="4" t="str">
        <f t="shared" si="743"/>
        <v>Đồng Nai</v>
      </c>
      <c r="D8498" s="3" t="s">
        <v>594</v>
      </c>
      <c r="E8498" s="4" t="str">
        <f t="shared" si="744"/>
        <v>Huyện Tân Phú</v>
      </c>
      <c r="F8498" s="3" t="s">
        <v>9258</v>
      </c>
      <c r="G8498" s="4" t="str">
        <f>HYPERLINK("https://diaocthongthai.com/xa-phu-dien-tan-phu/","Xã Phú Điền")</f>
        <v>Xã Phú Điền</v>
      </c>
    </row>
    <row r="8499" spans="1:7" x14ac:dyDescent="0.25">
      <c r="A8499" s="2">
        <v>8498</v>
      </c>
      <c r="B8499" s="3" t="s">
        <v>50</v>
      </c>
      <c r="C8499" s="4" t="str">
        <f t="shared" si="743"/>
        <v>Đồng Nai</v>
      </c>
      <c r="D8499" s="3" t="s">
        <v>595</v>
      </c>
      <c r="E8499" s="4" t="str">
        <f t="shared" ref="E8499:E8510" si="745">HYPERLINK("https://diaocthongthai.com/ban-do-huyen-vinh-cuu-dong-nai/","Huyện Vĩnh Cửu")</f>
        <v>Huyện Vĩnh Cửu</v>
      </c>
      <c r="F8499" s="3" t="s">
        <v>9259</v>
      </c>
      <c r="G8499" s="4" t="str">
        <f>HYPERLINK("https://diaocthongthai.com/thi-tran-vinh-an-vinh-cuu/","Thị trấn Vĩnh An")</f>
        <v>Thị trấn Vĩnh An</v>
      </c>
    </row>
    <row r="8500" spans="1:7" x14ac:dyDescent="0.25">
      <c r="A8500" s="2">
        <v>8499</v>
      </c>
      <c r="B8500" s="3" t="s">
        <v>50</v>
      </c>
      <c r="C8500" s="4" t="str">
        <f t="shared" ref="C8500:C8531" si="746">HYPERLINK("https://diaocthongthai.com/ban-do-dong-nai/","Đồng Nai")</f>
        <v>Đồng Nai</v>
      </c>
      <c r="D8500" s="3" t="s">
        <v>595</v>
      </c>
      <c r="E8500" s="4" t="str">
        <f t="shared" si="745"/>
        <v>Huyện Vĩnh Cửu</v>
      </c>
      <c r="F8500" s="3" t="s">
        <v>9260</v>
      </c>
      <c r="G8500" s="4" t="str">
        <f>HYPERLINK("https://diaocthongthai.com/xa-phu-ly-vinh-cuu/","Xã Phú Lý")</f>
        <v>Xã Phú Lý</v>
      </c>
    </row>
    <row r="8501" spans="1:7" x14ac:dyDescent="0.25">
      <c r="A8501" s="2">
        <v>8500</v>
      </c>
      <c r="B8501" s="3" t="s">
        <v>50</v>
      </c>
      <c r="C8501" s="4" t="str">
        <f t="shared" si="746"/>
        <v>Đồng Nai</v>
      </c>
      <c r="D8501" s="3" t="s">
        <v>595</v>
      </c>
      <c r="E8501" s="4" t="str">
        <f t="shared" si="745"/>
        <v>Huyện Vĩnh Cửu</v>
      </c>
      <c r="F8501" s="3" t="s">
        <v>9261</v>
      </c>
      <c r="G8501" s="4" t="str">
        <f>HYPERLINK("https://diaocthongthai.com/xa-tri-an-vinh-cuu/","Xã Trị An")</f>
        <v>Xã Trị An</v>
      </c>
    </row>
    <row r="8502" spans="1:7" x14ac:dyDescent="0.25">
      <c r="A8502" s="2">
        <v>8501</v>
      </c>
      <c r="B8502" s="3" t="s">
        <v>50</v>
      </c>
      <c r="C8502" s="4" t="str">
        <f t="shared" si="746"/>
        <v>Đồng Nai</v>
      </c>
      <c r="D8502" s="3" t="s">
        <v>595</v>
      </c>
      <c r="E8502" s="4" t="str">
        <f t="shared" si="745"/>
        <v>Huyện Vĩnh Cửu</v>
      </c>
      <c r="F8502" s="3" t="s">
        <v>9262</v>
      </c>
      <c r="G8502" s="4" t="str">
        <f>HYPERLINK("https://diaocthongthai.com/xa-tan-an-vinh-cuu/","Xã Tân An")</f>
        <v>Xã Tân An</v>
      </c>
    </row>
    <row r="8503" spans="1:7" x14ac:dyDescent="0.25">
      <c r="A8503" s="2">
        <v>8502</v>
      </c>
      <c r="B8503" s="3" t="s">
        <v>50</v>
      </c>
      <c r="C8503" s="4" t="str">
        <f t="shared" si="746"/>
        <v>Đồng Nai</v>
      </c>
      <c r="D8503" s="3" t="s">
        <v>595</v>
      </c>
      <c r="E8503" s="4" t="str">
        <f t="shared" si="745"/>
        <v>Huyện Vĩnh Cửu</v>
      </c>
      <c r="F8503" s="3" t="s">
        <v>9263</v>
      </c>
      <c r="G8503" s="4" t="str">
        <f>HYPERLINK("https://diaocthongthai.com/xa-vinh-tan-vinh-cuu/","Xã Vĩnh Tân")</f>
        <v>Xã Vĩnh Tân</v>
      </c>
    </row>
    <row r="8504" spans="1:7" x14ac:dyDescent="0.25">
      <c r="A8504" s="2">
        <v>8503</v>
      </c>
      <c r="B8504" s="3" t="s">
        <v>50</v>
      </c>
      <c r="C8504" s="4" t="str">
        <f t="shared" si="746"/>
        <v>Đồng Nai</v>
      </c>
      <c r="D8504" s="3" t="s">
        <v>595</v>
      </c>
      <c r="E8504" s="4" t="str">
        <f t="shared" si="745"/>
        <v>Huyện Vĩnh Cửu</v>
      </c>
      <c r="F8504" s="3" t="s">
        <v>9264</v>
      </c>
      <c r="G8504" s="4" t="str">
        <f>HYPERLINK("https://diaocthongthai.com/xa-binh-loi-vinh-cuu/","Xã Bình Lợi")</f>
        <v>Xã Bình Lợi</v>
      </c>
    </row>
    <row r="8505" spans="1:7" x14ac:dyDescent="0.25">
      <c r="A8505" s="2">
        <v>8504</v>
      </c>
      <c r="B8505" s="3" t="s">
        <v>50</v>
      </c>
      <c r="C8505" s="4" t="str">
        <f t="shared" si="746"/>
        <v>Đồng Nai</v>
      </c>
      <c r="D8505" s="3" t="s">
        <v>595</v>
      </c>
      <c r="E8505" s="4" t="str">
        <f t="shared" si="745"/>
        <v>Huyện Vĩnh Cửu</v>
      </c>
      <c r="F8505" s="3" t="s">
        <v>9265</v>
      </c>
      <c r="G8505" s="4" t="str">
        <f>HYPERLINK("https://diaocthongthai.com/xa-thanh-phu-vinh-cuu/","Xã Thạnh Phú")</f>
        <v>Xã Thạnh Phú</v>
      </c>
    </row>
    <row r="8506" spans="1:7" x14ac:dyDescent="0.25">
      <c r="A8506" s="2">
        <v>8505</v>
      </c>
      <c r="B8506" s="3" t="s">
        <v>50</v>
      </c>
      <c r="C8506" s="4" t="str">
        <f t="shared" si="746"/>
        <v>Đồng Nai</v>
      </c>
      <c r="D8506" s="3" t="s">
        <v>595</v>
      </c>
      <c r="E8506" s="4" t="str">
        <f t="shared" si="745"/>
        <v>Huyện Vĩnh Cửu</v>
      </c>
      <c r="F8506" s="3" t="s">
        <v>9266</v>
      </c>
      <c r="G8506" s="4" t="str">
        <f>HYPERLINK("https://diaocthongthai.com/xa-thien-tan-vinh-cuu/","Xã Thiện Tân")</f>
        <v>Xã Thiện Tân</v>
      </c>
    </row>
    <row r="8507" spans="1:7" x14ac:dyDescent="0.25">
      <c r="A8507" s="2">
        <v>8506</v>
      </c>
      <c r="B8507" s="3" t="s">
        <v>50</v>
      </c>
      <c r="C8507" s="4" t="str">
        <f t="shared" si="746"/>
        <v>Đồng Nai</v>
      </c>
      <c r="D8507" s="3" t="s">
        <v>595</v>
      </c>
      <c r="E8507" s="4" t="str">
        <f t="shared" si="745"/>
        <v>Huyện Vĩnh Cửu</v>
      </c>
      <c r="F8507" s="3" t="s">
        <v>9267</v>
      </c>
      <c r="G8507" s="4" t="str">
        <f>HYPERLINK("https://diaocthongthai.com/xa-tan-binh-vinh-cuu/","Xã Tân Bình")</f>
        <v>Xã Tân Bình</v>
      </c>
    </row>
    <row r="8508" spans="1:7" x14ac:dyDescent="0.25">
      <c r="A8508" s="2">
        <v>8507</v>
      </c>
      <c r="B8508" s="3" t="s">
        <v>50</v>
      </c>
      <c r="C8508" s="4" t="str">
        <f t="shared" si="746"/>
        <v>Đồng Nai</v>
      </c>
      <c r="D8508" s="3" t="s">
        <v>595</v>
      </c>
      <c r="E8508" s="4" t="str">
        <f t="shared" si="745"/>
        <v>Huyện Vĩnh Cửu</v>
      </c>
      <c r="F8508" s="3" t="s">
        <v>9268</v>
      </c>
      <c r="G8508" s="4" t="str">
        <f>HYPERLINK("https://diaocthongthai.com/xa-binh-hoa-vinh-cuu/","Xã Bình Hòa")</f>
        <v>Xã Bình Hòa</v>
      </c>
    </row>
    <row r="8509" spans="1:7" x14ac:dyDescent="0.25">
      <c r="A8509" s="2">
        <v>8508</v>
      </c>
      <c r="B8509" s="3" t="s">
        <v>50</v>
      </c>
      <c r="C8509" s="4" t="str">
        <f t="shared" si="746"/>
        <v>Đồng Nai</v>
      </c>
      <c r="D8509" s="3" t="s">
        <v>595</v>
      </c>
      <c r="E8509" s="4" t="str">
        <f t="shared" si="745"/>
        <v>Huyện Vĩnh Cửu</v>
      </c>
      <c r="F8509" s="3" t="s">
        <v>9269</v>
      </c>
      <c r="G8509" s="4" t="str">
        <f>HYPERLINK("https://diaocthongthai.com/xa-ma-da-vinh-cuu/","Xã Mã Đà")</f>
        <v>Xã Mã Đà</v>
      </c>
    </row>
    <row r="8510" spans="1:7" x14ac:dyDescent="0.25">
      <c r="A8510" s="2">
        <v>8509</v>
      </c>
      <c r="B8510" s="3" t="s">
        <v>50</v>
      </c>
      <c r="C8510" s="4" t="str">
        <f t="shared" si="746"/>
        <v>Đồng Nai</v>
      </c>
      <c r="D8510" s="3" t="s">
        <v>595</v>
      </c>
      <c r="E8510" s="4" t="str">
        <f t="shared" si="745"/>
        <v>Huyện Vĩnh Cửu</v>
      </c>
      <c r="F8510" s="3" t="s">
        <v>9270</v>
      </c>
      <c r="G8510" s="4" t="str">
        <f>HYPERLINK("https://diaocthongthai.com/xa-hieu-liem-vinh-cuu/","Xã Hiếu Liêm")</f>
        <v>Xã Hiếu Liêm</v>
      </c>
    </row>
    <row r="8511" spans="1:7" x14ac:dyDescent="0.25">
      <c r="A8511" s="2">
        <v>8510</v>
      </c>
      <c r="B8511" s="3" t="s">
        <v>50</v>
      </c>
      <c r="C8511" s="4" t="str">
        <f t="shared" si="746"/>
        <v>Đồng Nai</v>
      </c>
      <c r="D8511" s="3" t="s">
        <v>596</v>
      </c>
      <c r="E8511" s="4" t="str">
        <f t="shared" ref="E8511:E8524" si="747">HYPERLINK("https://diaocthongthai.com/ban-do-huyen-dinh-quan-dong-nai/","Huyện Định Quán")</f>
        <v>Huyện Định Quán</v>
      </c>
      <c r="F8511" s="3" t="s">
        <v>9271</v>
      </c>
      <c r="G8511" s="4" t="str">
        <f>HYPERLINK("https://diaocthongthai.com/thi-tran-dinh-quan-dinh-quan/","Thị trấn Định Quán")</f>
        <v>Thị trấn Định Quán</v>
      </c>
    </row>
    <row r="8512" spans="1:7" x14ac:dyDescent="0.25">
      <c r="A8512" s="2">
        <v>8511</v>
      </c>
      <c r="B8512" s="3" t="s">
        <v>50</v>
      </c>
      <c r="C8512" s="4" t="str">
        <f t="shared" si="746"/>
        <v>Đồng Nai</v>
      </c>
      <c r="D8512" s="3" t="s">
        <v>596</v>
      </c>
      <c r="E8512" s="4" t="str">
        <f t="shared" si="747"/>
        <v>Huyện Định Quán</v>
      </c>
      <c r="F8512" s="3" t="s">
        <v>9272</v>
      </c>
      <c r="G8512" s="4" t="str">
        <f>HYPERLINK("https://diaocthongthai.com/xa-thanh-son-dinh-quan/","Xã Thanh Sơn")</f>
        <v>Xã Thanh Sơn</v>
      </c>
    </row>
    <row r="8513" spans="1:7" x14ac:dyDescent="0.25">
      <c r="A8513" s="2">
        <v>8512</v>
      </c>
      <c r="B8513" s="3" t="s">
        <v>50</v>
      </c>
      <c r="C8513" s="4" t="str">
        <f t="shared" si="746"/>
        <v>Đồng Nai</v>
      </c>
      <c r="D8513" s="3" t="s">
        <v>596</v>
      </c>
      <c r="E8513" s="4" t="str">
        <f t="shared" si="747"/>
        <v>Huyện Định Quán</v>
      </c>
      <c r="F8513" s="3" t="s">
        <v>9273</v>
      </c>
      <c r="G8513" s="4" t="str">
        <f>HYPERLINK("https://diaocthongthai.com/xa-phu-tan-dinh-quan/","Xã Phú Tân")</f>
        <v>Xã Phú Tân</v>
      </c>
    </row>
    <row r="8514" spans="1:7" x14ac:dyDescent="0.25">
      <c r="A8514" s="2">
        <v>8513</v>
      </c>
      <c r="B8514" s="3" t="s">
        <v>50</v>
      </c>
      <c r="C8514" s="4" t="str">
        <f t="shared" si="746"/>
        <v>Đồng Nai</v>
      </c>
      <c r="D8514" s="3" t="s">
        <v>596</v>
      </c>
      <c r="E8514" s="4" t="str">
        <f t="shared" si="747"/>
        <v>Huyện Định Quán</v>
      </c>
      <c r="F8514" s="3" t="s">
        <v>9274</v>
      </c>
      <c r="G8514" s="4" t="str">
        <f>HYPERLINK("https://diaocthongthai.com/xa-phu-vinh-dinh-quan/","Xã Phú Vinh")</f>
        <v>Xã Phú Vinh</v>
      </c>
    </row>
    <row r="8515" spans="1:7" x14ac:dyDescent="0.25">
      <c r="A8515" s="2">
        <v>8514</v>
      </c>
      <c r="B8515" s="3" t="s">
        <v>50</v>
      </c>
      <c r="C8515" s="4" t="str">
        <f t="shared" si="746"/>
        <v>Đồng Nai</v>
      </c>
      <c r="D8515" s="3" t="s">
        <v>596</v>
      </c>
      <c r="E8515" s="4" t="str">
        <f t="shared" si="747"/>
        <v>Huyện Định Quán</v>
      </c>
      <c r="F8515" s="3" t="s">
        <v>9275</v>
      </c>
      <c r="G8515" s="4" t="str">
        <f>HYPERLINK("https://diaocthongthai.com/xa-phu-loi-dinh-quan/","Xã Phú Lợi")</f>
        <v>Xã Phú Lợi</v>
      </c>
    </row>
    <row r="8516" spans="1:7" x14ac:dyDescent="0.25">
      <c r="A8516" s="2">
        <v>8515</v>
      </c>
      <c r="B8516" s="3" t="s">
        <v>50</v>
      </c>
      <c r="C8516" s="4" t="str">
        <f t="shared" si="746"/>
        <v>Đồng Nai</v>
      </c>
      <c r="D8516" s="3" t="s">
        <v>596</v>
      </c>
      <c r="E8516" s="4" t="str">
        <f t="shared" si="747"/>
        <v>Huyện Định Quán</v>
      </c>
      <c r="F8516" s="3" t="s">
        <v>9276</v>
      </c>
      <c r="G8516" s="4" t="str">
        <f>HYPERLINK("https://diaocthongthai.com/xa-phu-hoa-dinh-quan/","Xã Phú Hòa")</f>
        <v>Xã Phú Hòa</v>
      </c>
    </row>
    <row r="8517" spans="1:7" x14ac:dyDescent="0.25">
      <c r="A8517" s="2">
        <v>8516</v>
      </c>
      <c r="B8517" s="3" t="s">
        <v>50</v>
      </c>
      <c r="C8517" s="4" t="str">
        <f t="shared" si="746"/>
        <v>Đồng Nai</v>
      </c>
      <c r="D8517" s="3" t="s">
        <v>596</v>
      </c>
      <c r="E8517" s="4" t="str">
        <f t="shared" si="747"/>
        <v>Huyện Định Quán</v>
      </c>
      <c r="F8517" s="3" t="s">
        <v>9277</v>
      </c>
      <c r="G8517" s="4" t="str">
        <f>HYPERLINK("https://diaocthongthai.com/xa-ngoc-dinh-dinh-quan/","Xã Ngọc Định")</f>
        <v>Xã Ngọc Định</v>
      </c>
    </row>
    <row r="8518" spans="1:7" x14ac:dyDescent="0.25">
      <c r="A8518" s="2">
        <v>8517</v>
      </c>
      <c r="B8518" s="3" t="s">
        <v>50</v>
      </c>
      <c r="C8518" s="4" t="str">
        <f t="shared" si="746"/>
        <v>Đồng Nai</v>
      </c>
      <c r="D8518" s="3" t="s">
        <v>596</v>
      </c>
      <c r="E8518" s="4" t="str">
        <f t="shared" si="747"/>
        <v>Huyện Định Quán</v>
      </c>
      <c r="F8518" s="3" t="s">
        <v>9278</v>
      </c>
      <c r="G8518" s="4" t="str">
        <f>HYPERLINK("https://diaocthongthai.com/xa-la-nga-dinh-quan/","Xã La Ngà")</f>
        <v>Xã La Ngà</v>
      </c>
    </row>
    <row r="8519" spans="1:7" x14ac:dyDescent="0.25">
      <c r="A8519" s="2">
        <v>8518</v>
      </c>
      <c r="B8519" s="3" t="s">
        <v>50</v>
      </c>
      <c r="C8519" s="4" t="str">
        <f t="shared" si="746"/>
        <v>Đồng Nai</v>
      </c>
      <c r="D8519" s="3" t="s">
        <v>596</v>
      </c>
      <c r="E8519" s="4" t="str">
        <f t="shared" si="747"/>
        <v>Huyện Định Quán</v>
      </c>
      <c r="F8519" s="3" t="s">
        <v>9279</v>
      </c>
      <c r="G8519" s="4" t="str">
        <f>HYPERLINK("https://diaocthongthai.com/xa-gia-canh-dinh-quan/","Xã Gia Canh")</f>
        <v>Xã Gia Canh</v>
      </c>
    </row>
    <row r="8520" spans="1:7" x14ac:dyDescent="0.25">
      <c r="A8520" s="2">
        <v>8519</v>
      </c>
      <c r="B8520" s="3" t="s">
        <v>50</v>
      </c>
      <c r="C8520" s="4" t="str">
        <f t="shared" si="746"/>
        <v>Đồng Nai</v>
      </c>
      <c r="D8520" s="3" t="s">
        <v>596</v>
      </c>
      <c r="E8520" s="4" t="str">
        <f t="shared" si="747"/>
        <v>Huyện Định Quán</v>
      </c>
      <c r="F8520" s="3" t="s">
        <v>9280</v>
      </c>
      <c r="G8520" s="4" t="str">
        <f>HYPERLINK("https://diaocthongthai.com/xa-phu-ngoc-dinh-quan/","Xã Phú Ngọc")</f>
        <v>Xã Phú Ngọc</v>
      </c>
    </row>
    <row r="8521" spans="1:7" x14ac:dyDescent="0.25">
      <c r="A8521" s="2">
        <v>8520</v>
      </c>
      <c r="B8521" s="3" t="s">
        <v>50</v>
      </c>
      <c r="C8521" s="4" t="str">
        <f t="shared" si="746"/>
        <v>Đồng Nai</v>
      </c>
      <c r="D8521" s="3" t="s">
        <v>596</v>
      </c>
      <c r="E8521" s="4" t="str">
        <f t="shared" si="747"/>
        <v>Huyện Định Quán</v>
      </c>
      <c r="F8521" s="3" t="s">
        <v>9281</v>
      </c>
      <c r="G8521" s="4" t="str">
        <f>HYPERLINK("https://diaocthongthai.com/xa-phu-cuong-dinh-quan/","Xã Phú Cường")</f>
        <v>Xã Phú Cường</v>
      </c>
    </row>
    <row r="8522" spans="1:7" x14ac:dyDescent="0.25">
      <c r="A8522" s="2">
        <v>8521</v>
      </c>
      <c r="B8522" s="3" t="s">
        <v>50</v>
      </c>
      <c r="C8522" s="4" t="str">
        <f t="shared" si="746"/>
        <v>Đồng Nai</v>
      </c>
      <c r="D8522" s="3" t="s">
        <v>596</v>
      </c>
      <c r="E8522" s="4" t="str">
        <f t="shared" si="747"/>
        <v>Huyện Định Quán</v>
      </c>
      <c r="F8522" s="3" t="s">
        <v>9282</v>
      </c>
      <c r="G8522" s="4" t="str">
        <f>HYPERLINK("https://diaocthongthai.com/xa-tuc-trung-dinh-quan/","Xã Túc Trưng")</f>
        <v>Xã Túc Trưng</v>
      </c>
    </row>
    <row r="8523" spans="1:7" x14ac:dyDescent="0.25">
      <c r="A8523" s="2">
        <v>8522</v>
      </c>
      <c r="B8523" s="3" t="s">
        <v>50</v>
      </c>
      <c r="C8523" s="4" t="str">
        <f t="shared" si="746"/>
        <v>Đồng Nai</v>
      </c>
      <c r="D8523" s="3" t="s">
        <v>596</v>
      </c>
      <c r="E8523" s="4" t="str">
        <f t="shared" si="747"/>
        <v>Huyện Định Quán</v>
      </c>
      <c r="F8523" s="3" t="s">
        <v>9283</v>
      </c>
      <c r="G8523" s="4" t="str">
        <f>HYPERLINK("https://diaocthongthai.com/xa-phu-tuc-dinh-quan/","Xã Phú Túc")</f>
        <v>Xã Phú Túc</v>
      </c>
    </row>
    <row r="8524" spans="1:7" x14ac:dyDescent="0.25">
      <c r="A8524" s="2">
        <v>8523</v>
      </c>
      <c r="B8524" s="3" t="s">
        <v>50</v>
      </c>
      <c r="C8524" s="4" t="str">
        <f t="shared" si="746"/>
        <v>Đồng Nai</v>
      </c>
      <c r="D8524" s="3" t="s">
        <v>596</v>
      </c>
      <c r="E8524" s="4" t="str">
        <f t="shared" si="747"/>
        <v>Huyện Định Quán</v>
      </c>
      <c r="F8524" s="3" t="s">
        <v>9284</v>
      </c>
      <c r="G8524" s="4" t="str">
        <f>HYPERLINK("https://diaocthongthai.com/xa-suoi-nho-dinh-quan/","Xã Suối Nho")</f>
        <v>Xã Suối Nho</v>
      </c>
    </row>
    <row r="8525" spans="1:7" x14ac:dyDescent="0.25">
      <c r="A8525" s="2">
        <v>8524</v>
      </c>
      <c r="B8525" s="3" t="s">
        <v>50</v>
      </c>
      <c r="C8525" s="4" t="str">
        <f t="shared" si="746"/>
        <v>Đồng Nai</v>
      </c>
      <c r="D8525" s="3" t="s">
        <v>597</v>
      </c>
      <c r="E8525" s="4" t="str">
        <f t="shared" ref="E8525:E8541" si="748">HYPERLINK("https://diaocthongthai.com/ban-do-huyen-trang-bom-dong-nai/","Huyện Trảng Bom")</f>
        <v>Huyện Trảng Bom</v>
      </c>
      <c r="F8525" s="3" t="s">
        <v>9285</v>
      </c>
      <c r="G8525" s="4" t="str">
        <f>HYPERLINK("https://diaocthongthai.com/thi-tran-trang-bom-trang-bom/","Thị trấn Trảng Bom")</f>
        <v>Thị trấn Trảng Bom</v>
      </c>
    </row>
    <row r="8526" spans="1:7" x14ac:dyDescent="0.25">
      <c r="A8526" s="2">
        <v>8525</v>
      </c>
      <c r="B8526" s="3" t="s">
        <v>50</v>
      </c>
      <c r="C8526" s="4" t="str">
        <f t="shared" si="746"/>
        <v>Đồng Nai</v>
      </c>
      <c r="D8526" s="3" t="s">
        <v>597</v>
      </c>
      <c r="E8526" s="4" t="str">
        <f t="shared" si="748"/>
        <v>Huyện Trảng Bom</v>
      </c>
      <c r="F8526" s="3" t="s">
        <v>9286</v>
      </c>
      <c r="G8526" s="4" t="str">
        <f>HYPERLINK("https://diaocthongthai.com/xa-thanh-binh-trang-bom/","Xã Thanh Bình")</f>
        <v>Xã Thanh Bình</v>
      </c>
    </row>
    <row r="8527" spans="1:7" x14ac:dyDescent="0.25">
      <c r="A8527" s="2">
        <v>8526</v>
      </c>
      <c r="B8527" s="3" t="s">
        <v>50</v>
      </c>
      <c r="C8527" s="4" t="str">
        <f t="shared" si="746"/>
        <v>Đồng Nai</v>
      </c>
      <c r="D8527" s="3" t="s">
        <v>597</v>
      </c>
      <c r="E8527" s="4" t="str">
        <f t="shared" si="748"/>
        <v>Huyện Trảng Bom</v>
      </c>
      <c r="F8527" s="3" t="s">
        <v>9287</v>
      </c>
      <c r="G8527" s="4" t="str">
        <f>HYPERLINK("https://diaocthongthai.com/xa-cay-gao-trang-bom/","Xã Cây Gáo")</f>
        <v>Xã Cây Gáo</v>
      </c>
    </row>
    <row r="8528" spans="1:7" x14ac:dyDescent="0.25">
      <c r="A8528" s="2">
        <v>8527</v>
      </c>
      <c r="B8528" s="3" t="s">
        <v>50</v>
      </c>
      <c r="C8528" s="4" t="str">
        <f t="shared" si="746"/>
        <v>Đồng Nai</v>
      </c>
      <c r="D8528" s="3" t="s">
        <v>597</v>
      </c>
      <c r="E8528" s="4" t="str">
        <f t="shared" si="748"/>
        <v>Huyện Trảng Bom</v>
      </c>
      <c r="F8528" s="3" t="s">
        <v>9288</v>
      </c>
      <c r="G8528" s="4" t="str">
        <f>HYPERLINK("https://diaocthongthai.com/xa-bau-ham-trang-bom/","Xã Bàu Hàm")</f>
        <v>Xã Bàu Hàm</v>
      </c>
    </row>
    <row r="8529" spans="1:7" x14ac:dyDescent="0.25">
      <c r="A8529" s="2">
        <v>8528</v>
      </c>
      <c r="B8529" s="3" t="s">
        <v>50</v>
      </c>
      <c r="C8529" s="4" t="str">
        <f t="shared" si="746"/>
        <v>Đồng Nai</v>
      </c>
      <c r="D8529" s="3" t="s">
        <v>597</v>
      </c>
      <c r="E8529" s="4" t="str">
        <f t="shared" si="748"/>
        <v>Huyện Trảng Bom</v>
      </c>
      <c r="F8529" s="3" t="s">
        <v>9289</v>
      </c>
      <c r="G8529" s="4" t="str">
        <f>HYPERLINK("https://diaocthongthai.com/xa-song-thao-trang-bom/","Xã Sông Thao")</f>
        <v>Xã Sông Thao</v>
      </c>
    </row>
    <row r="8530" spans="1:7" x14ac:dyDescent="0.25">
      <c r="A8530" s="2">
        <v>8529</v>
      </c>
      <c r="B8530" s="3" t="s">
        <v>50</v>
      </c>
      <c r="C8530" s="4" t="str">
        <f t="shared" si="746"/>
        <v>Đồng Nai</v>
      </c>
      <c r="D8530" s="3" t="s">
        <v>597</v>
      </c>
      <c r="E8530" s="4" t="str">
        <f t="shared" si="748"/>
        <v>Huyện Trảng Bom</v>
      </c>
      <c r="F8530" s="3" t="s">
        <v>9290</v>
      </c>
      <c r="G8530" s="4" t="str">
        <f>HYPERLINK("https://diaocthongthai.com/xa-song-trau-trang-bom/","Xã Sông Trầu")</f>
        <v>Xã Sông Trầu</v>
      </c>
    </row>
    <row r="8531" spans="1:7" x14ac:dyDescent="0.25">
      <c r="A8531" s="2">
        <v>8530</v>
      </c>
      <c r="B8531" s="3" t="s">
        <v>50</v>
      </c>
      <c r="C8531" s="4" t="str">
        <f t="shared" si="746"/>
        <v>Đồng Nai</v>
      </c>
      <c r="D8531" s="3" t="s">
        <v>597</v>
      </c>
      <c r="E8531" s="4" t="str">
        <f t="shared" si="748"/>
        <v>Huyện Trảng Bom</v>
      </c>
      <c r="F8531" s="3" t="s">
        <v>9291</v>
      </c>
      <c r="G8531" s="4" t="str">
        <f>HYPERLINK("https://diaocthongthai.com/xa-dong-hoa-trang-bom/","Xã Đông Hoà")</f>
        <v>Xã Đông Hoà</v>
      </c>
    </row>
    <row r="8532" spans="1:7" x14ac:dyDescent="0.25">
      <c r="A8532" s="2">
        <v>8531</v>
      </c>
      <c r="B8532" s="3" t="s">
        <v>50</v>
      </c>
      <c r="C8532" s="4" t="str">
        <f t="shared" ref="C8532:C8563" si="749">HYPERLINK("https://diaocthongthai.com/ban-do-dong-nai/","Đồng Nai")</f>
        <v>Đồng Nai</v>
      </c>
      <c r="D8532" s="3" t="s">
        <v>597</v>
      </c>
      <c r="E8532" s="4" t="str">
        <f t="shared" si="748"/>
        <v>Huyện Trảng Bom</v>
      </c>
      <c r="F8532" s="3" t="s">
        <v>9292</v>
      </c>
      <c r="G8532" s="4" t="str">
        <f>HYPERLINK("https://diaocthongthai.com/xa-bac-son-trang-bom/","Xã Bắc Sơn")</f>
        <v>Xã Bắc Sơn</v>
      </c>
    </row>
    <row r="8533" spans="1:7" x14ac:dyDescent="0.25">
      <c r="A8533" s="2">
        <v>8532</v>
      </c>
      <c r="B8533" s="3" t="s">
        <v>50</v>
      </c>
      <c r="C8533" s="4" t="str">
        <f t="shared" si="749"/>
        <v>Đồng Nai</v>
      </c>
      <c r="D8533" s="3" t="s">
        <v>597</v>
      </c>
      <c r="E8533" s="4" t="str">
        <f t="shared" si="748"/>
        <v>Huyện Trảng Bom</v>
      </c>
      <c r="F8533" s="3" t="s">
        <v>9293</v>
      </c>
      <c r="G8533" s="4" t="str">
        <f>HYPERLINK("https://diaocthongthai.com/xa-ho-nai-3-trang-bom/","Xã Hố Nai 3")</f>
        <v>Xã Hố Nai 3</v>
      </c>
    </row>
    <row r="8534" spans="1:7" x14ac:dyDescent="0.25">
      <c r="A8534" s="2">
        <v>8533</v>
      </c>
      <c r="B8534" s="3" t="s">
        <v>50</v>
      </c>
      <c r="C8534" s="4" t="str">
        <f t="shared" si="749"/>
        <v>Đồng Nai</v>
      </c>
      <c r="D8534" s="3" t="s">
        <v>597</v>
      </c>
      <c r="E8534" s="4" t="str">
        <f t="shared" si="748"/>
        <v>Huyện Trảng Bom</v>
      </c>
      <c r="F8534" s="3" t="s">
        <v>9294</v>
      </c>
      <c r="G8534" s="4" t="str">
        <f>HYPERLINK("https://diaocthongthai.com/xa-tay-hoa-trang-bom/","Xã Tây Hoà")</f>
        <v>Xã Tây Hoà</v>
      </c>
    </row>
    <row r="8535" spans="1:7" x14ac:dyDescent="0.25">
      <c r="A8535" s="2">
        <v>8534</v>
      </c>
      <c r="B8535" s="3" t="s">
        <v>50</v>
      </c>
      <c r="C8535" s="4" t="str">
        <f t="shared" si="749"/>
        <v>Đồng Nai</v>
      </c>
      <c r="D8535" s="3" t="s">
        <v>597</v>
      </c>
      <c r="E8535" s="4" t="str">
        <f t="shared" si="748"/>
        <v>Huyện Trảng Bom</v>
      </c>
      <c r="F8535" s="3" t="s">
        <v>9295</v>
      </c>
      <c r="G8535" s="4" t="str">
        <f>HYPERLINK("https://diaocthongthai.com/xa-binh-minh-trang-bom/","Xã Bình Minh")</f>
        <v>Xã Bình Minh</v>
      </c>
    </row>
    <row r="8536" spans="1:7" x14ac:dyDescent="0.25">
      <c r="A8536" s="2">
        <v>8535</v>
      </c>
      <c r="B8536" s="3" t="s">
        <v>50</v>
      </c>
      <c r="C8536" s="4" t="str">
        <f t="shared" si="749"/>
        <v>Đồng Nai</v>
      </c>
      <c r="D8536" s="3" t="s">
        <v>597</v>
      </c>
      <c r="E8536" s="4" t="str">
        <f t="shared" si="748"/>
        <v>Huyện Trảng Bom</v>
      </c>
      <c r="F8536" s="3" t="s">
        <v>9296</v>
      </c>
      <c r="G8536" s="4" t="str">
        <f>HYPERLINK("https://diaocthongthai.com/xa-trung-hoa-trang-bom/","Xã Trung Hoà")</f>
        <v>Xã Trung Hoà</v>
      </c>
    </row>
    <row r="8537" spans="1:7" x14ac:dyDescent="0.25">
      <c r="A8537" s="2">
        <v>8536</v>
      </c>
      <c r="B8537" s="3" t="s">
        <v>50</v>
      </c>
      <c r="C8537" s="4" t="str">
        <f t="shared" si="749"/>
        <v>Đồng Nai</v>
      </c>
      <c r="D8537" s="3" t="s">
        <v>597</v>
      </c>
      <c r="E8537" s="4" t="str">
        <f t="shared" si="748"/>
        <v>Huyện Trảng Bom</v>
      </c>
      <c r="F8537" s="3" t="s">
        <v>9297</v>
      </c>
      <c r="G8537" s="4" t="str">
        <f>HYPERLINK("https://diaocthongthai.com/xa-doi-61-trang-bom/","Xã Đồi 61")</f>
        <v>Xã Đồi 61</v>
      </c>
    </row>
    <row r="8538" spans="1:7" x14ac:dyDescent="0.25">
      <c r="A8538" s="2">
        <v>8537</v>
      </c>
      <c r="B8538" s="3" t="s">
        <v>50</v>
      </c>
      <c r="C8538" s="4" t="str">
        <f t="shared" si="749"/>
        <v>Đồng Nai</v>
      </c>
      <c r="D8538" s="3" t="s">
        <v>597</v>
      </c>
      <c r="E8538" s="4" t="str">
        <f t="shared" si="748"/>
        <v>Huyện Trảng Bom</v>
      </c>
      <c r="F8538" s="3" t="s">
        <v>9298</v>
      </c>
      <c r="G8538" s="4" t="str">
        <f>HYPERLINK("https://diaocthongthai.com/xa-hung-thinh-trang-bom/","Xã Hưng Thịnh")</f>
        <v>Xã Hưng Thịnh</v>
      </c>
    </row>
    <row r="8539" spans="1:7" x14ac:dyDescent="0.25">
      <c r="A8539" s="2">
        <v>8538</v>
      </c>
      <c r="B8539" s="3" t="s">
        <v>50</v>
      </c>
      <c r="C8539" s="4" t="str">
        <f t="shared" si="749"/>
        <v>Đồng Nai</v>
      </c>
      <c r="D8539" s="3" t="s">
        <v>597</v>
      </c>
      <c r="E8539" s="4" t="str">
        <f t="shared" si="748"/>
        <v>Huyện Trảng Bom</v>
      </c>
      <c r="F8539" s="3" t="s">
        <v>9299</v>
      </c>
      <c r="G8539" s="4" t="str">
        <f>HYPERLINK("https://diaocthongthai.com/xa-quang-tien-trang-bom/","Xã Quảng Tiến")</f>
        <v>Xã Quảng Tiến</v>
      </c>
    </row>
    <row r="8540" spans="1:7" x14ac:dyDescent="0.25">
      <c r="A8540" s="2">
        <v>8539</v>
      </c>
      <c r="B8540" s="3" t="s">
        <v>50</v>
      </c>
      <c r="C8540" s="4" t="str">
        <f t="shared" si="749"/>
        <v>Đồng Nai</v>
      </c>
      <c r="D8540" s="3" t="s">
        <v>597</v>
      </c>
      <c r="E8540" s="4" t="str">
        <f t="shared" si="748"/>
        <v>Huyện Trảng Bom</v>
      </c>
      <c r="F8540" s="3" t="s">
        <v>9300</v>
      </c>
      <c r="G8540" s="4" t="str">
        <f>HYPERLINK("https://diaocthongthai.com/xa-giang-dien-trang-bom/","Xã Giang Điền")</f>
        <v>Xã Giang Điền</v>
      </c>
    </row>
    <row r="8541" spans="1:7" x14ac:dyDescent="0.25">
      <c r="A8541" s="2">
        <v>8540</v>
      </c>
      <c r="B8541" s="3" t="s">
        <v>50</v>
      </c>
      <c r="C8541" s="4" t="str">
        <f t="shared" si="749"/>
        <v>Đồng Nai</v>
      </c>
      <c r="D8541" s="3" t="s">
        <v>597</v>
      </c>
      <c r="E8541" s="4" t="str">
        <f t="shared" si="748"/>
        <v>Huyện Trảng Bom</v>
      </c>
      <c r="F8541" s="3" t="s">
        <v>9301</v>
      </c>
      <c r="G8541" s="4" t="str">
        <f>HYPERLINK("https://diaocthongthai.com/xa-an-vien-trang-bom/","Xã An Viễn")</f>
        <v>Xã An Viễn</v>
      </c>
    </row>
    <row r="8542" spans="1:7" x14ac:dyDescent="0.25">
      <c r="A8542" s="2">
        <v>8541</v>
      </c>
      <c r="B8542" s="3" t="s">
        <v>50</v>
      </c>
      <c r="C8542" s="4" t="str">
        <f t="shared" si="749"/>
        <v>Đồng Nai</v>
      </c>
      <c r="D8542" s="3" t="s">
        <v>598</v>
      </c>
      <c r="E8542" s="4" t="str">
        <f t="shared" ref="E8542:E8551" si="750">HYPERLINK("https://diaocthongthai.com/ban-do-huyen-thong-nhat-dong-nai/","Huyện Thống Nhất")</f>
        <v>Huyện Thống Nhất</v>
      </c>
      <c r="F8542" s="3" t="s">
        <v>9302</v>
      </c>
      <c r="G8542" s="4" t="str">
        <f>HYPERLINK("https://diaocthongthai.com/xa-gia-tan-1-thong-nhat/","Xã Gia Tân 1")</f>
        <v>Xã Gia Tân 1</v>
      </c>
    </row>
    <row r="8543" spans="1:7" x14ac:dyDescent="0.25">
      <c r="A8543" s="2">
        <v>8542</v>
      </c>
      <c r="B8543" s="3" t="s">
        <v>50</v>
      </c>
      <c r="C8543" s="4" t="str">
        <f t="shared" si="749"/>
        <v>Đồng Nai</v>
      </c>
      <c r="D8543" s="3" t="s">
        <v>598</v>
      </c>
      <c r="E8543" s="4" t="str">
        <f t="shared" si="750"/>
        <v>Huyện Thống Nhất</v>
      </c>
      <c r="F8543" s="3" t="s">
        <v>9303</v>
      </c>
      <c r="G8543" s="4" t="str">
        <f>HYPERLINK("https://diaocthongthai.com/xa-gia-tan-2-thong-nhat/","Xã Gia Tân 2")</f>
        <v>Xã Gia Tân 2</v>
      </c>
    </row>
    <row r="8544" spans="1:7" x14ac:dyDescent="0.25">
      <c r="A8544" s="2">
        <v>8543</v>
      </c>
      <c r="B8544" s="3" t="s">
        <v>50</v>
      </c>
      <c r="C8544" s="4" t="str">
        <f t="shared" si="749"/>
        <v>Đồng Nai</v>
      </c>
      <c r="D8544" s="3" t="s">
        <v>598</v>
      </c>
      <c r="E8544" s="4" t="str">
        <f t="shared" si="750"/>
        <v>Huyện Thống Nhất</v>
      </c>
      <c r="F8544" s="3" t="s">
        <v>9304</v>
      </c>
      <c r="G8544" s="4" t="str">
        <f>HYPERLINK("https://diaocthongthai.com/xa-gia-tan-3-thong-nhat/","Xã Gia Tân 3")</f>
        <v>Xã Gia Tân 3</v>
      </c>
    </row>
    <row r="8545" spans="1:7" x14ac:dyDescent="0.25">
      <c r="A8545" s="2">
        <v>8544</v>
      </c>
      <c r="B8545" s="3" t="s">
        <v>50</v>
      </c>
      <c r="C8545" s="4" t="str">
        <f t="shared" si="749"/>
        <v>Đồng Nai</v>
      </c>
      <c r="D8545" s="3" t="s">
        <v>598</v>
      </c>
      <c r="E8545" s="4" t="str">
        <f t="shared" si="750"/>
        <v>Huyện Thống Nhất</v>
      </c>
      <c r="F8545" s="3" t="s">
        <v>9305</v>
      </c>
      <c r="G8545" s="4" t="str">
        <f>HYPERLINK("https://diaocthongthai.com/xa-gia-kiem-thong-nhat/","Xã Gia Kiệm")</f>
        <v>Xã Gia Kiệm</v>
      </c>
    </row>
    <row r="8546" spans="1:7" x14ac:dyDescent="0.25">
      <c r="A8546" s="2">
        <v>8545</v>
      </c>
      <c r="B8546" s="3" t="s">
        <v>50</v>
      </c>
      <c r="C8546" s="4" t="str">
        <f t="shared" si="749"/>
        <v>Đồng Nai</v>
      </c>
      <c r="D8546" s="3" t="s">
        <v>598</v>
      </c>
      <c r="E8546" s="4" t="str">
        <f t="shared" si="750"/>
        <v>Huyện Thống Nhất</v>
      </c>
      <c r="F8546" s="3" t="s">
        <v>9306</v>
      </c>
      <c r="G8546" s="4" t="str">
        <f>HYPERLINK("https://diaocthongthai.com/xa-quang-trung-thong-nhat/","Xã Quang Trung")</f>
        <v>Xã Quang Trung</v>
      </c>
    </row>
    <row r="8547" spans="1:7" x14ac:dyDescent="0.25">
      <c r="A8547" s="2">
        <v>8546</v>
      </c>
      <c r="B8547" s="3" t="s">
        <v>50</v>
      </c>
      <c r="C8547" s="4" t="str">
        <f t="shared" si="749"/>
        <v>Đồng Nai</v>
      </c>
      <c r="D8547" s="3" t="s">
        <v>598</v>
      </c>
      <c r="E8547" s="4" t="str">
        <f t="shared" si="750"/>
        <v>Huyện Thống Nhất</v>
      </c>
      <c r="F8547" s="3" t="s">
        <v>9307</v>
      </c>
      <c r="G8547" s="4" t="str">
        <f>HYPERLINK("https://diaocthongthai.com/xa-bau-ham-2-thong-nhat/","Xã Bàu Hàm 2")</f>
        <v>Xã Bàu Hàm 2</v>
      </c>
    </row>
    <row r="8548" spans="1:7" x14ac:dyDescent="0.25">
      <c r="A8548" s="2">
        <v>8547</v>
      </c>
      <c r="B8548" s="3" t="s">
        <v>50</v>
      </c>
      <c r="C8548" s="4" t="str">
        <f t="shared" si="749"/>
        <v>Đồng Nai</v>
      </c>
      <c r="D8548" s="3" t="s">
        <v>598</v>
      </c>
      <c r="E8548" s="4" t="str">
        <f t="shared" si="750"/>
        <v>Huyện Thống Nhất</v>
      </c>
      <c r="F8548" s="3" t="s">
        <v>9308</v>
      </c>
      <c r="G8548" s="4" t="str">
        <f>HYPERLINK("https://diaocthongthai.com/xa-hung-loc-thong-nhat/","Xã Hưng Lộc")</f>
        <v>Xã Hưng Lộc</v>
      </c>
    </row>
    <row r="8549" spans="1:7" x14ac:dyDescent="0.25">
      <c r="A8549" s="2">
        <v>8548</v>
      </c>
      <c r="B8549" s="3" t="s">
        <v>50</v>
      </c>
      <c r="C8549" s="4" t="str">
        <f t="shared" si="749"/>
        <v>Đồng Nai</v>
      </c>
      <c r="D8549" s="3" t="s">
        <v>598</v>
      </c>
      <c r="E8549" s="4" t="str">
        <f t="shared" si="750"/>
        <v>Huyện Thống Nhất</v>
      </c>
      <c r="F8549" s="3" t="s">
        <v>9309</v>
      </c>
      <c r="G8549" s="4" t="str">
        <f>HYPERLINK("https://diaocthongthai.com/xa-lo-25-thong-nhat/","Xã Lộ 25")</f>
        <v>Xã Lộ 25</v>
      </c>
    </row>
    <row r="8550" spans="1:7" x14ac:dyDescent="0.25">
      <c r="A8550" s="2">
        <v>8549</v>
      </c>
      <c r="B8550" s="3" t="s">
        <v>50</v>
      </c>
      <c r="C8550" s="4" t="str">
        <f t="shared" si="749"/>
        <v>Đồng Nai</v>
      </c>
      <c r="D8550" s="3" t="s">
        <v>598</v>
      </c>
      <c r="E8550" s="4" t="str">
        <f t="shared" si="750"/>
        <v>Huyện Thống Nhất</v>
      </c>
      <c r="F8550" s="3" t="s">
        <v>9310</v>
      </c>
      <c r="G8550" s="4" t="str">
        <f>HYPERLINK("https://diaocthongthai.com/xa-xuan-thien-thong-nhat/","Xã Xuân Thiện")</f>
        <v>Xã Xuân Thiện</v>
      </c>
    </row>
    <row r="8551" spans="1:7" x14ac:dyDescent="0.25">
      <c r="A8551" s="2">
        <v>8550</v>
      </c>
      <c r="B8551" s="3" t="s">
        <v>50</v>
      </c>
      <c r="C8551" s="4" t="str">
        <f t="shared" si="749"/>
        <v>Đồng Nai</v>
      </c>
      <c r="D8551" s="3" t="s">
        <v>598</v>
      </c>
      <c r="E8551" s="4" t="str">
        <f t="shared" si="750"/>
        <v>Huyện Thống Nhất</v>
      </c>
      <c r="F8551" s="3" t="s">
        <v>9311</v>
      </c>
      <c r="G8551" s="4" t="str">
        <f>HYPERLINK("https://diaocthongthai.com/thi-tran-dau-giay-thong-nhat/","Thị trấn Dầu Giây")</f>
        <v>Thị trấn Dầu Giây</v>
      </c>
    </row>
    <row r="8552" spans="1:7" x14ac:dyDescent="0.25">
      <c r="A8552" s="2">
        <v>8551</v>
      </c>
      <c r="B8552" s="3" t="s">
        <v>50</v>
      </c>
      <c r="C8552" s="4" t="str">
        <f t="shared" si="749"/>
        <v>Đồng Nai</v>
      </c>
      <c r="D8552" s="3" t="s">
        <v>599</v>
      </c>
      <c r="E8552" s="4" t="str">
        <f t="shared" ref="E8552:E8564" si="751">HYPERLINK("https://diaocthongthai.com/ban-do-huyen-cam-my-dong-nai/","Huyện Cẩm Mỹ")</f>
        <v>Huyện Cẩm Mỹ</v>
      </c>
      <c r="F8552" s="3" t="s">
        <v>9312</v>
      </c>
      <c r="G8552" s="4" t="str">
        <f>HYPERLINK("https://diaocthongthai.com/xa-song-nhan-cam-my/","Xã Sông Nhạn")</f>
        <v>Xã Sông Nhạn</v>
      </c>
    </row>
    <row r="8553" spans="1:7" x14ac:dyDescent="0.25">
      <c r="A8553" s="2">
        <v>8552</v>
      </c>
      <c r="B8553" s="3" t="s">
        <v>50</v>
      </c>
      <c r="C8553" s="4" t="str">
        <f t="shared" si="749"/>
        <v>Đồng Nai</v>
      </c>
      <c r="D8553" s="3" t="s">
        <v>599</v>
      </c>
      <c r="E8553" s="4" t="str">
        <f t="shared" si="751"/>
        <v>Huyện Cẩm Mỹ</v>
      </c>
      <c r="F8553" s="3" t="s">
        <v>9313</v>
      </c>
      <c r="G8553" s="4" t="str">
        <f>HYPERLINK("https://diaocthongthai.com/xa-xuan-que-cam-my/","Xã Xuân Quế")</f>
        <v>Xã Xuân Quế</v>
      </c>
    </row>
    <row r="8554" spans="1:7" x14ac:dyDescent="0.25">
      <c r="A8554" s="2">
        <v>8553</v>
      </c>
      <c r="B8554" s="3" t="s">
        <v>50</v>
      </c>
      <c r="C8554" s="4" t="str">
        <f t="shared" si="749"/>
        <v>Đồng Nai</v>
      </c>
      <c r="D8554" s="3" t="s">
        <v>599</v>
      </c>
      <c r="E8554" s="4" t="str">
        <f t="shared" si="751"/>
        <v>Huyện Cẩm Mỹ</v>
      </c>
      <c r="F8554" s="3" t="s">
        <v>9314</v>
      </c>
      <c r="G8554" s="4" t="str">
        <f>HYPERLINK("https://diaocthongthai.com/xa-nhan-nghia-cam-my/","Xã Nhân Nghĩa")</f>
        <v>Xã Nhân Nghĩa</v>
      </c>
    </row>
    <row r="8555" spans="1:7" x14ac:dyDescent="0.25">
      <c r="A8555" s="2">
        <v>8554</v>
      </c>
      <c r="B8555" s="3" t="s">
        <v>50</v>
      </c>
      <c r="C8555" s="4" t="str">
        <f t="shared" si="749"/>
        <v>Đồng Nai</v>
      </c>
      <c r="D8555" s="3" t="s">
        <v>599</v>
      </c>
      <c r="E8555" s="4" t="str">
        <f t="shared" si="751"/>
        <v>Huyện Cẩm Mỹ</v>
      </c>
      <c r="F8555" s="3" t="s">
        <v>9315</v>
      </c>
      <c r="G8555" s="4" t="str">
        <f>HYPERLINK("https://diaocthongthai.com/xa-xuan-duong-cam-my/","Xã Xuân Đường")</f>
        <v>Xã Xuân Đường</v>
      </c>
    </row>
    <row r="8556" spans="1:7" x14ac:dyDescent="0.25">
      <c r="A8556" s="2">
        <v>8555</v>
      </c>
      <c r="B8556" s="3" t="s">
        <v>50</v>
      </c>
      <c r="C8556" s="4" t="str">
        <f t="shared" si="749"/>
        <v>Đồng Nai</v>
      </c>
      <c r="D8556" s="3" t="s">
        <v>599</v>
      </c>
      <c r="E8556" s="4" t="str">
        <f t="shared" si="751"/>
        <v>Huyện Cẩm Mỹ</v>
      </c>
      <c r="F8556" s="3" t="s">
        <v>9316</v>
      </c>
      <c r="G8556" s="4" t="str">
        <f>HYPERLINK("https://diaocthongthai.com/xa-long-giao-cam-my/","Thị trấn Long Giao")</f>
        <v>Thị trấn Long Giao</v>
      </c>
    </row>
    <row r="8557" spans="1:7" x14ac:dyDescent="0.25">
      <c r="A8557" s="2">
        <v>8556</v>
      </c>
      <c r="B8557" s="3" t="s">
        <v>50</v>
      </c>
      <c r="C8557" s="4" t="str">
        <f t="shared" si="749"/>
        <v>Đồng Nai</v>
      </c>
      <c r="D8557" s="3" t="s">
        <v>599</v>
      </c>
      <c r="E8557" s="4" t="str">
        <f t="shared" si="751"/>
        <v>Huyện Cẩm Mỹ</v>
      </c>
      <c r="F8557" s="3" t="s">
        <v>9317</v>
      </c>
      <c r="G8557" s="4" t="str">
        <f>HYPERLINK("https://diaocthongthai.com/xa-xuan-my-cam-my/","Xã Xuân Mỹ")</f>
        <v>Xã Xuân Mỹ</v>
      </c>
    </row>
    <row r="8558" spans="1:7" x14ac:dyDescent="0.25">
      <c r="A8558" s="2">
        <v>8557</v>
      </c>
      <c r="B8558" s="3" t="s">
        <v>50</v>
      </c>
      <c r="C8558" s="4" t="str">
        <f t="shared" si="749"/>
        <v>Đồng Nai</v>
      </c>
      <c r="D8558" s="3" t="s">
        <v>599</v>
      </c>
      <c r="E8558" s="4" t="str">
        <f t="shared" si="751"/>
        <v>Huyện Cẩm Mỹ</v>
      </c>
      <c r="F8558" s="3" t="s">
        <v>9318</v>
      </c>
      <c r="G8558" s="4" t="str">
        <f>HYPERLINK("https://diaocthongthai.com/xa-thua-duc-cam-my/","Xã Thừa Đức")</f>
        <v>Xã Thừa Đức</v>
      </c>
    </row>
    <row r="8559" spans="1:7" x14ac:dyDescent="0.25">
      <c r="A8559" s="2">
        <v>8558</v>
      </c>
      <c r="B8559" s="3" t="s">
        <v>50</v>
      </c>
      <c r="C8559" s="4" t="str">
        <f t="shared" si="749"/>
        <v>Đồng Nai</v>
      </c>
      <c r="D8559" s="3" t="s">
        <v>599</v>
      </c>
      <c r="E8559" s="4" t="str">
        <f t="shared" si="751"/>
        <v>Huyện Cẩm Mỹ</v>
      </c>
      <c r="F8559" s="3" t="s">
        <v>9319</v>
      </c>
      <c r="G8559" s="4" t="str">
        <f>HYPERLINK("https://diaocthongthai.com/xa-bao-binh-cam-my/","Xã Bảo Bình")</f>
        <v>Xã Bảo Bình</v>
      </c>
    </row>
    <row r="8560" spans="1:7" x14ac:dyDescent="0.25">
      <c r="A8560" s="2">
        <v>8559</v>
      </c>
      <c r="B8560" s="3" t="s">
        <v>50</v>
      </c>
      <c r="C8560" s="4" t="str">
        <f t="shared" si="749"/>
        <v>Đồng Nai</v>
      </c>
      <c r="D8560" s="3" t="s">
        <v>599</v>
      </c>
      <c r="E8560" s="4" t="str">
        <f t="shared" si="751"/>
        <v>Huyện Cẩm Mỹ</v>
      </c>
      <c r="F8560" s="3" t="s">
        <v>9320</v>
      </c>
      <c r="G8560" s="4" t="str">
        <f>HYPERLINK("https://diaocthongthai.com/xa-xuan-bao-cam-my/","Xã Xuân Bảo")</f>
        <v>Xã Xuân Bảo</v>
      </c>
    </row>
    <row r="8561" spans="1:7" x14ac:dyDescent="0.25">
      <c r="A8561" s="2">
        <v>8560</v>
      </c>
      <c r="B8561" s="3" t="s">
        <v>50</v>
      </c>
      <c r="C8561" s="4" t="str">
        <f t="shared" si="749"/>
        <v>Đồng Nai</v>
      </c>
      <c r="D8561" s="3" t="s">
        <v>599</v>
      </c>
      <c r="E8561" s="4" t="str">
        <f t="shared" si="751"/>
        <v>Huyện Cẩm Mỹ</v>
      </c>
      <c r="F8561" s="3" t="s">
        <v>9321</v>
      </c>
      <c r="G8561" s="4" t="str">
        <f>HYPERLINK("https://diaocthongthai.com/xa-xuan-tay-cam-my/","Xã Xuân Tây")</f>
        <v>Xã Xuân Tây</v>
      </c>
    </row>
    <row r="8562" spans="1:7" x14ac:dyDescent="0.25">
      <c r="A8562" s="2">
        <v>8561</v>
      </c>
      <c r="B8562" s="3" t="s">
        <v>50</v>
      </c>
      <c r="C8562" s="4" t="str">
        <f t="shared" si="749"/>
        <v>Đồng Nai</v>
      </c>
      <c r="D8562" s="3" t="s">
        <v>599</v>
      </c>
      <c r="E8562" s="4" t="str">
        <f t="shared" si="751"/>
        <v>Huyện Cẩm Mỹ</v>
      </c>
      <c r="F8562" s="3" t="s">
        <v>9322</v>
      </c>
      <c r="G8562" s="4" t="str">
        <f>HYPERLINK("https://diaocthongthai.com/xa-xuan-dong-cam-my/","Xã Xuân Đông")</f>
        <v>Xã Xuân Đông</v>
      </c>
    </row>
    <row r="8563" spans="1:7" x14ac:dyDescent="0.25">
      <c r="A8563" s="2">
        <v>8562</v>
      </c>
      <c r="B8563" s="3" t="s">
        <v>50</v>
      </c>
      <c r="C8563" s="4" t="str">
        <f t="shared" si="749"/>
        <v>Đồng Nai</v>
      </c>
      <c r="D8563" s="3" t="s">
        <v>599</v>
      </c>
      <c r="E8563" s="4" t="str">
        <f t="shared" si="751"/>
        <v>Huyện Cẩm Mỹ</v>
      </c>
      <c r="F8563" s="3" t="s">
        <v>9323</v>
      </c>
      <c r="G8563" s="4" t="str">
        <f>HYPERLINK("https://diaocthongthai.com/xa-song-ray-cam-my/","Xã Sông Ray")</f>
        <v>Xã Sông Ray</v>
      </c>
    </row>
    <row r="8564" spans="1:7" x14ac:dyDescent="0.25">
      <c r="A8564" s="2">
        <v>8563</v>
      </c>
      <c r="B8564" s="3" t="s">
        <v>50</v>
      </c>
      <c r="C8564" s="4" t="str">
        <f t="shared" ref="C8564:C8595" si="752">HYPERLINK("https://diaocthongthai.com/ban-do-dong-nai/","Đồng Nai")</f>
        <v>Đồng Nai</v>
      </c>
      <c r="D8564" s="3" t="s">
        <v>599</v>
      </c>
      <c r="E8564" s="4" t="str">
        <f t="shared" si="751"/>
        <v>Huyện Cẩm Mỹ</v>
      </c>
      <c r="F8564" s="3" t="s">
        <v>9324</v>
      </c>
      <c r="G8564" s="4" t="str">
        <f>HYPERLINK("https://diaocthongthai.com/xa-lam-san-cam-my/","Xã Lâm San")</f>
        <v>Xã Lâm San</v>
      </c>
    </row>
    <row r="8565" spans="1:7" x14ac:dyDescent="0.25">
      <c r="A8565" s="2">
        <v>8564</v>
      </c>
      <c r="B8565" s="3" t="s">
        <v>50</v>
      </c>
      <c r="C8565" s="4" t="str">
        <f t="shared" si="752"/>
        <v>Đồng Nai</v>
      </c>
      <c r="D8565" s="3" t="s">
        <v>600</v>
      </c>
      <c r="E8565" s="4" t="str">
        <f t="shared" ref="E8565:E8578" si="753">HYPERLINK("https://diaocthongthai.com/ban-do-huyen-long-thanh-dong-nai/","Huyện Long Thành")</f>
        <v>Huyện Long Thành</v>
      </c>
      <c r="F8565" s="3" t="s">
        <v>9325</v>
      </c>
      <c r="G8565" s="4" t="str">
        <f>HYPERLINK("https://diaocthongthai.com/thi-tran-long-thanh-long-thanh/","Thị trấn Long Thành")</f>
        <v>Thị trấn Long Thành</v>
      </c>
    </row>
    <row r="8566" spans="1:7" x14ac:dyDescent="0.25">
      <c r="A8566" s="2">
        <v>8565</v>
      </c>
      <c r="B8566" s="3" t="s">
        <v>50</v>
      </c>
      <c r="C8566" s="4" t="str">
        <f t="shared" si="752"/>
        <v>Đồng Nai</v>
      </c>
      <c r="D8566" s="3" t="s">
        <v>600</v>
      </c>
      <c r="E8566" s="4" t="str">
        <f t="shared" si="753"/>
        <v>Huyện Long Thành</v>
      </c>
      <c r="F8566" s="3" t="s">
        <v>9326</v>
      </c>
      <c r="G8566" s="4" t="str">
        <f>HYPERLINK("https://diaocthongthai.com/xa-an-phuoc-long-thanh/","Xã An Phước")</f>
        <v>Xã An Phước</v>
      </c>
    </row>
    <row r="8567" spans="1:7" x14ac:dyDescent="0.25">
      <c r="A8567" s="2">
        <v>8566</v>
      </c>
      <c r="B8567" s="3" t="s">
        <v>50</v>
      </c>
      <c r="C8567" s="4" t="str">
        <f t="shared" si="752"/>
        <v>Đồng Nai</v>
      </c>
      <c r="D8567" s="3" t="s">
        <v>600</v>
      </c>
      <c r="E8567" s="4" t="str">
        <f t="shared" si="753"/>
        <v>Huyện Long Thành</v>
      </c>
      <c r="F8567" s="3" t="s">
        <v>9327</v>
      </c>
      <c r="G8567" s="4" t="str">
        <f>HYPERLINK("https://diaocthongthai.com/xa-binh-an-long-thanh/","Xã Bình An")</f>
        <v>Xã Bình An</v>
      </c>
    </row>
    <row r="8568" spans="1:7" x14ac:dyDescent="0.25">
      <c r="A8568" s="2">
        <v>8567</v>
      </c>
      <c r="B8568" s="3" t="s">
        <v>50</v>
      </c>
      <c r="C8568" s="4" t="str">
        <f t="shared" si="752"/>
        <v>Đồng Nai</v>
      </c>
      <c r="D8568" s="3" t="s">
        <v>600</v>
      </c>
      <c r="E8568" s="4" t="str">
        <f t="shared" si="753"/>
        <v>Huyện Long Thành</v>
      </c>
      <c r="F8568" s="3" t="s">
        <v>9328</v>
      </c>
      <c r="G8568" s="4" t="str">
        <f>HYPERLINK("https://diaocthongthai.com/xa-long-duc-long-thanh/","Xã Long Đức")</f>
        <v>Xã Long Đức</v>
      </c>
    </row>
    <row r="8569" spans="1:7" x14ac:dyDescent="0.25">
      <c r="A8569" s="2">
        <v>8568</v>
      </c>
      <c r="B8569" s="3" t="s">
        <v>50</v>
      </c>
      <c r="C8569" s="4" t="str">
        <f t="shared" si="752"/>
        <v>Đồng Nai</v>
      </c>
      <c r="D8569" s="3" t="s">
        <v>600</v>
      </c>
      <c r="E8569" s="4" t="str">
        <f t="shared" si="753"/>
        <v>Huyện Long Thành</v>
      </c>
      <c r="F8569" s="3" t="s">
        <v>9329</v>
      </c>
      <c r="G8569" s="4" t="str">
        <f>HYPERLINK("https://diaocthongthai.com/xa-loc-an-long-thanh/","Xã Lộc An")</f>
        <v>Xã Lộc An</v>
      </c>
    </row>
    <row r="8570" spans="1:7" x14ac:dyDescent="0.25">
      <c r="A8570" s="2">
        <v>8569</v>
      </c>
      <c r="B8570" s="3" t="s">
        <v>50</v>
      </c>
      <c r="C8570" s="4" t="str">
        <f t="shared" si="752"/>
        <v>Đồng Nai</v>
      </c>
      <c r="D8570" s="3" t="s">
        <v>600</v>
      </c>
      <c r="E8570" s="4" t="str">
        <f t="shared" si="753"/>
        <v>Huyện Long Thành</v>
      </c>
      <c r="F8570" s="3" t="s">
        <v>9330</v>
      </c>
      <c r="G8570" s="4" t="str">
        <f>HYPERLINK("https://diaocthongthai.com/xa-binh-son-long-thanh/","Xã Bình Sơn")</f>
        <v>Xã Bình Sơn</v>
      </c>
    </row>
    <row r="8571" spans="1:7" x14ac:dyDescent="0.25">
      <c r="A8571" s="2">
        <v>8570</v>
      </c>
      <c r="B8571" s="3" t="s">
        <v>50</v>
      </c>
      <c r="C8571" s="4" t="str">
        <f t="shared" si="752"/>
        <v>Đồng Nai</v>
      </c>
      <c r="D8571" s="3" t="s">
        <v>600</v>
      </c>
      <c r="E8571" s="4" t="str">
        <f t="shared" si="753"/>
        <v>Huyện Long Thành</v>
      </c>
      <c r="F8571" s="3" t="s">
        <v>9331</v>
      </c>
      <c r="G8571" s="4" t="str">
        <f>HYPERLINK("https://diaocthongthai.com/xa-tam-an-long-thanh/","Xã Tam An")</f>
        <v>Xã Tam An</v>
      </c>
    </row>
    <row r="8572" spans="1:7" x14ac:dyDescent="0.25">
      <c r="A8572" s="2">
        <v>8571</v>
      </c>
      <c r="B8572" s="3" t="s">
        <v>50</v>
      </c>
      <c r="C8572" s="4" t="str">
        <f t="shared" si="752"/>
        <v>Đồng Nai</v>
      </c>
      <c r="D8572" s="3" t="s">
        <v>600</v>
      </c>
      <c r="E8572" s="4" t="str">
        <f t="shared" si="753"/>
        <v>Huyện Long Thành</v>
      </c>
      <c r="F8572" s="3" t="s">
        <v>9332</v>
      </c>
      <c r="G8572" s="4" t="str">
        <f>HYPERLINK("https://diaocthongthai.com/xa-cam-duong-long-thanh/","Xã Cẩm Đường")</f>
        <v>Xã Cẩm Đường</v>
      </c>
    </row>
    <row r="8573" spans="1:7" x14ac:dyDescent="0.25">
      <c r="A8573" s="2">
        <v>8572</v>
      </c>
      <c r="B8573" s="3" t="s">
        <v>50</v>
      </c>
      <c r="C8573" s="4" t="str">
        <f t="shared" si="752"/>
        <v>Đồng Nai</v>
      </c>
      <c r="D8573" s="3" t="s">
        <v>600</v>
      </c>
      <c r="E8573" s="4" t="str">
        <f t="shared" si="753"/>
        <v>Huyện Long Thành</v>
      </c>
      <c r="F8573" s="3" t="s">
        <v>9333</v>
      </c>
      <c r="G8573" s="4" t="str">
        <f>HYPERLINK("https://diaocthongthai.com/xa-long-an-long-thanh/","Xã Long An")</f>
        <v>Xã Long An</v>
      </c>
    </row>
    <row r="8574" spans="1:7" x14ac:dyDescent="0.25">
      <c r="A8574" s="2">
        <v>8573</v>
      </c>
      <c r="B8574" s="3" t="s">
        <v>50</v>
      </c>
      <c r="C8574" s="4" t="str">
        <f t="shared" si="752"/>
        <v>Đồng Nai</v>
      </c>
      <c r="D8574" s="3" t="s">
        <v>600</v>
      </c>
      <c r="E8574" s="4" t="str">
        <f t="shared" si="753"/>
        <v>Huyện Long Thành</v>
      </c>
      <c r="F8574" s="3" t="s">
        <v>9334</v>
      </c>
      <c r="G8574" s="4" t="str">
        <f>HYPERLINK("https://diaocthongthai.com/xa-bau-can-long-thanh/","Xã Bàu Cạn")</f>
        <v>Xã Bàu Cạn</v>
      </c>
    </row>
    <row r="8575" spans="1:7" x14ac:dyDescent="0.25">
      <c r="A8575" s="2">
        <v>8574</v>
      </c>
      <c r="B8575" s="3" t="s">
        <v>50</v>
      </c>
      <c r="C8575" s="4" t="str">
        <f t="shared" si="752"/>
        <v>Đồng Nai</v>
      </c>
      <c r="D8575" s="3" t="s">
        <v>600</v>
      </c>
      <c r="E8575" s="4" t="str">
        <f t="shared" si="753"/>
        <v>Huyện Long Thành</v>
      </c>
      <c r="F8575" s="3" t="s">
        <v>9335</v>
      </c>
      <c r="G8575" s="4" t="str">
        <f>HYPERLINK("https://diaocthongthai.com/xa-long-phuoc-long-thanh/","Xã Long Phước")</f>
        <v>Xã Long Phước</v>
      </c>
    </row>
    <row r="8576" spans="1:7" x14ac:dyDescent="0.25">
      <c r="A8576" s="2">
        <v>8575</v>
      </c>
      <c r="B8576" s="3" t="s">
        <v>50</v>
      </c>
      <c r="C8576" s="4" t="str">
        <f t="shared" si="752"/>
        <v>Đồng Nai</v>
      </c>
      <c r="D8576" s="3" t="s">
        <v>600</v>
      </c>
      <c r="E8576" s="4" t="str">
        <f t="shared" si="753"/>
        <v>Huyện Long Thành</v>
      </c>
      <c r="F8576" s="3" t="s">
        <v>9336</v>
      </c>
      <c r="G8576" s="4" t="str">
        <f>HYPERLINK("https://diaocthongthai.com/xa-phuoc-binh-long-thanh/","Xã Phước Bình")</f>
        <v>Xã Phước Bình</v>
      </c>
    </row>
    <row r="8577" spans="1:7" x14ac:dyDescent="0.25">
      <c r="A8577" s="2">
        <v>8576</v>
      </c>
      <c r="B8577" s="3" t="s">
        <v>50</v>
      </c>
      <c r="C8577" s="4" t="str">
        <f t="shared" si="752"/>
        <v>Đồng Nai</v>
      </c>
      <c r="D8577" s="3" t="s">
        <v>600</v>
      </c>
      <c r="E8577" s="4" t="str">
        <f t="shared" si="753"/>
        <v>Huyện Long Thành</v>
      </c>
      <c r="F8577" s="3" t="s">
        <v>9337</v>
      </c>
      <c r="G8577" s="4" t="str">
        <f>HYPERLINK("https://diaocthongthai.com/xa-tan-hiep-long-thanh/","Xã Tân Hiệp")</f>
        <v>Xã Tân Hiệp</v>
      </c>
    </row>
    <row r="8578" spans="1:7" x14ac:dyDescent="0.25">
      <c r="A8578" s="2">
        <v>8577</v>
      </c>
      <c r="B8578" s="3" t="s">
        <v>50</v>
      </c>
      <c r="C8578" s="4" t="str">
        <f t="shared" si="752"/>
        <v>Đồng Nai</v>
      </c>
      <c r="D8578" s="3" t="s">
        <v>600</v>
      </c>
      <c r="E8578" s="4" t="str">
        <f t="shared" si="753"/>
        <v>Huyện Long Thành</v>
      </c>
      <c r="F8578" s="3" t="s">
        <v>9338</v>
      </c>
      <c r="G8578" s="4" t="str">
        <f>HYPERLINK("https://diaocthongthai.com/xa-phuoc-thai-long-thanh/","Xã Phước Thái")</f>
        <v>Xã Phước Thái</v>
      </c>
    </row>
    <row r="8579" spans="1:7" x14ac:dyDescent="0.25">
      <c r="A8579" s="2">
        <v>8578</v>
      </c>
      <c r="B8579" s="3" t="s">
        <v>50</v>
      </c>
      <c r="C8579" s="4" t="str">
        <f t="shared" si="752"/>
        <v>Đồng Nai</v>
      </c>
      <c r="D8579" s="3" t="s">
        <v>601</v>
      </c>
      <c r="E8579" s="4" t="str">
        <f t="shared" ref="E8579:E8593" si="754">HYPERLINK("https://diaocthongthai.com/ban-do-huyen-xuan-loc-dong-nai/","Huyện Xuân Lộc")</f>
        <v>Huyện Xuân Lộc</v>
      </c>
      <c r="F8579" s="3" t="s">
        <v>9339</v>
      </c>
      <c r="G8579" s="4" t="str">
        <f>HYPERLINK("https://diaocthongthai.com/thi-tran-gia-ray-xuan-loc/","Thị trấn Gia Ray")</f>
        <v>Thị trấn Gia Ray</v>
      </c>
    </row>
    <row r="8580" spans="1:7" x14ac:dyDescent="0.25">
      <c r="A8580" s="2">
        <v>8579</v>
      </c>
      <c r="B8580" s="3" t="s">
        <v>50</v>
      </c>
      <c r="C8580" s="4" t="str">
        <f t="shared" si="752"/>
        <v>Đồng Nai</v>
      </c>
      <c r="D8580" s="3" t="s">
        <v>601</v>
      </c>
      <c r="E8580" s="4" t="str">
        <f t="shared" si="754"/>
        <v>Huyện Xuân Lộc</v>
      </c>
      <c r="F8580" s="3" t="s">
        <v>9340</v>
      </c>
      <c r="G8580" s="4" t="str">
        <f>HYPERLINK("https://diaocthongthai.com/xa-xuan-bac-xuan-loc/","Xã Xuân Bắc")</f>
        <v>Xã Xuân Bắc</v>
      </c>
    </row>
    <row r="8581" spans="1:7" x14ac:dyDescent="0.25">
      <c r="A8581" s="2">
        <v>8580</v>
      </c>
      <c r="B8581" s="3" t="s">
        <v>50</v>
      </c>
      <c r="C8581" s="4" t="str">
        <f t="shared" si="752"/>
        <v>Đồng Nai</v>
      </c>
      <c r="D8581" s="3" t="s">
        <v>601</v>
      </c>
      <c r="E8581" s="4" t="str">
        <f t="shared" si="754"/>
        <v>Huyện Xuân Lộc</v>
      </c>
      <c r="F8581" s="3" t="s">
        <v>9341</v>
      </c>
      <c r="G8581" s="4" t="str">
        <f>HYPERLINK("https://diaocthongthai.com/xa-suoi-cao-xuan-loc/","Xã Suối Cao")</f>
        <v>Xã Suối Cao</v>
      </c>
    </row>
    <row r="8582" spans="1:7" x14ac:dyDescent="0.25">
      <c r="A8582" s="2">
        <v>8581</v>
      </c>
      <c r="B8582" s="3" t="s">
        <v>50</v>
      </c>
      <c r="C8582" s="4" t="str">
        <f t="shared" si="752"/>
        <v>Đồng Nai</v>
      </c>
      <c r="D8582" s="3" t="s">
        <v>601</v>
      </c>
      <c r="E8582" s="4" t="str">
        <f t="shared" si="754"/>
        <v>Huyện Xuân Lộc</v>
      </c>
      <c r="F8582" s="3" t="s">
        <v>9342</v>
      </c>
      <c r="G8582" s="4" t="str">
        <f>HYPERLINK("https://diaocthongthai.com/xa-xuan-thanh-xuan-loc/","Xã Xuân Thành")</f>
        <v>Xã Xuân Thành</v>
      </c>
    </row>
    <row r="8583" spans="1:7" x14ac:dyDescent="0.25">
      <c r="A8583" s="2">
        <v>8582</v>
      </c>
      <c r="B8583" s="3" t="s">
        <v>50</v>
      </c>
      <c r="C8583" s="4" t="str">
        <f t="shared" si="752"/>
        <v>Đồng Nai</v>
      </c>
      <c r="D8583" s="3" t="s">
        <v>601</v>
      </c>
      <c r="E8583" s="4" t="str">
        <f t="shared" si="754"/>
        <v>Huyện Xuân Lộc</v>
      </c>
      <c r="F8583" s="3" t="s">
        <v>9343</v>
      </c>
      <c r="G8583" s="4" t="str">
        <f>HYPERLINK("https://diaocthongthai.com/xa-xuan-tho-xuan-loc/","Xã Xuân Thọ")</f>
        <v>Xã Xuân Thọ</v>
      </c>
    </row>
    <row r="8584" spans="1:7" x14ac:dyDescent="0.25">
      <c r="A8584" s="2">
        <v>8583</v>
      </c>
      <c r="B8584" s="3" t="s">
        <v>50</v>
      </c>
      <c r="C8584" s="4" t="str">
        <f t="shared" si="752"/>
        <v>Đồng Nai</v>
      </c>
      <c r="D8584" s="3" t="s">
        <v>601</v>
      </c>
      <c r="E8584" s="4" t="str">
        <f t="shared" si="754"/>
        <v>Huyện Xuân Lộc</v>
      </c>
      <c r="F8584" s="3" t="s">
        <v>9344</v>
      </c>
      <c r="G8584" s="4" t="str">
        <f>HYPERLINK("https://diaocthongthai.com/xa-xuan-truong-xuan-loc/","Xã Xuân Trường")</f>
        <v>Xã Xuân Trường</v>
      </c>
    </row>
    <row r="8585" spans="1:7" x14ac:dyDescent="0.25">
      <c r="A8585" s="2">
        <v>8584</v>
      </c>
      <c r="B8585" s="3" t="s">
        <v>50</v>
      </c>
      <c r="C8585" s="4" t="str">
        <f t="shared" si="752"/>
        <v>Đồng Nai</v>
      </c>
      <c r="D8585" s="3" t="s">
        <v>601</v>
      </c>
      <c r="E8585" s="4" t="str">
        <f t="shared" si="754"/>
        <v>Huyện Xuân Lộc</v>
      </c>
      <c r="F8585" s="3" t="s">
        <v>9345</v>
      </c>
      <c r="G8585" s="4" t="str">
        <f>HYPERLINK("https://diaocthongthai.com/xa-xuan-hoa-xuan-loc/","Xã Xuân Hòa")</f>
        <v>Xã Xuân Hòa</v>
      </c>
    </row>
    <row r="8586" spans="1:7" x14ac:dyDescent="0.25">
      <c r="A8586" s="2">
        <v>8585</v>
      </c>
      <c r="B8586" s="3" t="s">
        <v>50</v>
      </c>
      <c r="C8586" s="4" t="str">
        <f t="shared" si="752"/>
        <v>Đồng Nai</v>
      </c>
      <c r="D8586" s="3" t="s">
        <v>601</v>
      </c>
      <c r="E8586" s="4" t="str">
        <f t="shared" si="754"/>
        <v>Huyện Xuân Lộc</v>
      </c>
      <c r="F8586" s="3" t="s">
        <v>9346</v>
      </c>
      <c r="G8586" s="4" t="str">
        <f>HYPERLINK("https://diaocthongthai.com/xa-xuan-hung-xuan-loc/","Xã Xuân Hưng")</f>
        <v>Xã Xuân Hưng</v>
      </c>
    </row>
    <row r="8587" spans="1:7" x14ac:dyDescent="0.25">
      <c r="A8587" s="2">
        <v>8586</v>
      </c>
      <c r="B8587" s="3" t="s">
        <v>50</v>
      </c>
      <c r="C8587" s="4" t="str">
        <f t="shared" si="752"/>
        <v>Đồng Nai</v>
      </c>
      <c r="D8587" s="3" t="s">
        <v>601</v>
      </c>
      <c r="E8587" s="4" t="str">
        <f t="shared" si="754"/>
        <v>Huyện Xuân Lộc</v>
      </c>
      <c r="F8587" s="3" t="s">
        <v>9347</v>
      </c>
      <c r="G8587" s="4" t="str">
        <f>HYPERLINK("https://diaocthongthai.com/xa-xuan-tam-xuan-loc/","Xã Xuân Tâm")</f>
        <v>Xã Xuân Tâm</v>
      </c>
    </row>
    <row r="8588" spans="1:7" x14ac:dyDescent="0.25">
      <c r="A8588" s="2">
        <v>8587</v>
      </c>
      <c r="B8588" s="3" t="s">
        <v>50</v>
      </c>
      <c r="C8588" s="4" t="str">
        <f t="shared" si="752"/>
        <v>Đồng Nai</v>
      </c>
      <c r="D8588" s="3" t="s">
        <v>601</v>
      </c>
      <c r="E8588" s="4" t="str">
        <f t="shared" si="754"/>
        <v>Huyện Xuân Lộc</v>
      </c>
      <c r="F8588" s="3" t="s">
        <v>9348</v>
      </c>
      <c r="G8588" s="4" t="str">
        <f>HYPERLINK("https://diaocthongthai.com/xa-suoi-cat-xuan-loc/","Xã Suối Cát")</f>
        <v>Xã Suối Cát</v>
      </c>
    </row>
    <row r="8589" spans="1:7" x14ac:dyDescent="0.25">
      <c r="A8589" s="2">
        <v>8588</v>
      </c>
      <c r="B8589" s="3" t="s">
        <v>50</v>
      </c>
      <c r="C8589" s="4" t="str">
        <f t="shared" si="752"/>
        <v>Đồng Nai</v>
      </c>
      <c r="D8589" s="3" t="s">
        <v>601</v>
      </c>
      <c r="E8589" s="4" t="str">
        <f t="shared" si="754"/>
        <v>Huyện Xuân Lộc</v>
      </c>
      <c r="F8589" s="3" t="s">
        <v>9349</v>
      </c>
      <c r="G8589" s="4" t="str">
        <f>HYPERLINK("https://diaocthongthai.com/xa-xuan-hiep-xuan-loc/","Xã Xuân Hiệp")</f>
        <v>Xã Xuân Hiệp</v>
      </c>
    </row>
    <row r="8590" spans="1:7" x14ac:dyDescent="0.25">
      <c r="A8590" s="2">
        <v>8589</v>
      </c>
      <c r="B8590" s="3" t="s">
        <v>50</v>
      </c>
      <c r="C8590" s="4" t="str">
        <f t="shared" si="752"/>
        <v>Đồng Nai</v>
      </c>
      <c r="D8590" s="3" t="s">
        <v>601</v>
      </c>
      <c r="E8590" s="4" t="str">
        <f t="shared" si="754"/>
        <v>Huyện Xuân Lộc</v>
      </c>
      <c r="F8590" s="3" t="s">
        <v>9350</v>
      </c>
      <c r="G8590" s="4" t="str">
        <f>HYPERLINK("https://diaocthongthai.com/xa-xuan-phu-xuan-loc/","Xã Xuân Phú")</f>
        <v>Xã Xuân Phú</v>
      </c>
    </row>
    <row r="8591" spans="1:7" x14ac:dyDescent="0.25">
      <c r="A8591" s="2">
        <v>8590</v>
      </c>
      <c r="B8591" s="3" t="s">
        <v>50</v>
      </c>
      <c r="C8591" s="4" t="str">
        <f t="shared" si="752"/>
        <v>Đồng Nai</v>
      </c>
      <c r="D8591" s="3" t="s">
        <v>601</v>
      </c>
      <c r="E8591" s="4" t="str">
        <f t="shared" si="754"/>
        <v>Huyện Xuân Lộc</v>
      </c>
      <c r="F8591" s="3" t="s">
        <v>9351</v>
      </c>
      <c r="G8591" s="4" t="str">
        <f>HYPERLINK("https://diaocthongthai.com/xa-xuan-dinh-xuan-loc/","Xã Xuân Định")</f>
        <v>Xã Xuân Định</v>
      </c>
    </row>
    <row r="8592" spans="1:7" x14ac:dyDescent="0.25">
      <c r="A8592" s="2">
        <v>8591</v>
      </c>
      <c r="B8592" s="3" t="s">
        <v>50</v>
      </c>
      <c r="C8592" s="4" t="str">
        <f t="shared" si="752"/>
        <v>Đồng Nai</v>
      </c>
      <c r="D8592" s="3" t="s">
        <v>601</v>
      </c>
      <c r="E8592" s="4" t="str">
        <f t="shared" si="754"/>
        <v>Huyện Xuân Lộc</v>
      </c>
      <c r="F8592" s="3" t="s">
        <v>9352</v>
      </c>
      <c r="G8592" s="4" t="str">
        <f>HYPERLINK("https://diaocthongthai.com/xa-bao-hoa-xuan-loc/","Xã Bảo Hoà")</f>
        <v>Xã Bảo Hoà</v>
      </c>
    </row>
    <row r="8593" spans="1:7" x14ac:dyDescent="0.25">
      <c r="A8593" s="2">
        <v>8592</v>
      </c>
      <c r="B8593" s="3" t="s">
        <v>50</v>
      </c>
      <c r="C8593" s="4" t="str">
        <f t="shared" si="752"/>
        <v>Đồng Nai</v>
      </c>
      <c r="D8593" s="3" t="s">
        <v>601</v>
      </c>
      <c r="E8593" s="4" t="str">
        <f t="shared" si="754"/>
        <v>Huyện Xuân Lộc</v>
      </c>
      <c r="F8593" s="3" t="s">
        <v>9353</v>
      </c>
      <c r="G8593" s="4" t="str">
        <f>HYPERLINK("https://diaocthongthai.com/xa-lang-minh-xuan-loc/","Xã Lang Minh")</f>
        <v>Xã Lang Minh</v>
      </c>
    </row>
    <row r="8594" spans="1:7" x14ac:dyDescent="0.25">
      <c r="A8594" s="2">
        <v>8593</v>
      </c>
      <c r="B8594" s="3" t="s">
        <v>50</v>
      </c>
      <c r="C8594" s="4" t="str">
        <f t="shared" si="752"/>
        <v>Đồng Nai</v>
      </c>
      <c r="D8594" s="3" t="s">
        <v>602</v>
      </c>
      <c r="E8594" s="4" t="str">
        <f t="shared" ref="E8594:E8605" si="755">HYPERLINK("https://diaocthongthai.com/ban-do-huyen-nhon-trach-dong-nai/","Huyện Nhơn Trạch")</f>
        <v>Huyện Nhơn Trạch</v>
      </c>
      <c r="F8594" s="3" t="s">
        <v>9354</v>
      </c>
      <c r="G8594" s="4" t="str">
        <f>HYPERLINK("https://diaocthongthai.com/xa-phuoc-thien-nhon-trach/","Xã Phước Thiền")</f>
        <v>Xã Phước Thiền</v>
      </c>
    </row>
    <row r="8595" spans="1:7" x14ac:dyDescent="0.25">
      <c r="A8595" s="2">
        <v>8594</v>
      </c>
      <c r="B8595" s="3" t="s">
        <v>50</v>
      </c>
      <c r="C8595" s="4" t="str">
        <f t="shared" si="752"/>
        <v>Đồng Nai</v>
      </c>
      <c r="D8595" s="3" t="s">
        <v>602</v>
      </c>
      <c r="E8595" s="4" t="str">
        <f t="shared" si="755"/>
        <v>Huyện Nhơn Trạch</v>
      </c>
      <c r="F8595" s="3" t="s">
        <v>9355</v>
      </c>
      <c r="G8595" s="4" t="str">
        <f>HYPERLINK("https://diaocthongthai.com/xa-long-tan-nhon-trach/","Xã Long Tân")</f>
        <v>Xã Long Tân</v>
      </c>
    </row>
    <row r="8596" spans="1:7" x14ac:dyDescent="0.25">
      <c r="A8596" s="2">
        <v>8595</v>
      </c>
      <c r="B8596" s="3" t="s">
        <v>50</v>
      </c>
      <c r="C8596" s="4" t="str">
        <f t="shared" ref="C8596:C8605" si="756">HYPERLINK("https://diaocthongthai.com/ban-do-dong-nai/","Đồng Nai")</f>
        <v>Đồng Nai</v>
      </c>
      <c r="D8596" s="3" t="s">
        <v>602</v>
      </c>
      <c r="E8596" s="4" t="str">
        <f t="shared" si="755"/>
        <v>Huyện Nhơn Trạch</v>
      </c>
      <c r="F8596" s="3" t="s">
        <v>9356</v>
      </c>
      <c r="G8596" s="4" t="str">
        <f>HYPERLINK("https://diaocthongthai.com/xa-dai-phuoc-nhon-trach/","Xã Đại Phước")</f>
        <v>Xã Đại Phước</v>
      </c>
    </row>
    <row r="8597" spans="1:7" x14ac:dyDescent="0.25">
      <c r="A8597" s="2">
        <v>8596</v>
      </c>
      <c r="B8597" s="3" t="s">
        <v>50</v>
      </c>
      <c r="C8597" s="4" t="str">
        <f t="shared" si="756"/>
        <v>Đồng Nai</v>
      </c>
      <c r="D8597" s="3" t="s">
        <v>602</v>
      </c>
      <c r="E8597" s="4" t="str">
        <f t="shared" si="755"/>
        <v>Huyện Nhơn Trạch</v>
      </c>
      <c r="F8597" s="3" t="s">
        <v>9357</v>
      </c>
      <c r="G8597" s="4" t="str">
        <f>HYPERLINK("https://diaocthongthai.com/thi-tran-hiep-phuoc-nhon-trach/","Thị trấn Hiệp Phước")</f>
        <v>Thị trấn Hiệp Phước</v>
      </c>
    </row>
    <row r="8598" spans="1:7" x14ac:dyDescent="0.25">
      <c r="A8598" s="2">
        <v>8597</v>
      </c>
      <c r="B8598" s="3" t="s">
        <v>50</v>
      </c>
      <c r="C8598" s="4" t="str">
        <f t="shared" si="756"/>
        <v>Đồng Nai</v>
      </c>
      <c r="D8598" s="3" t="s">
        <v>602</v>
      </c>
      <c r="E8598" s="4" t="str">
        <f t="shared" si="755"/>
        <v>Huyện Nhơn Trạch</v>
      </c>
      <c r="F8598" s="3" t="s">
        <v>9358</v>
      </c>
      <c r="G8598" s="4" t="str">
        <f>HYPERLINK("https://diaocthongthai.com/xa-phu-huu-nhon-trach/","Xã Phú Hữu")</f>
        <v>Xã Phú Hữu</v>
      </c>
    </row>
    <row r="8599" spans="1:7" x14ac:dyDescent="0.25">
      <c r="A8599" s="2">
        <v>8598</v>
      </c>
      <c r="B8599" s="3" t="s">
        <v>50</v>
      </c>
      <c r="C8599" s="4" t="str">
        <f t="shared" si="756"/>
        <v>Đồng Nai</v>
      </c>
      <c r="D8599" s="3" t="s">
        <v>602</v>
      </c>
      <c r="E8599" s="4" t="str">
        <f t="shared" si="755"/>
        <v>Huyện Nhơn Trạch</v>
      </c>
      <c r="F8599" s="3" t="s">
        <v>9359</v>
      </c>
      <c r="G8599" s="4" t="str">
        <f>HYPERLINK("https://diaocthongthai.com/xa-phu-hoi-nhon-trach/","Xã Phú Hội")</f>
        <v>Xã Phú Hội</v>
      </c>
    </row>
    <row r="8600" spans="1:7" x14ac:dyDescent="0.25">
      <c r="A8600" s="2">
        <v>8599</v>
      </c>
      <c r="B8600" s="3" t="s">
        <v>50</v>
      </c>
      <c r="C8600" s="4" t="str">
        <f t="shared" si="756"/>
        <v>Đồng Nai</v>
      </c>
      <c r="D8600" s="3" t="s">
        <v>602</v>
      </c>
      <c r="E8600" s="4" t="str">
        <f t="shared" si="755"/>
        <v>Huyện Nhơn Trạch</v>
      </c>
      <c r="F8600" s="3" t="s">
        <v>9360</v>
      </c>
      <c r="G8600" s="4" t="str">
        <f>HYPERLINK("https://diaocthongthai.com/xa-phu-thanh-nhon-trach/","Xã Phú Thạnh")</f>
        <v>Xã Phú Thạnh</v>
      </c>
    </row>
    <row r="8601" spans="1:7" x14ac:dyDescent="0.25">
      <c r="A8601" s="2">
        <v>8600</v>
      </c>
      <c r="B8601" s="3" t="s">
        <v>50</v>
      </c>
      <c r="C8601" s="4" t="str">
        <f t="shared" si="756"/>
        <v>Đồng Nai</v>
      </c>
      <c r="D8601" s="3" t="s">
        <v>602</v>
      </c>
      <c r="E8601" s="4" t="str">
        <f t="shared" si="755"/>
        <v>Huyện Nhơn Trạch</v>
      </c>
      <c r="F8601" s="3" t="s">
        <v>9361</v>
      </c>
      <c r="G8601" s="4" t="str">
        <f>HYPERLINK("https://diaocthongthai.com/xa-phu-dong-nhon-trach/","Xã Phú Đông")</f>
        <v>Xã Phú Đông</v>
      </c>
    </row>
    <row r="8602" spans="1:7" x14ac:dyDescent="0.25">
      <c r="A8602" s="2">
        <v>8601</v>
      </c>
      <c r="B8602" s="3" t="s">
        <v>50</v>
      </c>
      <c r="C8602" s="4" t="str">
        <f t="shared" si="756"/>
        <v>Đồng Nai</v>
      </c>
      <c r="D8602" s="3" t="s">
        <v>602</v>
      </c>
      <c r="E8602" s="4" t="str">
        <f t="shared" si="755"/>
        <v>Huyện Nhơn Trạch</v>
      </c>
      <c r="F8602" s="3" t="s">
        <v>9362</v>
      </c>
      <c r="G8602" s="4" t="str">
        <f>HYPERLINK("https://diaocthongthai.com/xa-long-tho-nhon-trach/","Xã Long Thọ")</f>
        <v>Xã Long Thọ</v>
      </c>
    </row>
    <row r="8603" spans="1:7" x14ac:dyDescent="0.25">
      <c r="A8603" s="2">
        <v>8602</v>
      </c>
      <c r="B8603" s="3" t="s">
        <v>50</v>
      </c>
      <c r="C8603" s="4" t="str">
        <f t="shared" si="756"/>
        <v>Đồng Nai</v>
      </c>
      <c r="D8603" s="3" t="s">
        <v>602</v>
      </c>
      <c r="E8603" s="4" t="str">
        <f t="shared" si="755"/>
        <v>Huyện Nhơn Trạch</v>
      </c>
      <c r="F8603" s="3" t="s">
        <v>9363</v>
      </c>
      <c r="G8603" s="4" t="str">
        <f>HYPERLINK("https://diaocthongthai.com/xa-vinh-thanh-nhon-trach/","Xã Vĩnh Thanh")</f>
        <v>Xã Vĩnh Thanh</v>
      </c>
    </row>
    <row r="8604" spans="1:7" x14ac:dyDescent="0.25">
      <c r="A8604" s="2">
        <v>8603</v>
      </c>
      <c r="B8604" s="3" t="s">
        <v>50</v>
      </c>
      <c r="C8604" s="4" t="str">
        <f t="shared" si="756"/>
        <v>Đồng Nai</v>
      </c>
      <c r="D8604" s="3" t="s">
        <v>602</v>
      </c>
      <c r="E8604" s="4" t="str">
        <f t="shared" si="755"/>
        <v>Huyện Nhơn Trạch</v>
      </c>
      <c r="F8604" s="3" t="s">
        <v>9364</v>
      </c>
      <c r="G8604" s="4" t="str">
        <f>HYPERLINK("https://diaocthongthai.com/xa-phuoc-khanh-nhon-trach/","Xã Phước Khánh")</f>
        <v>Xã Phước Khánh</v>
      </c>
    </row>
    <row r="8605" spans="1:7" x14ac:dyDescent="0.25">
      <c r="A8605" s="2">
        <v>8604</v>
      </c>
      <c r="B8605" s="3" t="s">
        <v>50</v>
      </c>
      <c r="C8605" s="4" t="str">
        <f t="shared" si="756"/>
        <v>Đồng Nai</v>
      </c>
      <c r="D8605" s="3" t="s">
        <v>602</v>
      </c>
      <c r="E8605" s="4" t="str">
        <f t="shared" si="755"/>
        <v>Huyện Nhơn Trạch</v>
      </c>
      <c r="F8605" s="3" t="s">
        <v>9365</v>
      </c>
      <c r="G8605" s="4" t="str">
        <f>HYPERLINK("https://diaocthongthai.com/xa-phuoc-an-nhon-trach/","Xã Phước An")</f>
        <v>Xã Phước An</v>
      </c>
    </row>
    <row r="8606" spans="1:7" x14ac:dyDescent="0.25">
      <c r="A8606" s="2">
        <v>8605</v>
      </c>
      <c r="B8606" s="3" t="s">
        <v>51</v>
      </c>
      <c r="C8606" s="4" t="str">
        <f t="shared" ref="C8606:C8637" si="757">HYPERLINK("https://diaocthongthai.com/ban-do-ba-ria-vung-tau/","Bà Rịa-Vũng Tàu")</f>
        <v>Bà Rịa-Vũng Tàu</v>
      </c>
      <c r="D8606" s="3" t="s">
        <v>603</v>
      </c>
      <c r="E8606" s="4" t="str">
        <f t="shared" ref="E8606:E8622" si="758">HYPERLINK("https://diaocthongthai.com/ban-do-tp-vung-tau-ba-ria-vung-tau/","Thành phố Vũng Tàu")</f>
        <v>Thành phố Vũng Tàu</v>
      </c>
      <c r="F8606" s="3" t="s">
        <v>9366</v>
      </c>
      <c r="G8606" s="4" t="str">
        <f>HYPERLINK("https://diaocthongthai.com/phuong-1-tp-vung-tau/","Phường 1")</f>
        <v>Phường 1</v>
      </c>
    </row>
    <row r="8607" spans="1:7" x14ac:dyDescent="0.25">
      <c r="A8607" s="2">
        <v>8606</v>
      </c>
      <c r="B8607" s="3" t="s">
        <v>51</v>
      </c>
      <c r="C8607" s="4" t="str">
        <f t="shared" si="757"/>
        <v>Bà Rịa-Vũng Tàu</v>
      </c>
      <c r="D8607" s="3" t="s">
        <v>603</v>
      </c>
      <c r="E8607" s="4" t="str">
        <f t="shared" si="758"/>
        <v>Thành phố Vũng Tàu</v>
      </c>
      <c r="F8607" s="3" t="s">
        <v>9367</v>
      </c>
      <c r="G8607" s="4" t="str">
        <f>HYPERLINK("https://diaocthongthai.com/phuong-thang-tam-tp-vung-tau/","Phường Thắng Tam")</f>
        <v>Phường Thắng Tam</v>
      </c>
    </row>
    <row r="8608" spans="1:7" x14ac:dyDescent="0.25">
      <c r="A8608" s="2">
        <v>8607</v>
      </c>
      <c r="B8608" s="3" t="s">
        <v>51</v>
      </c>
      <c r="C8608" s="4" t="str">
        <f t="shared" si="757"/>
        <v>Bà Rịa-Vũng Tàu</v>
      </c>
      <c r="D8608" s="3" t="s">
        <v>603</v>
      </c>
      <c r="E8608" s="4" t="str">
        <f t="shared" si="758"/>
        <v>Thành phố Vũng Tàu</v>
      </c>
      <c r="F8608" s="3" t="s">
        <v>9368</v>
      </c>
      <c r="G8608" s="4" t="str">
        <f>HYPERLINK("https://diaocthongthai.com/phuong-2-tp-vung-tau/","Phường 2")</f>
        <v>Phường 2</v>
      </c>
    </row>
    <row r="8609" spans="1:7" x14ac:dyDescent="0.25">
      <c r="A8609" s="2">
        <v>8608</v>
      </c>
      <c r="B8609" s="3" t="s">
        <v>51</v>
      </c>
      <c r="C8609" s="4" t="str">
        <f t="shared" si="757"/>
        <v>Bà Rịa-Vũng Tàu</v>
      </c>
      <c r="D8609" s="3" t="s">
        <v>603</v>
      </c>
      <c r="E8609" s="4" t="str">
        <f t="shared" si="758"/>
        <v>Thành phố Vũng Tàu</v>
      </c>
      <c r="F8609" s="3" t="s">
        <v>9369</v>
      </c>
      <c r="G8609" s="4" t="str">
        <f>HYPERLINK("https://diaocthongthai.com/phuong-3-tp-vung-tau/","Phường 3")</f>
        <v>Phường 3</v>
      </c>
    </row>
    <row r="8610" spans="1:7" x14ac:dyDescent="0.25">
      <c r="A8610" s="2">
        <v>8609</v>
      </c>
      <c r="B8610" s="3" t="s">
        <v>51</v>
      </c>
      <c r="C8610" s="4" t="str">
        <f t="shared" si="757"/>
        <v>Bà Rịa-Vũng Tàu</v>
      </c>
      <c r="D8610" s="3" t="s">
        <v>603</v>
      </c>
      <c r="E8610" s="4" t="str">
        <f t="shared" si="758"/>
        <v>Thành phố Vũng Tàu</v>
      </c>
      <c r="F8610" s="3" t="s">
        <v>9370</v>
      </c>
      <c r="G8610" s="4" t="str">
        <f>HYPERLINK("https://diaocthongthai.com/phuong-4-tp-vung-tau/","Phường 4")</f>
        <v>Phường 4</v>
      </c>
    </row>
    <row r="8611" spans="1:7" x14ac:dyDescent="0.25">
      <c r="A8611" s="2">
        <v>8610</v>
      </c>
      <c r="B8611" s="3" t="s">
        <v>51</v>
      </c>
      <c r="C8611" s="4" t="str">
        <f t="shared" si="757"/>
        <v>Bà Rịa-Vũng Tàu</v>
      </c>
      <c r="D8611" s="3" t="s">
        <v>603</v>
      </c>
      <c r="E8611" s="4" t="str">
        <f t="shared" si="758"/>
        <v>Thành phố Vũng Tàu</v>
      </c>
      <c r="F8611" s="3" t="s">
        <v>9371</v>
      </c>
      <c r="G8611" s="4" t="str">
        <f>HYPERLINK("https://diaocthongthai.com/phuong-5-tp-vung-tau/","Phường 5")</f>
        <v>Phường 5</v>
      </c>
    </row>
    <row r="8612" spans="1:7" x14ac:dyDescent="0.25">
      <c r="A8612" s="2">
        <v>8611</v>
      </c>
      <c r="B8612" s="3" t="s">
        <v>51</v>
      </c>
      <c r="C8612" s="4" t="str">
        <f t="shared" si="757"/>
        <v>Bà Rịa-Vũng Tàu</v>
      </c>
      <c r="D8612" s="3" t="s">
        <v>603</v>
      </c>
      <c r="E8612" s="4" t="str">
        <f t="shared" si="758"/>
        <v>Thành phố Vũng Tàu</v>
      </c>
      <c r="F8612" s="3" t="s">
        <v>9372</v>
      </c>
      <c r="G8612" s="4" t="str">
        <f>HYPERLINK("https://diaocthongthai.com/phuong-thang-nhi-tp-vung-tau/","Phường Thắng Nhì")</f>
        <v>Phường Thắng Nhì</v>
      </c>
    </row>
    <row r="8613" spans="1:7" x14ac:dyDescent="0.25">
      <c r="A8613" s="2">
        <v>8612</v>
      </c>
      <c r="B8613" s="3" t="s">
        <v>51</v>
      </c>
      <c r="C8613" s="4" t="str">
        <f t="shared" si="757"/>
        <v>Bà Rịa-Vũng Tàu</v>
      </c>
      <c r="D8613" s="3" t="s">
        <v>603</v>
      </c>
      <c r="E8613" s="4" t="str">
        <f t="shared" si="758"/>
        <v>Thành phố Vũng Tàu</v>
      </c>
      <c r="F8613" s="3" t="s">
        <v>9373</v>
      </c>
      <c r="G8613" s="4" t="str">
        <f>HYPERLINK("https://diaocthongthai.com/phuong-7-tp-vung-tau/","Phường 7")</f>
        <v>Phường 7</v>
      </c>
    </row>
    <row r="8614" spans="1:7" x14ac:dyDescent="0.25">
      <c r="A8614" s="2">
        <v>8613</v>
      </c>
      <c r="B8614" s="3" t="s">
        <v>51</v>
      </c>
      <c r="C8614" s="4" t="str">
        <f t="shared" si="757"/>
        <v>Bà Rịa-Vũng Tàu</v>
      </c>
      <c r="D8614" s="3" t="s">
        <v>603</v>
      </c>
      <c r="E8614" s="4" t="str">
        <f t="shared" si="758"/>
        <v>Thành phố Vũng Tàu</v>
      </c>
      <c r="F8614" s="3" t="s">
        <v>9374</v>
      </c>
      <c r="G8614" s="4" t="str">
        <f>HYPERLINK("https://diaocthongthai.com/phuong-nguyen-an-ninh-tp-vung-tau/","Phường Nguyễn An Ninh")</f>
        <v>Phường Nguyễn An Ninh</v>
      </c>
    </row>
    <row r="8615" spans="1:7" x14ac:dyDescent="0.25">
      <c r="A8615" s="2">
        <v>8614</v>
      </c>
      <c r="B8615" s="3" t="s">
        <v>51</v>
      </c>
      <c r="C8615" s="4" t="str">
        <f t="shared" si="757"/>
        <v>Bà Rịa-Vũng Tàu</v>
      </c>
      <c r="D8615" s="3" t="s">
        <v>603</v>
      </c>
      <c r="E8615" s="4" t="str">
        <f t="shared" si="758"/>
        <v>Thành phố Vũng Tàu</v>
      </c>
      <c r="F8615" s="3" t="s">
        <v>9375</v>
      </c>
      <c r="G8615" s="4" t="str">
        <f>HYPERLINK("https://diaocthongthai.com/phuong-8-tp-vung-tau/","Phường 8")</f>
        <v>Phường 8</v>
      </c>
    </row>
    <row r="8616" spans="1:7" x14ac:dyDescent="0.25">
      <c r="A8616" s="2">
        <v>8615</v>
      </c>
      <c r="B8616" s="3" t="s">
        <v>51</v>
      </c>
      <c r="C8616" s="4" t="str">
        <f t="shared" si="757"/>
        <v>Bà Rịa-Vũng Tàu</v>
      </c>
      <c r="D8616" s="3" t="s">
        <v>603</v>
      </c>
      <c r="E8616" s="4" t="str">
        <f t="shared" si="758"/>
        <v>Thành phố Vũng Tàu</v>
      </c>
      <c r="F8616" s="3" t="s">
        <v>9376</v>
      </c>
      <c r="G8616" s="4" t="str">
        <f>HYPERLINK("https://diaocthongthai.com/phuong-9-tp-vung-tau/","Phường 9")</f>
        <v>Phường 9</v>
      </c>
    </row>
    <row r="8617" spans="1:7" x14ac:dyDescent="0.25">
      <c r="A8617" s="2">
        <v>8616</v>
      </c>
      <c r="B8617" s="3" t="s">
        <v>51</v>
      </c>
      <c r="C8617" s="4" t="str">
        <f t="shared" si="757"/>
        <v>Bà Rịa-Vũng Tàu</v>
      </c>
      <c r="D8617" s="3" t="s">
        <v>603</v>
      </c>
      <c r="E8617" s="4" t="str">
        <f t="shared" si="758"/>
        <v>Thành phố Vũng Tàu</v>
      </c>
      <c r="F8617" s="3" t="s">
        <v>9377</v>
      </c>
      <c r="G8617" s="4" t="str">
        <f>HYPERLINK("https://diaocthongthai.com/phuong-thang-nhat-tp-vung-tau/","Phường Thắng Nhất")</f>
        <v>Phường Thắng Nhất</v>
      </c>
    </row>
    <row r="8618" spans="1:7" x14ac:dyDescent="0.25">
      <c r="A8618" s="2">
        <v>8617</v>
      </c>
      <c r="B8618" s="3" t="s">
        <v>51</v>
      </c>
      <c r="C8618" s="4" t="str">
        <f t="shared" si="757"/>
        <v>Bà Rịa-Vũng Tàu</v>
      </c>
      <c r="D8618" s="3" t="s">
        <v>603</v>
      </c>
      <c r="E8618" s="4" t="str">
        <f t="shared" si="758"/>
        <v>Thành phố Vũng Tàu</v>
      </c>
      <c r="F8618" s="3" t="s">
        <v>9378</v>
      </c>
      <c r="G8618" s="4" t="str">
        <f>HYPERLINK("https://diaocthongthai.com/phuong-rach-dua-tp-vung-tau/","Phường Rạch Dừa")</f>
        <v>Phường Rạch Dừa</v>
      </c>
    </row>
    <row r="8619" spans="1:7" x14ac:dyDescent="0.25">
      <c r="A8619" s="2">
        <v>8618</v>
      </c>
      <c r="B8619" s="3" t="s">
        <v>51</v>
      </c>
      <c r="C8619" s="4" t="str">
        <f t="shared" si="757"/>
        <v>Bà Rịa-Vũng Tàu</v>
      </c>
      <c r="D8619" s="3" t="s">
        <v>603</v>
      </c>
      <c r="E8619" s="4" t="str">
        <f t="shared" si="758"/>
        <v>Thành phố Vũng Tàu</v>
      </c>
      <c r="F8619" s="3" t="s">
        <v>9379</v>
      </c>
      <c r="G8619" s="4" t="str">
        <f>HYPERLINK("https://diaocthongthai.com/phuong-10-tp-vung-tau/","Phường 10")</f>
        <v>Phường 10</v>
      </c>
    </row>
    <row r="8620" spans="1:7" x14ac:dyDescent="0.25">
      <c r="A8620" s="2">
        <v>8619</v>
      </c>
      <c r="B8620" s="3" t="s">
        <v>51</v>
      </c>
      <c r="C8620" s="4" t="str">
        <f t="shared" si="757"/>
        <v>Bà Rịa-Vũng Tàu</v>
      </c>
      <c r="D8620" s="3" t="s">
        <v>603</v>
      </c>
      <c r="E8620" s="4" t="str">
        <f t="shared" si="758"/>
        <v>Thành phố Vũng Tàu</v>
      </c>
      <c r="F8620" s="3" t="s">
        <v>9380</v>
      </c>
      <c r="G8620" s="4" t="str">
        <f>HYPERLINK("https://diaocthongthai.com/phuong-11-tp-vung-tau/","Phường 11")</f>
        <v>Phường 11</v>
      </c>
    </row>
    <row r="8621" spans="1:7" x14ac:dyDescent="0.25">
      <c r="A8621" s="2">
        <v>8620</v>
      </c>
      <c r="B8621" s="3" t="s">
        <v>51</v>
      </c>
      <c r="C8621" s="4" t="str">
        <f t="shared" si="757"/>
        <v>Bà Rịa-Vũng Tàu</v>
      </c>
      <c r="D8621" s="3" t="s">
        <v>603</v>
      </c>
      <c r="E8621" s="4" t="str">
        <f t="shared" si="758"/>
        <v>Thành phố Vũng Tàu</v>
      </c>
      <c r="F8621" s="3" t="s">
        <v>9381</v>
      </c>
      <c r="G8621" s="4" t="str">
        <f>HYPERLINK("https://diaocthongthai.com/phuong-12-tp-vung-tau/","Phường 12")</f>
        <v>Phường 12</v>
      </c>
    </row>
    <row r="8622" spans="1:7" x14ac:dyDescent="0.25">
      <c r="A8622" s="2">
        <v>8621</v>
      </c>
      <c r="B8622" s="3" t="s">
        <v>51</v>
      </c>
      <c r="C8622" s="4" t="str">
        <f t="shared" si="757"/>
        <v>Bà Rịa-Vũng Tàu</v>
      </c>
      <c r="D8622" s="3" t="s">
        <v>603</v>
      </c>
      <c r="E8622" s="4" t="str">
        <f t="shared" si="758"/>
        <v>Thành phố Vũng Tàu</v>
      </c>
      <c r="F8622" s="3" t="s">
        <v>9382</v>
      </c>
      <c r="G8622" s="4" t="str">
        <f>HYPERLINK("https://diaocthongthai.com/xa-long-son-tp-vung-tau/","Xã Long Sơn")</f>
        <v>Xã Long Sơn</v>
      </c>
    </row>
    <row r="8623" spans="1:7" x14ac:dyDescent="0.25">
      <c r="A8623" s="2">
        <v>8622</v>
      </c>
      <c r="B8623" s="3" t="s">
        <v>51</v>
      </c>
      <c r="C8623" s="4" t="str">
        <f t="shared" si="757"/>
        <v>Bà Rịa-Vũng Tàu</v>
      </c>
      <c r="D8623" s="3" t="s">
        <v>604</v>
      </c>
      <c r="E8623" s="4" t="str">
        <f t="shared" ref="E8623:E8633" si="759">HYPERLINK("https://diaocthongthai.com/ban-do-tp-ba-ria-ba-ria-vung-tau/","Thành phố Bà Rịa")</f>
        <v>Thành phố Bà Rịa</v>
      </c>
      <c r="F8623" s="3" t="s">
        <v>9383</v>
      </c>
      <c r="G8623" s="4" t="str">
        <f>HYPERLINK("https://diaocthongthai.com/phuong-phuoc-hung-tp-ba-ria/","Phường Phước Hưng")</f>
        <v>Phường Phước Hưng</v>
      </c>
    </row>
    <row r="8624" spans="1:7" x14ac:dyDescent="0.25">
      <c r="A8624" s="2">
        <v>8623</v>
      </c>
      <c r="B8624" s="3" t="s">
        <v>51</v>
      </c>
      <c r="C8624" s="4" t="str">
        <f t="shared" si="757"/>
        <v>Bà Rịa-Vũng Tàu</v>
      </c>
      <c r="D8624" s="3" t="s">
        <v>604</v>
      </c>
      <c r="E8624" s="4" t="str">
        <f t="shared" si="759"/>
        <v>Thành phố Bà Rịa</v>
      </c>
      <c r="F8624" s="3" t="s">
        <v>9384</v>
      </c>
      <c r="G8624" s="4" t="str">
        <f>HYPERLINK("https://diaocthongthai.com/phuong-phuoc-hiep-tp-ba-ria/","Phường Phước Hiệp")</f>
        <v>Phường Phước Hiệp</v>
      </c>
    </row>
    <row r="8625" spans="1:7" x14ac:dyDescent="0.25">
      <c r="A8625" s="2">
        <v>8624</v>
      </c>
      <c r="B8625" s="3" t="s">
        <v>51</v>
      </c>
      <c r="C8625" s="4" t="str">
        <f t="shared" si="757"/>
        <v>Bà Rịa-Vũng Tàu</v>
      </c>
      <c r="D8625" s="3" t="s">
        <v>604</v>
      </c>
      <c r="E8625" s="4" t="str">
        <f t="shared" si="759"/>
        <v>Thành phố Bà Rịa</v>
      </c>
      <c r="F8625" s="3" t="s">
        <v>9385</v>
      </c>
      <c r="G8625" s="4" t="str">
        <f>HYPERLINK("https://diaocthongthai.com/phuong-phuoc-nguyen-tp-ba-ria/","Phường Phước Nguyên")</f>
        <v>Phường Phước Nguyên</v>
      </c>
    </row>
    <row r="8626" spans="1:7" x14ac:dyDescent="0.25">
      <c r="A8626" s="2">
        <v>8625</v>
      </c>
      <c r="B8626" s="3" t="s">
        <v>51</v>
      </c>
      <c r="C8626" s="4" t="str">
        <f t="shared" si="757"/>
        <v>Bà Rịa-Vũng Tàu</v>
      </c>
      <c r="D8626" s="3" t="s">
        <v>604</v>
      </c>
      <c r="E8626" s="4" t="str">
        <f t="shared" si="759"/>
        <v>Thành phố Bà Rịa</v>
      </c>
      <c r="F8626" s="3" t="s">
        <v>9386</v>
      </c>
      <c r="G8626" s="4" t="str">
        <f>HYPERLINK("https://diaocthongthai.com/phuong-long-toan-tp-ba-ria/","Phường Long Toàn")</f>
        <v>Phường Long Toàn</v>
      </c>
    </row>
    <row r="8627" spans="1:7" x14ac:dyDescent="0.25">
      <c r="A8627" s="2">
        <v>8626</v>
      </c>
      <c r="B8627" s="3" t="s">
        <v>51</v>
      </c>
      <c r="C8627" s="4" t="str">
        <f t="shared" si="757"/>
        <v>Bà Rịa-Vũng Tàu</v>
      </c>
      <c r="D8627" s="3" t="s">
        <v>604</v>
      </c>
      <c r="E8627" s="4" t="str">
        <f t="shared" si="759"/>
        <v>Thành phố Bà Rịa</v>
      </c>
      <c r="F8627" s="3" t="s">
        <v>9387</v>
      </c>
      <c r="G8627" s="4" t="str">
        <f>HYPERLINK("https://diaocthongthai.com/phuong-long-tam-tp-ba-ria/","Phường Long Tâm")</f>
        <v>Phường Long Tâm</v>
      </c>
    </row>
    <row r="8628" spans="1:7" x14ac:dyDescent="0.25">
      <c r="A8628" s="2">
        <v>8627</v>
      </c>
      <c r="B8628" s="3" t="s">
        <v>51</v>
      </c>
      <c r="C8628" s="4" t="str">
        <f t="shared" si="757"/>
        <v>Bà Rịa-Vũng Tàu</v>
      </c>
      <c r="D8628" s="3" t="s">
        <v>604</v>
      </c>
      <c r="E8628" s="4" t="str">
        <f t="shared" si="759"/>
        <v>Thành phố Bà Rịa</v>
      </c>
      <c r="F8628" s="3" t="s">
        <v>9388</v>
      </c>
      <c r="G8628" s="4" t="str">
        <f>HYPERLINK("https://diaocthongthai.com/phuong-phuoc-trung-tp-ba-ria/","Phường Phước Trung")</f>
        <v>Phường Phước Trung</v>
      </c>
    </row>
    <row r="8629" spans="1:7" x14ac:dyDescent="0.25">
      <c r="A8629" s="2">
        <v>8628</v>
      </c>
      <c r="B8629" s="3" t="s">
        <v>51</v>
      </c>
      <c r="C8629" s="4" t="str">
        <f t="shared" si="757"/>
        <v>Bà Rịa-Vũng Tàu</v>
      </c>
      <c r="D8629" s="3" t="s">
        <v>604</v>
      </c>
      <c r="E8629" s="4" t="str">
        <f t="shared" si="759"/>
        <v>Thành phố Bà Rịa</v>
      </c>
      <c r="F8629" s="3" t="s">
        <v>9389</v>
      </c>
      <c r="G8629" s="4" t="str">
        <f>HYPERLINK("https://diaocthongthai.com/phuong-long-huong-tp-ba-ria/","Phường Long Hương")</f>
        <v>Phường Long Hương</v>
      </c>
    </row>
    <row r="8630" spans="1:7" x14ac:dyDescent="0.25">
      <c r="A8630" s="2">
        <v>8629</v>
      </c>
      <c r="B8630" s="3" t="s">
        <v>51</v>
      </c>
      <c r="C8630" s="4" t="str">
        <f t="shared" si="757"/>
        <v>Bà Rịa-Vũng Tàu</v>
      </c>
      <c r="D8630" s="3" t="s">
        <v>604</v>
      </c>
      <c r="E8630" s="4" t="str">
        <f t="shared" si="759"/>
        <v>Thành phố Bà Rịa</v>
      </c>
      <c r="F8630" s="3" t="s">
        <v>9390</v>
      </c>
      <c r="G8630" s="4" t="str">
        <f>HYPERLINK("https://diaocthongthai.com/phuong-kim-dinh-tp-ba-ria/","Phường Kim Dinh")</f>
        <v>Phường Kim Dinh</v>
      </c>
    </row>
    <row r="8631" spans="1:7" x14ac:dyDescent="0.25">
      <c r="A8631" s="2">
        <v>8630</v>
      </c>
      <c r="B8631" s="3" t="s">
        <v>51</v>
      </c>
      <c r="C8631" s="4" t="str">
        <f t="shared" si="757"/>
        <v>Bà Rịa-Vũng Tàu</v>
      </c>
      <c r="D8631" s="3" t="s">
        <v>604</v>
      </c>
      <c r="E8631" s="4" t="str">
        <f t="shared" si="759"/>
        <v>Thành phố Bà Rịa</v>
      </c>
      <c r="F8631" s="3" t="s">
        <v>9391</v>
      </c>
      <c r="G8631" s="4" t="str">
        <f>HYPERLINK("https://diaocthongthai.com/xa-tan-hung-tp-ba-ria/","Xã Tân Hưng")</f>
        <v>Xã Tân Hưng</v>
      </c>
    </row>
    <row r="8632" spans="1:7" x14ac:dyDescent="0.25">
      <c r="A8632" s="2">
        <v>8631</v>
      </c>
      <c r="B8632" s="3" t="s">
        <v>51</v>
      </c>
      <c r="C8632" s="4" t="str">
        <f t="shared" si="757"/>
        <v>Bà Rịa-Vũng Tàu</v>
      </c>
      <c r="D8632" s="3" t="s">
        <v>604</v>
      </c>
      <c r="E8632" s="4" t="str">
        <f t="shared" si="759"/>
        <v>Thành phố Bà Rịa</v>
      </c>
      <c r="F8632" s="3" t="s">
        <v>9392</v>
      </c>
      <c r="G8632" s="4" t="str">
        <f>HYPERLINK("https://diaocthongthai.com/xa-long-phuoc-tp-ba-ria/","Xã Long Phước")</f>
        <v>Xã Long Phước</v>
      </c>
    </row>
    <row r="8633" spans="1:7" x14ac:dyDescent="0.25">
      <c r="A8633" s="2">
        <v>8632</v>
      </c>
      <c r="B8633" s="3" t="s">
        <v>51</v>
      </c>
      <c r="C8633" s="4" t="str">
        <f t="shared" si="757"/>
        <v>Bà Rịa-Vũng Tàu</v>
      </c>
      <c r="D8633" s="3" t="s">
        <v>604</v>
      </c>
      <c r="E8633" s="4" t="str">
        <f t="shared" si="759"/>
        <v>Thành phố Bà Rịa</v>
      </c>
      <c r="F8633" s="3" t="s">
        <v>9393</v>
      </c>
      <c r="G8633" s="4" t="str">
        <f>HYPERLINK("https://diaocthongthai.com/xa-hoa-long-tp-ba-ria/","Xã Hoà Long")</f>
        <v>Xã Hoà Long</v>
      </c>
    </row>
    <row r="8634" spans="1:7" x14ac:dyDescent="0.25">
      <c r="A8634" s="2">
        <v>8633</v>
      </c>
      <c r="B8634" s="3" t="s">
        <v>51</v>
      </c>
      <c r="C8634" s="4" t="str">
        <f t="shared" si="757"/>
        <v>Bà Rịa-Vũng Tàu</v>
      </c>
      <c r="D8634" s="3" t="s">
        <v>605</v>
      </c>
      <c r="E8634" s="4" t="str">
        <f t="shared" ref="E8634:E8649" si="760">HYPERLINK("https://diaocthongthai.com/ban-do-huyen-chau-duc-ba-ria-vung-tau/","Huyện Châu Đức")</f>
        <v>Huyện Châu Đức</v>
      </c>
      <c r="F8634" s="3" t="s">
        <v>9394</v>
      </c>
      <c r="G8634" s="4" t="str">
        <f>HYPERLINK("https://diaocthongthai.com/xa-bau-chinh-chau-duc/","Xã Bàu Chinh")</f>
        <v>Xã Bàu Chinh</v>
      </c>
    </row>
    <row r="8635" spans="1:7" x14ac:dyDescent="0.25">
      <c r="A8635" s="2">
        <v>8634</v>
      </c>
      <c r="B8635" s="3" t="s">
        <v>51</v>
      </c>
      <c r="C8635" s="4" t="str">
        <f t="shared" si="757"/>
        <v>Bà Rịa-Vũng Tàu</v>
      </c>
      <c r="D8635" s="3" t="s">
        <v>605</v>
      </c>
      <c r="E8635" s="4" t="str">
        <f t="shared" si="760"/>
        <v>Huyện Châu Đức</v>
      </c>
      <c r="F8635" s="3" t="s">
        <v>9395</v>
      </c>
      <c r="G8635" s="4" t="str">
        <f>HYPERLINK("https://diaocthongthai.com/thi-tran-ngai-giao-chau-duc/","Thị trấn Ngãi Giao")</f>
        <v>Thị trấn Ngãi Giao</v>
      </c>
    </row>
    <row r="8636" spans="1:7" x14ac:dyDescent="0.25">
      <c r="A8636" s="2">
        <v>8635</v>
      </c>
      <c r="B8636" s="3" t="s">
        <v>51</v>
      </c>
      <c r="C8636" s="4" t="str">
        <f t="shared" si="757"/>
        <v>Bà Rịa-Vũng Tàu</v>
      </c>
      <c r="D8636" s="3" t="s">
        <v>605</v>
      </c>
      <c r="E8636" s="4" t="str">
        <f t="shared" si="760"/>
        <v>Huyện Châu Đức</v>
      </c>
      <c r="F8636" s="3" t="s">
        <v>9396</v>
      </c>
      <c r="G8636" s="4" t="str">
        <f>HYPERLINK("https://diaocthongthai.com/xa-binh-ba-chau-duc/","Xã Bình Ba")</f>
        <v>Xã Bình Ba</v>
      </c>
    </row>
    <row r="8637" spans="1:7" x14ac:dyDescent="0.25">
      <c r="A8637" s="2">
        <v>8636</v>
      </c>
      <c r="B8637" s="3" t="s">
        <v>51</v>
      </c>
      <c r="C8637" s="4" t="str">
        <f t="shared" si="757"/>
        <v>Bà Rịa-Vũng Tàu</v>
      </c>
      <c r="D8637" s="3" t="s">
        <v>605</v>
      </c>
      <c r="E8637" s="4" t="str">
        <f t="shared" si="760"/>
        <v>Huyện Châu Đức</v>
      </c>
      <c r="F8637" s="3" t="s">
        <v>9397</v>
      </c>
      <c r="G8637" s="4" t="str">
        <f>HYPERLINK("https://diaocthongthai.com/xa-suoi-nghe-chau-duc/","Xã Suối Nghệ")</f>
        <v>Xã Suối Nghệ</v>
      </c>
    </row>
    <row r="8638" spans="1:7" x14ac:dyDescent="0.25">
      <c r="A8638" s="2">
        <v>8637</v>
      </c>
      <c r="B8638" s="3" t="s">
        <v>51</v>
      </c>
      <c r="C8638" s="4" t="str">
        <f t="shared" ref="C8638:C8669" si="761">HYPERLINK("https://diaocthongthai.com/ban-do-ba-ria-vung-tau/","Bà Rịa-Vũng Tàu")</f>
        <v>Bà Rịa-Vũng Tàu</v>
      </c>
      <c r="D8638" s="3" t="s">
        <v>605</v>
      </c>
      <c r="E8638" s="4" t="str">
        <f t="shared" si="760"/>
        <v>Huyện Châu Đức</v>
      </c>
      <c r="F8638" s="3" t="s">
        <v>9398</v>
      </c>
      <c r="G8638" s="4" t="str">
        <f>HYPERLINK("https://diaocthongthai.com/xa-xuan-son-chau-duc/","Xã Xuân Sơn")</f>
        <v>Xã Xuân Sơn</v>
      </c>
    </row>
    <row r="8639" spans="1:7" x14ac:dyDescent="0.25">
      <c r="A8639" s="2">
        <v>8638</v>
      </c>
      <c r="B8639" s="3" t="s">
        <v>51</v>
      </c>
      <c r="C8639" s="4" t="str">
        <f t="shared" si="761"/>
        <v>Bà Rịa-Vũng Tàu</v>
      </c>
      <c r="D8639" s="3" t="s">
        <v>605</v>
      </c>
      <c r="E8639" s="4" t="str">
        <f t="shared" si="760"/>
        <v>Huyện Châu Đức</v>
      </c>
      <c r="F8639" s="3" t="s">
        <v>9399</v>
      </c>
      <c r="G8639" s="4" t="str">
        <f>HYPERLINK("https://diaocthongthai.com/xa-son-binh-chau-duc/","Xã Sơn Bình")</f>
        <v>Xã Sơn Bình</v>
      </c>
    </row>
    <row r="8640" spans="1:7" x14ac:dyDescent="0.25">
      <c r="A8640" s="2">
        <v>8639</v>
      </c>
      <c r="B8640" s="3" t="s">
        <v>51</v>
      </c>
      <c r="C8640" s="4" t="str">
        <f t="shared" si="761"/>
        <v>Bà Rịa-Vũng Tàu</v>
      </c>
      <c r="D8640" s="3" t="s">
        <v>605</v>
      </c>
      <c r="E8640" s="4" t="str">
        <f t="shared" si="760"/>
        <v>Huyện Châu Đức</v>
      </c>
      <c r="F8640" s="3" t="s">
        <v>9400</v>
      </c>
      <c r="G8640" s="4" t="str">
        <f>HYPERLINK("https://diaocthongthai.com/xa-binh-gia-chau-duc/","Xã Bình Giã")</f>
        <v>Xã Bình Giã</v>
      </c>
    </row>
    <row r="8641" spans="1:7" x14ac:dyDescent="0.25">
      <c r="A8641" s="2">
        <v>8640</v>
      </c>
      <c r="B8641" s="3" t="s">
        <v>51</v>
      </c>
      <c r="C8641" s="4" t="str">
        <f t="shared" si="761"/>
        <v>Bà Rịa-Vũng Tàu</v>
      </c>
      <c r="D8641" s="3" t="s">
        <v>605</v>
      </c>
      <c r="E8641" s="4" t="str">
        <f t="shared" si="760"/>
        <v>Huyện Châu Đức</v>
      </c>
      <c r="F8641" s="3" t="s">
        <v>9401</v>
      </c>
      <c r="G8641" s="4" t="str">
        <f>HYPERLINK("https://diaocthongthai.com/xa-binh-trung-chau-duc/","Xã Bình Trung")</f>
        <v>Xã Bình Trung</v>
      </c>
    </row>
    <row r="8642" spans="1:7" x14ac:dyDescent="0.25">
      <c r="A8642" s="2">
        <v>8641</v>
      </c>
      <c r="B8642" s="3" t="s">
        <v>51</v>
      </c>
      <c r="C8642" s="4" t="str">
        <f t="shared" si="761"/>
        <v>Bà Rịa-Vũng Tàu</v>
      </c>
      <c r="D8642" s="3" t="s">
        <v>605</v>
      </c>
      <c r="E8642" s="4" t="str">
        <f t="shared" si="760"/>
        <v>Huyện Châu Đức</v>
      </c>
      <c r="F8642" s="3" t="s">
        <v>9402</v>
      </c>
      <c r="G8642" s="4" t="str">
        <f>HYPERLINK("https://diaocthongthai.com/xa-xa-bang-chau-duc/","Xã Xà Bang")</f>
        <v>Xã Xà Bang</v>
      </c>
    </row>
    <row r="8643" spans="1:7" x14ac:dyDescent="0.25">
      <c r="A8643" s="2">
        <v>8642</v>
      </c>
      <c r="B8643" s="3" t="s">
        <v>51</v>
      </c>
      <c r="C8643" s="4" t="str">
        <f t="shared" si="761"/>
        <v>Bà Rịa-Vũng Tàu</v>
      </c>
      <c r="D8643" s="3" t="s">
        <v>605</v>
      </c>
      <c r="E8643" s="4" t="str">
        <f t="shared" si="760"/>
        <v>Huyện Châu Đức</v>
      </c>
      <c r="F8643" s="3" t="s">
        <v>9403</v>
      </c>
      <c r="G8643" s="4" t="str">
        <f>HYPERLINK("https://diaocthongthai.com/xa-cu-bi-chau-duc/","Xã Cù Bị")</f>
        <v>Xã Cù Bị</v>
      </c>
    </row>
    <row r="8644" spans="1:7" x14ac:dyDescent="0.25">
      <c r="A8644" s="2">
        <v>8643</v>
      </c>
      <c r="B8644" s="3" t="s">
        <v>51</v>
      </c>
      <c r="C8644" s="4" t="str">
        <f t="shared" si="761"/>
        <v>Bà Rịa-Vũng Tàu</v>
      </c>
      <c r="D8644" s="3" t="s">
        <v>605</v>
      </c>
      <c r="E8644" s="4" t="str">
        <f t="shared" si="760"/>
        <v>Huyện Châu Đức</v>
      </c>
      <c r="F8644" s="3" t="s">
        <v>9404</v>
      </c>
      <c r="G8644" s="4" t="str">
        <f>HYPERLINK("https://diaocthongthai.com/xa-lang-lon-chau-duc/","Xã Láng Lớn")</f>
        <v>Xã Láng Lớn</v>
      </c>
    </row>
    <row r="8645" spans="1:7" x14ac:dyDescent="0.25">
      <c r="A8645" s="2">
        <v>8644</v>
      </c>
      <c r="B8645" s="3" t="s">
        <v>51</v>
      </c>
      <c r="C8645" s="4" t="str">
        <f t="shared" si="761"/>
        <v>Bà Rịa-Vũng Tàu</v>
      </c>
      <c r="D8645" s="3" t="s">
        <v>605</v>
      </c>
      <c r="E8645" s="4" t="str">
        <f t="shared" si="760"/>
        <v>Huyện Châu Đức</v>
      </c>
      <c r="F8645" s="3" t="s">
        <v>9405</v>
      </c>
      <c r="G8645" s="4" t="str">
        <f>HYPERLINK("https://diaocthongthai.com/xa-quang-thanh-chau-duc/","Xã Quảng Thành")</f>
        <v>Xã Quảng Thành</v>
      </c>
    </row>
    <row r="8646" spans="1:7" x14ac:dyDescent="0.25">
      <c r="A8646" s="2">
        <v>8645</v>
      </c>
      <c r="B8646" s="3" t="s">
        <v>51</v>
      </c>
      <c r="C8646" s="4" t="str">
        <f t="shared" si="761"/>
        <v>Bà Rịa-Vũng Tàu</v>
      </c>
      <c r="D8646" s="3" t="s">
        <v>605</v>
      </c>
      <c r="E8646" s="4" t="str">
        <f t="shared" si="760"/>
        <v>Huyện Châu Đức</v>
      </c>
      <c r="F8646" s="3" t="s">
        <v>9406</v>
      </c>
      <c r="G8646" s="4" t="str">
        <f>HYPERLINK("https://diaocthongthai.com/xa-kim-long-chau-duc/","Xã Kim Long")</f>
        <v>Xã Kim Long</v>
      </c>
    </row>
    <row r="8647" spans="1:7" x14ac:dyDescent="0.25">
      <c r="A8647" s="2">
        <v>8646</v>
      </c>
      <c r="B8647" s="3" t="s">
        <v>51</v>
      </c>
      <c r="C8647" s="4" t="str">
        <f t="shared" si="761"/>
        <v>Bà Rịa-Vũng Tàu</v>
      </c>
      <c r="D8647" s="3" t="s">
        <v>605</v>
      </c>
      <c r="E8647" s="4" t="str">
        <f t="shared" si="760"/>
        <v>Huyện Châu Đức</v>
      </c>
      <c r="F8647" s="3" t="s">
        <v>9407</v>
      </c>
      <c r="G8647" s="4" t="str">
        <f>HYPERLINK("https://diaocthongthai.com/xa-suoi-rao-chau-duc/","Xã Suối Rao")</f>
        <v>Xã Suối Rao</v>
      </c>
    </row>
    <row r="8648" spans="1:7" x14ac:dyDescent="0.25">
      <c r="A8648" s="2">
        <v>8647</v>
      </c>
      <c r="B8648" s="3" t="s">
        <v>51</v>
      </c>
      <c r="C8648" s="4" t="str">
        <f t="shared" si="761"/>
        <v>Bà Rịa-Vũng Tàu</v>
      </c>
      <c r="D8648" s="3" t="s">
        <v>605</v>
      </c>
      <c r="E8648" s="4" t="str">
        <f t="shared" si="760"/>
        <v>Huyện Châu Đức</v>
      </c>
      <c r="F8648" s="3" t="s">
        <v>9408</v>
      </c>
      <c r="G8648" s="4" t="str">
        <f>HYPERLINK("https://diaocthongthai.com/xa-da-bac-chau-duc/","Xã Đá Bạc")</f>
        <v>Xã Đá Bạc</v>
      </c>
    </row>
    <row r="8649" spans="1:7" x14ac:dyDescent="0.25">
      <c r="A8649" s="2">
        <v>8648</v>
      </c>
      <c r="B8649" s="3" t="s">
        <v>51</v>
      </c>
      <c r="C8649" s="4" t="str">
        <f t="shared" si="761"/>
        <v>Bà Rịa-Vũng Tàu</v>
      </c>
      <c r="D8649" s="3" t="s">
        <v>605</v>
      </c>
      <c r="E8649" s="4" t="str">
        <f t="shared" si="760"/>
        <v>Huyện Châu Đức</v>
      </c>
      <c r="F8649" s="3" t="s">
        <v>9409</v>
      </c>
      <c r="G8649" s="4" t="str">
        <f>HYPERLINK("https://diaocthongthai.com/xa-nghia-thanh-chau-duc/","Xã Nghĩa Thành")</f>
        <v>Xã Nghĩa Thành</v>
      </c>
    </row>
    <row r="8650" spans="1:7" x14ac:dyDescent="0.25">
      <c r="A8650" s="2">
        <v>8649</v>
      </c>
      <c r="B8650" s="3" t="s">
        <v>51</v>
      </c>
      <c r="C8650" s="4" t="str">
        <f t="shared" si="761"/>
        <v>Bà Rịa-Vũng Tàu</v>
      </c>
      <c r="D8650" s="3" t="s">
        <v>606</v>
      </c>
      <c r="E8650" s="4" t="str">
        <f t="shared" ref="E8650:E8662" si="762">HYPERLINK("https://diaocthongthai.com/ban-do-huyen-xuyen-moc-ba-ria-vung-tau/","Huyện Xuyên Mộc")</f>
        <v>Huyện Xuyên Mộc</v>
      </c>
      <c r="F8650" s="3" t="s">
        <v>9410</v>
      </c>
      <c r="G8650" s="4" t="str">
        <f>HYPERLINK("https://diaocthongthai.com/thi-tran-phuoc-buu-xuyen-moc/","Thị trấn Phước Bửu")</f>
        <v>Thị trấn Phước Bửu</v>
      </c>
    </row>
    <row r="8651" spans="1:7" x14ac:dyDescent="0.25">
      <c r="A8651" s="2">
        <v>8650</v>
      </c>
      <c r="B8651" s="3" t="s">
        <v>51</v>
      </c>
      <c r="C8651" s="4" t="str">
        <f t="shared" si="761"/>
        <v>Bà Rịa-Vũng Tàu</v>
      </c>
      <c r="D8651" s="3" t="s">
        <v>606</v>
      </c>
      <c r="E8651" s="4" t="str">
        <f t="shared" si="762"/>
        <v>Huyện Xuyên Mộc</v>
      </c>
      <c r="F8651" s="3" t="s">
        <v>9411</v>
      </c>
      <c r="G8651" s="4" t="str">
        <f>HYPERLINK("https://diaocthongthai.com/xa-phuoc-thuan-xuyen-moc/","Xã Phước Thuận")</f>
        <v>Xã Phước Thuận</v>
      </c>
    </row>
    <row r="8652" spans="1:7" x14ac:dyDescent="0.25">
      <c r="A8652" s="2">
        <v>8651</v>
      </c>
      <c r="B8652" s="3" t="s">
        <v>51</v>
      </c>
      <c r="C8652" s="4" t="str">
        <f t="shared" si="761"/>
        <v>Bà Rịa-Vũng Tàu</v>
      </c>
      <c r="D8652" s="3" t="s">
        <v>606</v>
      </c>
      <c r="E8652" s="4" t="str">
        <f t="shared" si="762"/>
        <v>Huyện Xuyên Mộc</v>
      </c>
      <c r="F8652" s="3" t="s">
        <v>9412</v>
      </c>
      <c r="G8652" s="4" t="str">
        <f>HYPERLINK("https://diaocthongthai.com/xa-phuoc-tan-xuyen-moc/","Xã Phước Tân")</f>
        <v>Xã Phước Tân</v>
      </c>
    </row>
    <row r="8653" spans="1:7" x14ac:dyDescent="0.25">
      <c r="A8653" s="2">
        <v>8652</v>
      </c>
      <c r="B8653" s="3" t="s">
        <v>51</v>
      </c>
      <c r="C8653" s="4" t="str">
        <f t="shared" si="761"/>
        <v>Bà Rịa-Vũng Tàu</v>
      </c>
      <c r="D8653" s="3" t="s">
        <v>606</v>
      </c>
      <c r="E8653" s="4" t="str">
        <f t="shared" si="762"/>
        <v>Huyện Xuyên Mộc</v>
      </c>
      <c r="F8653" s="3" t="s">
        <v>9413</v>
      </c>
      <c r="G8653" s="4" t="str">
        <f>HYPERLINK("https://diaocthongthai.com/xa-xuyen-moc-xuyen-moc/","Xã Xuyên Mộc")</f>
        <v>Xã Xuyên Mộc</v>
      </c>
    </row>
    <row r="8654" spans="1:7" x14ac:dyDescent="0.25">
      <c r="A8654" s="2">
        <v>8653</v>
      </c>
      <c r="B8654" s="3" t="s">
        <v>51</v>
      </c>
      <c r="C8654" s="4" t="str">
        <f t="shared" si="761"/>
        <v>Bà Rịa-Vũng Tàu</v>
      </c>
      <c r="D8654" s="3" t="s">
        <v>606</v>
      </c>
      <c r="E8654" s="4" t="str">
        <f t="shared" si="762"/>
        <v>Huyện Xuyên Mộc</v>
      </c>
      <c r="F8654" s="3" t="s">
        <v>9414</v>
      </c>
      <c r="G8654" s="4" t="str">
        <f>HYPERLINK("https://diaocthongthai.com/xa-bong-trang-xuyen-moc/","Xã Bông Trang")</f>
        <v>Xã Bông Trang</v>
      </c>
    </row>
    <row r="8655" spans="1:7" x14ac:dyDescent="0.25">
      <c r="A8655" s="2">
        <v>8654</v>
      </c>
      <c r="B8655" s="3" t="s">
        <v>51</v>
      </c>
      <c r="C8655" s="4" t="str">
        <f t="shared" si="761"/>
        <v>Bà Rịa-Vũng Tàu</v>
      </c>
      <c r="D8655" s="3" t="s">
        <v>606</v>
      </c>
      <c r="E8655" s="4" t="str">
        <f t="shared" si="762"/>
        <v>Huyện Xuyên Mộc</v>
      </c>
      <c r="F8655" s="3" t="s">
        <v>9415</v>
      </c>
      <c r="G8655" s="4" t="str">
        <f>HYPERLINK("https://diaocthongthai.com/xa-tan-lam-xuyen-moc/","Xã Tân Lâm")</f>
        <v>Xã Tân Lâm</v>
      </c>
    </row>
    <row r="8656" spans="1:7" x14ac:dyDescent="0.25">
      <c r="A8656" s="2">
        <v>8655</v>
      </c>
      <c r="B8656" s="3" t="s">
        <v>51</v>
      </c>
      <c r="C8656" s="4" t="str">
        <f t="shared" si="761"/>
        <v>Bà Rịa-Vũng Tàu</v>
      </c>
      <c r="D8656" s="3" t="s">
        <v>606</v>
      </c>
      <c r="E8656" s="4" t="str">
        <f t="shared" si="762"/>
        <v>Huyện Xuyên Mộc</v>
      </c>
      <c r="F8656" s="3" t="s">
        <v>9416</v>
      </c>
      <c r="G8656" s="4" t="str">
        <f>HYPERLINK("https://diaocthongthai.com/xa-bau-lam-xuyen-moc/","Xã Bàu Lâm")</f>
        <v>Xã Bàu Lâm</v>
      </c>
    </row>
    <row r="8657" spans="1:7" x14ac:dyDescent="0.25">
      <c r="A8657" s="2">
        <v>8656</v>
      </c>
      <c r="B8657" s="3" t="s">
        <v>51</v>
      </c>
      <c r="C8657" s="4" t="str">
        <f t="shared" si="761"/>
        <v>Bà Rịa-Vũng Tàu</v>
      </c>
      <c r="D8657" s="3" t="s">
        <v>606</v>
      </c>
      <c r="E8657" s="4" t="str">
        <f t="shared" si="762"/>
        <v>Huyện Xuyên Mộc</v>
      </c>
      <c r="F8657" s="3" t="s">
        <v>9417</v>
      </c>
      <c r="G8657" s="4" t="str">
        <f>HYPERLINK("https://diaocthongthai.com/xa-hoa-binh-xuyen-moc/","Xã Hòa Bình")</f>
        <v>Xã Hòa Bình</v>
      </c>
    </row>
    <row r="8658" spans="1:7" x14ac:dyDescent="0.25">
      <c r="A8658" s="2">
        <v>8657</v>
      </c>
      <c r="B8658" s="3" t="s">
        <v>51</v>
      </c>
      <c r="C8658" s="4" t="str">
        <f t="shared" si="761"/>
        <v>Bà Rịa-Vũng Tàu</v>
      </c>
      <c r="D8658" s="3" t="s">
        <v>606</v>
      </c>
      <c r="E8658" s="4" t="str">
        <f t="shared" si="762"/>
        <v>Huyện Xuyên Mộc</v>
      </c>
      <c r="F8658" s="3" t="s">
        <v>9418</v>
      </c>
      <c r="G8658" s="4" t="str">
        <f>HYPERLINK("https://diaocthongthai.com/xa-hoa-hung-xuyen-moc/","Xã Hòa Hưng")</f>
        <v>Xã Hòa Hưng</v>
      </c>
    </row>
    <row r="8659" spans="1:7" x14ac:dyDescent="0.25">
      <c r="A8659" s="2">
        <v>8658</v>
      </c>
      <c r="B8659" s="3" t="s">
        <v>51</v>
      </c>
      <c r="C8659" s="4" t="str">
        <f t="shared" si="761"/>
        <v>Bà Rịa-Vũng Tàu</v>
      </c>
      <c r="D8659" s="3" t="s">
        <v>606</v>
      </c>
      <c r="E8659" s="4" t="str">
        <f t="shared" si="762"/>
        <v>Huyện Xuyên Mộc</v>
      </c>
      <c r="F8659" s="3" t="s">
        <v>9419</v>
      </c>
      <c r="G8659" s="4" t="str">
        <f>HYPERLINK("https://diaocthongthai.com/xa-hoa-hiep-xuyen-moc/","Xã Hòa Hiệp")</f>
        <v>Xã Hòa Hiệp</v>
      </c>
    </row>
    <row r="8660" spans="1:7" x14ac:dyDescent="0.25">
      <c r="A8660" s="2">
        <v>8659</v>
      </c>
      <c r="B8660" s="3" t="s">
        <v>51</v>
      </c>
      <c r="C8660" s="4" t="str">
        <f t="shared" si="761"/>
        <v>Bà Rịa-Vũng Tàu</v>
      </c>
      <c r="D8660" s="3" t="s">
        <v>606</v>
      </c>
      <c r="E8660" s="4" t="str">
        <f t="shared" si="762"/>
        <v>Huyện Xuyên Mộc</v>
      </c>
      <c r="F8660" s="3" t="s">
        <v>9420</v>
      </c>
      <c r="G8660" s="4" t="str">
        <f>HYPERLINK("https://diaocthongthai.com/xa-hoa-hoi-xuyen-moc/","Xã Hòa Hội")</f>
        <v>Xã Hòa Hội</v>
      </c>
    </row>
    <row r="8661" spans="1:7" x14ac:dyDescent="0.25">
      <c r="A8661" s="2">
        <v>8660</v>
      </c>
      <c r="B8661" s="3" t="s">
        <v>51</v>
      </c>
      <c r="C8661" s="4" t="str">
        <f t="shared" si="761"/>
        <v>Bà Rịa-Vũng Tàu</v>
      </c>
      <c r="D8661" s="3" t="s">
        <v>606</v>
      </c>
      <c r="E8661" s="4" t="str">
        <f t="shared" si="762"/>
        <v>Huyện Xuyên Mộc</v>
      </c>
      <c r="F8661" s="3" t="s">
        <v>9421</v>
      </c>
      <c r="G8661" s="4" t="str">
        <f>HYPERLINK("https://diaocthongthai.com/xa-bung-rieng-xuyen-moc/","Xã Bưng Riềng")</f>
        <v>Xã Bưng Riềng</v>
      </c>
    </row>
    <row r="8662" spans="1:7" x14ac:dyDescent="0.25">
      <c r="A8662" s="2">
        <v>8661</v>
      </c>
      <c r="B8662" s="3" t="s">
        <v>51</v>
      </c>
      <c r="C8662" s="4" t="str">
        <f t="shared" si="761"/>
        <v>Bà Rịa-Vũng Tàu</v>
      </c>
      <c r="D8662" s="3" t="s">
        <v>606</v>
      </c>
      <c r="E8662" s="4" t="str">
        <f t="shared" si="762"/>
        <v>Huyện Xuyên Mộc</v>
      </c>
      <c r="F8662" s="3" t="s">
        <v>9422</v>
      </c>
      <c r="G8662" s="4" t="str">
        <f>HYPERLINK("https://diaocthongthai.com/xa-binh-chau-xuyen-moc/","Xã Bình Châu")</f>
        <v>Xã Bình Châu</v>
      </c>
    </row>
    <row r="8663" spans="1:7" x14ac:dyDescent="0.25">
      <c r="A8663" s="2">
        <v>8662</v>
      </c>
      <c r="B8663" s="3" t="s">
        <v>51</v>
      </c>
      <c r="C8663" s="4" t="str">
        <f t="shared" si="761"/>
        <v>Bà Rịa-Vũng Tàu</v>
      </c>
      <c r="D8663" s="3" t="s">
        <v>607</v>
      </c>
      <c r="E8663" s="4" t="str">
        <f t="shared" ref="E8663:E8669" si="763">HYPERLINK("https://diaocthongthai.com/ban-do-huyen-long-dien-ba-ria-vung-tau/","Huyện Long Điền")</f>
        <v>Huyện Long Điền</v>
      </c>
      <c r="F8663" s="3" t="s">
        <v>9423</v>
      </c>
      <c r="G8663" s="4" t="str">
        <f>HYPERLINK("https://diaocthongthai.com/thi-tran-long-dien-long-dien/","Thị trấn Long Điền")</f>
        <v>Thị trấn Long Điền</v>
      </c>
    </row>
    <row r="8664" spans="1:7" x14ac:dyDescent="0.25">
      <c r="A8664" s="2">
        <v>8663</v>
      </c>
      <c r="B8664" s="3" t="s">
        <v>51</v>
      </c>
      <c r="C8664" s="4" t="str">
        <f t="shared" si="761"/>
        <v>Bà Rịa-Vũng Tàu</v>
      </c>
      <c r="D8664" s="3" t="s">
        <v>607</v>
      </c>
      <c r="E8664" s="4" t="str">
        <f t="shared" si="763"/>
        <v>Huyện Long Điền</v>
      </c>
      <c r="F8664" s="3" t="s">
        <v>9424</v>
      </c>
      <c r="G8664" s="4" t="str">
        <f>HYPERLINK("https://diaocthongthai.com/thi-tran-long-hai-long-dien/","Thị trấn Long Hải")</f>
        <v>Thị trấn Long Hải</v>
      </c>
    </row>
    <row r="8665" spans="1:7" x14ac:dyDescent="0.25">
      <c r="A8665" s="2">
        <v>8664</v>
      </c>
      <c r="B8665" s="3" t="s">
        <v>51</v>
      </c>
      <c r="C8665" s="4" t="str">
        <f t="shared" si="761"/>
        <v>Bà Rịa-Vũng Tàu</v>
      </c>
      <c r="D8665" s="3" t="s">
        <v>607</v>
      </c>
      <c r="E8665" s="4" t="str">
        <f t="shared" si="763"/>
        <v>Huyện Long Điền</v>
      </c>
      <c r="F8665" s="3" t="s">
        <v>9425</v>
      </c>
      <c r="G8665" s="4" t="str">
        <f>HYPERLINK("https://diaocthongthai.com/xa-an-ngai-long-dien/","Xã An Ngãi")</f>
        <v>Xã An Ngãi</v>
      </c>
    </row>
    <row r="8666" spans="1:7" x14ac:dyDescent="0.25">
      <c r="A8666" s="2">
        <v>8665</v>
      </c>
      <c r="B8666" s="3" t="s">
        <v>51</v>
      </c>
      <c r="C8666" s="4" t="str">
        <f t="shared" si="761"/>
        <v>Bà Rịa-Vũng Tàu</v>
      </c>
      <c r="D8666" s="3" t="s">
        <v>607</v>
      </c>
      <c r="E8666" s="4" t="str">
        <f t="shared" si="763"/>
        <v>Huyện Long Điền</v>
      </c>
      <c r="F8666" s="3" t="s">
        <v>9426</v>
      </c>
      <c r="G8666" s="4" t="str">
        <f>HYPERLINK("https://diaocthongthai.com/xa-tam-phuoc-long-dien/","Xã Tam Phước")</f>
        <v>Xã Tam Phước</v>
      </c>
    </row>
    <row r="8667" spans="1:7" x14ac:dyDescent="0.25">
      <c r="A8667" s="2">
        <v>8666</v>
      </c>
      <c r="B8667" s="3" t="s">
        <v>51</v>
      </c>
      <c r="C8667" s="4" t="str">
        <f t="shared" si="761"/>
        <v>Bà Rịa-Vũng Tàu</v>
      </c>
      <c r="D8667" s="3" t="s">
        <v>607</v>
      </c>
      <c r="E8667" s="4" t="str">
        <f t="shared" si="763"/>
        <v>Huyện Long Điền</v>
      </c>
      <c r="F8667" s="3" t="s">
        <v>9427</v>
      </c>
      <c r="G8667" s="4" t="str">
        <f>HYPERLINK("https://diaocthongthai.com/xa-an-nhut-long-dien/","Xã An Nhứt")</f>
        <v>Xã An Nhứt</v>
      </c>
    </row>
    <row r="8668" spans="1:7" x14ac:dyDescent="0.25">
      <c r="A8668" s="2">
        <v>8667</v>
      </c>
      <c r="B8668" s="3" t="s">
        <v>51</v>
      </c>
      <c r="C8668" s="4" t="str">
        <f t="shared" si="761"/>
        <v>Bà Rịa-Vũng Tàu</v>
      </c>
      <c r="D8668" s="3" t="s">
        <v>607</v>
      </c>
      <c r="E8668" s="4" t="str">
        <f t="shared" si="763"/>
        <v>Huyện Long Điền</v>
      </c>
      <c r="F8668" s="3" t="s">
        <v>9428</v>
      </c>
      <c r="G8668" s="4" t="str">
        <f>HYPERLINK("https://diaocthongthai.com/xa-phuoc-tinh-long-dien/","Xã Phước Tỉnh")</f>
        <v>Xã Phước Tỉnh</v>
      </c>
    </row>
    <row r="8669" spans="1:7" x14ac:dyDescent="0.25">
      <c r="A8669" s="2">
        <v>8668</v>
      </c>
      <c r="B8669" s="3" t="s">
        <v>51</v>
      </c>
      <c r="C8669" s="4" t="str">
        <f t="shared" si="761"/>
        <v>Bà Rịa-Vũng Tàu</v>
      </c>
      <c r="D8669" s="3" t="s">
        <v>607</v>
      </c>
      <c r="E8669" s="4" t="str">
        <f t="shared" si="763"/>
        <v>Huyện Long Điền</v>
      </c>
      <c r="F8669" s="3" t="s">
        <v>9429</v>
      </c>
      <c r="G8669" s="4" t="str">
        <f>HYPERLINK("https://diaocthongthai.com/xa-phuoc-hung-long-dien/","Xã Phước Hưng")</f>
        <v>Xã Phước Hưng</v>
      </c>
    </row>
    <row r="8670" spans="1:7" x14ac:dyDescent="0.25">
      <c r="A8670" s="2">
        <v>8669</v>
      </c>
      <c r="B8670" s="3" t="s">
        <v>51</v>
      </c>
      <c r="C8670" s="4" t="str">
        <f t="shared" ref="C8670:C8688" si="764">HYPERLINK("https://diaocthongthai.com/ban-do-ba-ria-vung-tau/","Bà Rịa-Vũng Tàu")</f>
        <v>Bà Rịa-Vũng Tàu</v>
      </c>
      <c r="D8670" s="3" t="s">
        <v>608</v>
      </c>
      <c r="E8670" s="4" t="str">
        <f t="shared" ref="E8670:E8677" si="765">HYPERLINK("https://diaocthongthai.com/ban-do-huyen-dat-do-ba-ria-vung-tau/","Huyện Đất Đỏ")</f>
        <v>Huyện Đất Đỏ</v>
      </c>
      <c r="F8670" s="3" t="s">
        <v>9430</v>
      </c>
      <c r="G8670" s="4" t="str">
        <f>HYPERLINK("https://diaocthongthai.com/thi-tran-dat-do-dat-do/","Thị trấn Đất Đỏ")</f>
        <v>Thị trấn Đất Đỏ</v>
      </c>
    </row>
    <row r="8671" spans="1:7" x14ac:dyDescent="0.25">
      <c r="A8671" s="2">
        <v>8670</v>
      </c>
      <c r="B8671" s="3" t="s">
        <v>51</v>
      </c>
      <c r="C8671" s="4" t="str">
        <f t="shared" si="764"/>
        <v>Bà Rịa-Vũng Tàu</v>
      </c>
      <c r="D8671" s="3" t="s">
        <v>608</v>
      </c>
      <c r="E8671" s="4" t="str">
        <f t="shared" si="765"/>
        <v>Huyện Đất Đỏ</v>
      </c>
      <c r="F8671" s="3" t="s">
        <v>9431</v>
      </c>
      <c r="G8671" s="4" t="str">
        <f>HYPERLINK("https://diaocthongthai.com/xa-phuoc-long-tho-dat-do/","Xã Phước Long Thọ")</f>
        <v>Xã Phước Long Thọ</v>
      </c>
    </row>
    <row r="8672" spans="1:7" x14ac:dyDescent="0.25">
      <c r="A8672" s="2">
        <v>8671</v>
      </c>
      <c r="B8672" s="3" t="s">
        <v>51</v>
      </c>
      <c r="C8672" s="4" t="str">
        <f t="shared" si="764"/>
        <v>Bà Rịa-Vũng Tàu</v>
      </c>
      <c r="D8672" s="3" t="s">
        <v>608</v>
      </c>
      <c r="E8672" s="4" t="str">
        <f t="shared" si="765"/>
        <v>Huyện Đất Đỏ</v>
      </c>
      <c r="F8672" s="3" t="s">
        <v>9432</v>
      </c>
      <c r="G8672" s="4" t="str">
        <f>HYPERLINK("https://diaocthongthai.com/xa-phuoc-hoi-dat-do/","Xã Phước Hội")</f>
        <v>Xã Phước Hội</v>
      </c>
    </row>
    <row r="8673" spans="1:7" x14ac:dyDescent="0.25">
      <c r="A8673" s="2">
        <v>8672</v>
      </c>
      <c r="B8673" s="3" t="s">
        <v>51</v>
      </c>
      <c r="C8673" s="4" t="str">
        <f t="shared" si="764"/>
        <v>Bà Rịa-Vũng Tàu</v>
      </c>
      <c r="D8673" s="3" t="s">
        <v>608</v>
      </c>
      <c r="E8673" s="4" t="str">
        <f t="shared" si="765"/>
        <v>Huyện Đất Đỏ</v>
      </c>
      <c r="F8673" s="3" t="s">
        <v>9433</v>
      </c>
      <c r="G8673" s="4" t="str">
        <f>HYPERLINK("https://diaocthongthai.com/xa-long-my-dat-do/","Xã Long Mỹ")</f>
        <v>Xã Long Mỹ</v>
      </c>
    </row>
    <row r="8674" spans="1:7" x14ac:dyDescent="0.25">
      <c r="A8674" s="2">
        <v>8673</v>
      </c>
      <c r="B8674" s="3" t="s">
        <v>51</v>
      </c>
      <c r="C8674" s="4" t="str">
        <f t="shared" si="764"/>
        <v>Bà Rịa-Vũng Tàu</v>
      </c>
      <c r="D8674" s="3" t="s">
        <v>608</v>
      </c>
      <c r="E8674" s="4" t="str">
        <f t="shared" si="765"/>
        <v>Huyện Đất Đỏ</v>
      </c>
      <c r="F8674" s="3" t="s">
        <v>9434</v>
      </c>
      <c r="G8674" s="4" t="str">
        <f>HYPERLINK("https://diaocthongthai.com/thi-tran-phuoc-hai-dat-do/","Thị trấn Phước Hải")</f>
        <v>Thị trấn Phước Hải</v>
      </c>
    </row>
    <row r="8675" spans="1:7" x14ac:dyDescent="0.25">
      <c r="A8675" s="2">
        <v>8674</v>
      </c>
      <c r="B8675" s="3" t="s">
        <v>51</v>
      </c>
      <c r="C8675" s="4" t="str">
        <f t="shared" si="764"/>
        <v>Bà Rịa-Vũng Tàu</v>
      </c>
      <c r="D8675" s="3" t="s">
        <v>608</v>
      </c>
      <c r="E8675" s="4" t="str">
        <f t="shared" si="765"/>
        <v>Huyện Đất Đỏ</v>
      </c>
      <c r="F8675" s="3" t="s">
        <v>9435</v>
      </c>
      <c r="G8675" s="4" t="str">
        <f>HYPERLINK("https://diaocthongthai.com/xa-long-tan-dat-do/","Xã Long Tân")</f>
        <v>Xã Long Tân</v>
      </c>
    </row>
    <row r="8676" spans="1:7" x14ac:dyDescent="0.25">
      <c r="A8676" s="2">
        <v>8675</v>
      </c>
      <c r="B8676" s="3" t="s">
        <v>51</v>
      </c>
      <c r="C8676" s="4" t="str">
        <f t="shared" si="764"/>
        <v>Bà Rịa-Vũng Tàu</v>
      </c>
      <c r="D8676" s="3" t="s">
        <v>608</v>
      </c>
      <c r="E8676" s="4" t="str">
        <f t="shared" si="765"/>
        <v>Huyện Đất Đỏ</v>
      </c>
      <c r="F8676" s="3" t="s">
        <v>9436</v>
      </c>
      <c r="G8676" s="4" t="str">
        <f>HYPERLINK("https://diaocthongthai.com/xa-lang-dai-dat-do/","Xã Láng Dài")</f>
        <v>Xã Láng Dài</v>
      </c>
    </row>
    <row r="8677" spans="1:7" x14ac:dyDescent="0.25">
      <c r="A8677" s="2">
        <v>8676</v>
      </c>
      <c r="B8677" s="3" t="s">
        <v>51</v>
      </c>
      <c r="C8677" s="4" t="str">
        <f t="shared" si="764"/>
        <v>Bà Rịa-Vũng Tàu</v>
      </c>
      <c r="D8677" s="3" t="s">
        <v>608</v>
      </c>
      <c r="E8677" s="4" t="str">
        <f t="shared" si="765"/>
        <v>Huyện Đất Đỏ</v>
      </c>
      <c r="F8677" s="3" t="s">
        <v>9437</v>
      </c>
      <c r="G8677" s="4" t="str">
        <f>HYPERLINK("https://diaocthongthai.com/xa-loc-an-dat-do/","Xã Lộc An")</f>
        <v>Xã Lộc An</v>
      </c>
    </row>
    <row r="8678" spans="1:7" x14ac:dyDescent="0.25">
      <c r="A8678" s="2">
        <v>8677</v>
      </c>
      <c r="B8678" s="3" t="s">
        <v>51</v>
      </c>
      <c r="C8678" s="4" t="str">
        <f t="shared" si="764"/>
        <v>Bà Rịa-Vũng Tàu</v>
      </c>
      <c r="D8678" s="3" t="s">
        <v>609</v>
      </c>
      <c r="E8678" s="4" t="str">
        <f t="shared" ref="E8678:E8687" si="766">HYPERLINK("https://diaocthongthai.com/ban-do-thi-xa-phu-my-ba-ria-vung-tau/","Thị xã Phú Mỹ")</f>
        <v>Thị xã Phú Mỹ</v>
      </c>
      <c r="F8678" s="3" t="s">
        <v>9438</v>
      </c>
      <c r="G8678" s="4" t="str">
        <f>HYPERLINK("https://diaocthongthai.com/phuong-phu-my-phu-my-ba-ria-vung-tau/","Phường Phú Mỹ")</f>
        <v>Phường Phú Mỹ</v>
      </c>
    </row>
    <row r="8679" spans="1:7" x14ac:dyDescent="0.25">
      <c r="A8679" s="2">
        <v>8678</v>
      </c>
      <c r="B8679" s="3" t="s">
        <v>51</v>
      </c>
      <c r="C8679" s="4" t="str">
        <f t="shared" si="764"/>
        <v>Bà Rịa-Vũng Tàu</v>
      </c>
      <c r="D8679" s="3" t="s">
        <v>609</v>
      </c>
      <c r="E8679" s="4" t="str">
        <f t="shared" si="766"/>
        <v>Thị xã Phú Mỹ</v>
      </c>
      <c r="F8679" s="3" t="s">
        <v>9439</v>
      </c>
      <c r="G8679" s="4" t="str">
        <f>HYPERLINK("https://diaocthongthai.com/xa-tan-hoa-phu-my-ba-ria-vung-tau/","Xã Tân Hoà")</f>
        <v>Xã Tân Hoà</v>
      </c>
    </row>
    <row r="8680" spans="1:7" x14ac:dyDescent="0.25">
      <c r="A8680" s="2">
        <v>8679</v>
      </c>
      <c r="B8680" s="3" t="s">
        <v>51</v>
      </c>
      <c r="C8680" s="4" t="str">
        <f t="shared" si="764"/>
        <v>Bà Rịa-Vũng Tàu</v>
      </c>
      <c r="D8680" s="3" t="s">
        <v>609</v>
      </c>
      <c r="E8680" s="4" t="str">
        <f t="shared" si="766"/>
        <v>Thị xã Phú Mỹ</v>
      </c>
      <c r="F8680" s="3" t="s">
        <v>9440</v>
      </c>
      <c r="G8680" s="4" t="str">
        <f>HYPERLINK("https://diaocthongthai.com/xa-tan-hai-phu-my-ba-ria-vung-tau/","Xã Tân Hải")</f>
        <v>Xã Tân Hải</v>
      </c>
    </row>
    <row r="8681" spans="1:7" x14ac:dyDescent="0.25">
      <c r="A8681" s="2">
        <v>8680</v>
      </c>
      <c r="B8681" s="3" t="s">
        <v>51</v>
      </c>
      <c r="C8681" s="4" t="str">
        <f t="shared" si="764"/>
        <v>Bà Rịa-Vũng Tàu</v>
      </c>
      <c r="D8681" s="3" t="s">
        <v>609</v>
      </c>
      <c r="E8681" s="4" t="str">
        <f t="shared" si="766"/>
        <v>Thị xã Phú Mỹ</v>
      </c>
      <c r="F8681" s="3" t="s">
        <v>9441</v>
      </c>
      <c r="G8681" s="4" t="str">
        <f>HYPERLINK("https://diaocthongthai.com/phuong-phuoc-hoa-phu-my-ba-ria-vung-tau/","Phường Phước Hoà")</f>
        <v>Phường Phước Hoà</v>
      </c>
    </row>
    <row r="8682" spans="1:7" x14ac:dyDescent="0.25">
      <c r="A8682" s="2">
        <v>8681</v>
      </c>
      <c r="B8682" s="3" t="s">
        <v>51</v>
      </c>
      <c r="C8682" s="4" t="str">
        <f t="shared" si="764"/>
        <v>Bà Rịa-Vũng Tàu</v>
      </c>
      <c r="D8682" s="3" t="s">
        <v>609</v>
      </c>
      <c r="E8682" s="4" t="str">
        <f t="shared" si="766"/>
        <v>Thị xã Phú Mỹ</v>
      </c>
      <c r="F8682" s="3" t="s">
        <v>9442</v>
      </c>
      <c r="G8682" s="4" t="str">
        <f>HYPERLINK("https://diaocthongthai.com/phuong-tan-phuoc-phu-my-ba-ria-vung-tau/","Phường Tân Phước")</f>
        <v>Phường Tân Phước</v>
      </c>
    </row>
    <row r="8683" spans="1:7" x14ac:dyDescent="0.25">
      <c r="A8683" s="2">
        <v>8682</v>
      </c>
      <c r="B8683" s="3" t="s">
        <v>51</v>
      </c>
      <c r="C8683" s="4" t="str">
        <f t="shared" si="764"/>
        <v>Bà Rịa-Vũng Tàu</v>
      </c>
      <c r="D8683" s="3" t="s">
        <v>609</v>
      </c>
      <c r="E8683" s="4" t="str">
        <f t="shared" si="766"/>
        <v>Thị xã Phú Mỹ</v>
      </c>
      <c r="F8683" s="3" t="s">
        <v>9443</v>
      </c>
      <c r="G8683" s="4" t="str">
        <f>HYPERLINK("https://diaocthongthai.com/phuong-my-xuan-phu-my-ba-ria-vung-tau/","Phường Mỹ Xuân")</f>
        <v>Phường Mỹ Xuân</v>
      </c>
    </row>
    <row r="8684" spans="1:7" x14ac:dyDescent="0.25">
      <c r="A8684" s="2">
        <v>8683</v>
      </c>
      <c r="B8684" s="3" t="s">
        <v>51</v>
      </c>
      <c r="C8684" s="4" t="str">
        <f t="shared" si="764"/>
        <v>Bà Rịa-Vũng Tàu</v>
      </c>
      <c r="D8684" s="3" t="s">
        <v>609</v>
      </c>
      <c r="E8684" s="4" t="str">
        <f t="shared" si="766"/>
        <v>Thị xã Phú Mỹ</v>
      </c>
      <c r="F8684" s="3" t="s">
        <v>9444</v>
      </c>
      <c r="G8684" s="4" t="str">
        <f>HYPERLINK("https://diaocthongthai.com/xa-song-xoai-phu-my-ba-ria-vung-tau/","Xã Sông Xoài")</f>
        <v>Xã Sông Xoài</v>
      </c>
    </row>
    <row r="8685" spans="1:7" x14ac:dyDescent="0.25">
      <c r="A8685" s="2">
        <v>8684</v>
      </c>
      <c r="B8685" s="3" t="s">
        <v>51</v>
      </c>
      <c r="C8685" s="4" t="str">
        <f t="shared" si="764"/>
        <v>Bà Rịa-Vũng Tàu</v>
      </c>
      <c r="D8685" s="3" t="s">
        <v>609</v>
      </c>
      <c r="E8685" s="4" t="str">
        <f t="shared" si="766"/>
        <v>Thị xã Phú Mỹ</v>
      </c>
      <c r="F8685" s="3" t="s">
        <v>9445</v>
      </c>
      <c r="G8685" s="4" t="str">
        <f>HYPERLINK("https://diaocthongthai.com/phuong-hac-dich-phu-my-ba-ria-vung-tau/","Phường Hắc Dịch")</f>
        <v>Phường Hắc Dịch</v>
      </c>
    </row>
    <row r="8686" spans="1:7" x14ac:dyDescent="0.25">
      <c r="A8686" s="2">
        <v>8685</v>
      </c>
      <c r="B8686" s="3" t="s">
        <v>51</v>
      </c>
      <c r="C8686" s="4" t="str">
        <f t="shared" si="764"/>
        <v>Bà Rịa-Vũng Tàu</v>
      </c>
      <c r="D8686" s="3" t="s">
        <v>609</v>
      </c>
      <c r="E8686" s="4" t="str">
        <f t="shared" si="766"/>
        <v>Thị xã Phú Mỹ</v>
      </c>
      <c r="F8686" s="3" t="s">
        <v>9446</v>
      </c>
      <c r="G8686" s="4" t="str">
        <f>HYPERLINK("https://diaocthongthai.com/xa-chau-pha-phu-my-ba-ria-vung-tau/","Xã Châu Pha")</f>
        <v>Xã Châu Pha</v>
      </c>
    </row>
    <row r="8687" spans="1:7" x14ac:dyDescent="0.25">
      <c r="A8687" s="2">
        <v>8686</v>
      </c>
      <c r="B8687" s="3" t="s">
        <v>51</v>
      </c>
      <c r="C8687" s="4" t="str">
        <f t="shared" si="764"/>
        <v>Bà Rịa-Vũng Tàu</v>
      </c>
      <c r="D8687" s="3" t="s">
        <v>609</v>
      </c>
      <c r="E8687" s="4" t="str">
        <f t="shared" si="766"/>
        <v>Thị xã Phú Mỹ</v>
      </c>
      <c r="F8687" s="3" t="s">
        <v>9447</v>
      </c>
      <c r="G8687" s="4" t="str">
        <f>HYPERLINK("https://diaocthongthai.com/xa-toc-tien-phu-my-ba-ria-vung-tau/","Xã Tóc Tiên")</f>
        <v>Xã Tóc Tiên</v>
      </c>
    </row>
    <row r="8688" spans="1:7" x14ac:dyDescent="0.25">
      <c r="A8688" s="2">
        <v>8687</v>
      </c>
      <c r="B8688" s="3" t="s">
        <v>51</v>
      </c>
      <c r="C8688" s="4" t="str">
        <f t="shared" si="764"/>
        <v>Bà Rịa-Vũng Tàu</v>
      </c>
      <c r="D8688" s="3">
        <v>755</v>
      </c>
      <c r="E8688" s="4" t="str">
        <f>HYPERLINK("https://diaocthongthai.com/ban-do-con-dao/","Huyện Côn Đảo")</f>
        <v>Huyện Côn Đảo</v>
      </c>
      <c r="G8688" s="4" t="str">
        <f>HYPERLINK("https://diaocthongthai.com/ban-do-con-dao/","Không phân chia đơn vị hành chính cấp xã")</f>
        <v>Không phân chia đơn vị hành chính cấp xã</v>
      </c>
    </row>
    <row r="8689" spans="1:7" x14ac:dyDescent="0.25">
      <c r="A8689" s="2">
        <v>8688</v>
      </c>
      <c r="B8689" s="3" t="s">
        <v>52</v>
      </c>
      <c r="C8689" s="4" t="str">
        <f t="shared" ref="C8689:C8752" si="767">HYPERLINK("https://diaocthongthai.com/ban-do-cac-quan-tp-hcm/","Hồ Chí Minh")</f>
        <v>Hồ Chí Minh</v>
      </c>
      <c r="D8689" s="3" t="s">
        <v>610</v>
      </c>
      <c r="E8689" s="4" t="str">
        <f t="shared" ref="E8689:E8698" si="768">HYPERLINK("https://diaocthongthai.com/ban-do-quan-1/","Quận 1")</f>
        <v>Quận 1</v>
      </c>
      <c r="F8689" s="3" t="s">
        <v>9448</v>
      </c>
      <c r="G8689" s="4" t="str">
        <f>HYPERLINK("https://diaocthongthai.com/phuong-tan-dinh-quan-1/","Phường Tân Định")</f>
        <v>Phường Tân Định</v>
      </c>
    </row>
    <row r="8690" spans="1:7" x14ac:dyDescent="0.25">
      <c r="A8690" s="2">
        <v>8689</v>
      </c>
      <c r="B8690" s="3" t="s">
        <v>52</v>
      </c>
      <c r="C8690" s="4" t="str">
        <f t="shared" si="767"/>
        <v>Hồ Chí Minh</v>
      </c>
      <c r="D8690" s="3" t="s">
        <v>610</v>
      </c>
      <c r="E8690" s="4" t="str">
        <f t="shared" si="768"/>
        <v>Quận 1</v>
      </c>
      <c r="F8690" s="3" t="s">
        <v>9449</v>
      </c>
      <c r="G8690" s="4" t="str">
        <f>HYPERLINK("https://diaocthongthai.com/phuong-da-kao-quan-1/","Phường Đa Kao")</f>
        <v>Phường Đa Kao</v>
      </c>
    </row>
    <row r="8691" spans="1:7" x14ac:dyDescent="0.25">
      <c r="A8691" s="2">
        <v>8690</v>
      </c>
      <c r="B8691" s="3" t="s">
        <v>52</v>
      </c>
      <c r="C8691" s="4" t="str">
        <f t="shared" si="767"/>
        <v>Hồ Chí Minh</v>
      </c>
      <c r="D8691" s="3" t="s">
        <v>610</v>
      </c>
      <c r="E8691" s="4" t="str">
        <f t="shared" si="768"/>
        <v>Quận 1</v>
      </c>
      <c r="F8691" s="3" t="s">
        <v>9450</v>
      </c>
      <c r="G8691" s="4" t="str">
        <f>HYPERLINK("https://diaocthongthai.com/phuong-ben-nghe-quan-1/","Phường Bến Nghé")</f>
        <v>Phường Bến Nghé</v>
      </c>
    </row>
    <row r="8692" spans="1:7" x14ac:dyDescent="0.25">
      <c r="A8692" s="2">
        <v>8691</v>
      </c>
      <c r="B8692" s="3" t="s">
        <v>52</v>
      </c>
      <c r="C8692" s="4" t="str">
        <f t="shared" si="767"/>
        <v>Hồ Chí Minh</v>
      </c>
      <c r="D8692" s="3" t="s">
        <v>610</v>
      </c>
      <c r="E8692" s="4" t="str">
        <f t="shared" si="768"/>
        <v>Quận 1</v>
      </c>
      <c r="F8692" s="3" t="s">
        <v>9451</v>
      </c>
      <c r="G8692" s="4" t="str">
        <f>HYPERLINK("https://diaocthongthai.com/phuong-ben-thanh-quan-1/","Phường Bến Thành")</f>
        <v>Phường Bến Thành</v>
      </c>
    </row>
    <row r="8693" spans="1:7" x14ac:dyDescent="0.25">
      <c r="A8693" s="2">
        <v>8692</v>
      </c>
      <c r="B8693" s="3" t="s">
        <v>52</v>
      </c>
      <c r="C8693" s="4" t="str">
        <f t="shared" si="767"/>
        <v>Hồ Chí Minh</v>
      </c>
      <c r="D8693" s="3" t="s">
        <v>610</v>
      </c>
      <c r="E8693" s="4" t="str">
        <f t="shared" si="768"/>
        <v>Quận 1</v>
      </c>
      <c r="F8693" s="3" t="s">
        <v>9452</v>
      </c>
      <c r="G8693" s="4" t="str">
        <f>HYPERLINK("https://diaocthongthai.com/phuong-nguyen-thai-binh-quan-1/","Phường Nguyễn Thái Bình")</f>
        <v>Phường Nguyễn Thái Bình</v>
      </c>
    </row>
    <row r="8694" spans="1:7" x14ac:dyDescent="0.25">
      <c r="A8694" s="2">
        <v>8693</v>
      </c>
      <c r="B8694" s="3" t="s">
        <v>52</v>
      </c>
      <c r="C8694" s="4" t="str">
        <f t="shared" si="767"/>
        <v>Hồ Chí Minh</v>
      </c>
      <c r="D8694" s="3" t="s">
        <v>610</v>
      </c>
      <c r="E8694" s="4" t="str">
        <f t="shared" si="768"/>
        <v>Quận 1</v>
      </c>
      <c r="F8694" s="3" t="s">
        <v>9453</v>
      </c>
      <c r="G8694" s="4" t="str">
        <f>HYPERLINK("https://diaocthongthai.com/phuong-pham-ngu-lao-quan-1/","Phường Phạm Ngũ Lão")</f>
        <v>Phường Phạm Ngũ Lão</v>
      </c>
    </row>
    <row r="8695" spans="1:7" x14ac:dyDescent="0.25">
      <c r="A8695" s="2">
        <v>8694</v>
      </c>
      <c r="B8695" s="3" t="s">
        <v>52</v>
      </c>
      <c r="C8695" s="4" t="str">
        <f t="shared" si="767"/>
        <v>Hồ Chí Minh</v>
      </c>
      <c r="D8695" s="3" t="s">
        <v>610</v>
      </c>
      <c r="E8695" s="4" t="str">
        <f t="shared" si="768"/>
        <v>Quận 1</v>
      </c>
      <c r="F8695" s="3" t="s">
        <v>9454</v>
      </c>
      <c r="G8695" s="4" t="str">
        <f>HYPERLINK("https://diaocthongthai.com/phuong-cau-ong-lanh-quan-1/","Phường Cầu Ông Lãnh")</f>
        <v>Phường Cầu Ông Lãnh</v>
      </c>
    </row>
    <row r="8696" spans="1:7" x14ac:dyDescent="0.25">
      <c r="A8696" s="2">
        <v>8695</v>
      </c>
      <c r="B8696" s="3" t="s">
        <v>52</v>
      </c>
      <c r="C8696" s="4" t="str">
        <f t="shared" si="767"/>
        <v>Hồ Chí Minh</v>
      </c>
      <c r="D8696" s="3" t="s">
        <v>610</v>
      </c>
      <c r="E8696" s="4" t="str">
        <f t="shared" si="768"/>
        <v>Quận 1</v>
      </c>
      <c r="F8696" s="3" t="s">
        <v>9455</v>
      </c>
      <c r="G8696" s="4" t="str">
        <f>HYPERLINK("https://diaocthongthai.com/phuong-co-giang-quan-1/","Phường Cô Giang")</f>
        <v>Phường Cô Giang</v>
      </c>
    </row>
    <row r="8697" spans="1:7" x14ac:dyDescent="0.25">
      <c r="A8697" s="2">
        <v>8696</v>
      </c>
      <c r="B8697" s="3" t="s">
        <v>52</v>
      </c>
      <c r="C8697" s="4" t="str">
        <f t="shared" si="767"/>
        <v>Hồ Chí Minh</v>
      </c>
      <c r="D8697" s="3" t="s">
        <v>610</v>
      </c>
      <c r="E8697" s="4" t="str">
        <f t="shared" si="768"/>
        <v>Quận 1</v>
      </c>
      <c r="F8697" s="3" t="s">
        <v>9456</v>
      </c>
      <c r="G8697" s="4" t="str">
        <f>HYPERLINK("https://diaocthongthai.com/phuong-nguyen-cu-trinh-quan-1/","Phường Nguyễn Cư Trinh")</f>
        <v>Phường Nguyễn Cư Trinh</v>
      </c>
    </row>
    <row r="8698" spans="1:7" x14ac:dyDescent="0.25">
      <c r="A8698" s="2">
        <v>8697</v>
      </c>
      <c r="B8698" s="3" t="s">
        <v>52</v>
      </c>
      <c r="C8698" s="4" t="str">
        <f t="shared" si="767"/>
        <v>Hồ Chí Minh</v>
      </c>
      <c r="D8698" s="3" t="s">
        <v>610</v>
      </c>
      <c r="E8698" s="4" t="str">
        <f t="shared" si="768"/>
        <v>Quận 1</v>
      </c>
      <c r="F8698" s="3" t="s">
        <v>9457</v>
      </c>
      <c r="G8698" s="4" t="str">
        <f>HYPERLINK("https://diaocthongthai.com/phuong-cau-kho-quan-1/","Phường Cầu Kho")</f>
        <v>Phường Cầu Kho</v>
      </c>
    </row>
    <row r="8699" spans="1:7" x14ac:dyDescent="0.25">
      <c r="A8699" s="2">
        <v>8698</v>
      </c>
      <c r="B8699" s="3" t="s">
        <v>52</v>
      </c>
      <c r="C8699" s="4" t="str">
        <f t="shared" si="767"/>
        <v>Hồ Chí Minh</v>
      </c>
      <c r="D8699" s="3" t="s">
        <v>611</v>
      </c>
      <c r="E8699" s="4" t="str">
        <f t="shared" ref="E8699:E8709" si="769">HYPERLINK("https://diaocthongthai.com/ban-do-quan-12/","Quận 12")</f>
        <v>Quận 12</v>
      </c>
      <c r="F8699" s="3" t="s">
        <v>9458</v>
      </c>
      <c r="G8699" s="4" t="str">
        <f>HYPERLINK("https://diaocthongthai.com/phuong-thanh-xuan-quan-12/","Phường Thạnh Xuân")</f>
        <v>Phường Thạnh Xuân</v>
      </c>
    </row>
    <row r="8700" spans="1:7" x14ac:dyDescent="0.25">
      <c r="A8700" s="2">
        <v>8699</v>
      </c>
      <c r="B8700" s="3" t="s">
        <v>52</v>
      </c>
      <c r="C8700" s="4" t="str">
        <f t="shared" si="767"/>
        <v>Hồ Chí Minh</v>
      </c>
      <c r="D8700" s="3" t="s">
        <v>611</v>
      </c>
      <c r="E8700" s="4" t="str">
        <f t="shared" si="769"/>
        <v>Quận 12</v>
      </c>
      <c r="F8700" s="3" t="s">
        <v>9459</v>
      </c>
      <c r="G8700" s="4" t="str">
        <f>HYPERLINK("https://diaocthongthai.com/phuong-thanh-loc-quan-12/","Phường Thạnh Lộc")</f>
        <v>Phường Thạnh Lộc</v>
      </c>
    </row>
    <row r="8701" spans="1:7" x14ac:dyDescent="0.25">
      <c r="A8701" s="2">
        <v>8700</v>
      </c>
      <c r="B8701" s="3" t="s">
        <v>52</v>
      </c>
      <c r="C8701" s="4" t="str">
        <f t="shared" si="767"/>
        <v>Hồ Chí Minh</v>
      </c>
      <c r="D8701" s="3" t="s">
        <v>611</v>
      </c>
      <c r="E8701" s="4" t="str">
        <f t="shared" si="769"/>
        <v>Quận 12</v>
      </c>
      <c r="F8701" s="3" t="s">
        <v>9460</v>
      </c>
      <c r="G8701" s="4" t="str">
        <f>HYPERLINK("https://diaocthongthai.com/phuong-hiep-thanh-quan-12/","Phường Hiệp Thành")</f>
        <v>Phường Hiệp Thành</v>
      </c>
    </row>
    <row r="8702" spans="1:7" x14ac:dyDescent="0.25">
      <c r="A8702" s="2">
        <v>8701</v>
      </c>
      <c r="B8702" s="3" t="s">
        <v>52</v>
      </c>
      <c r="C8702" s="4" t="str">
        <f t="shared" si="767"/>
        <v>Hồ Chí Minh</v>
      </c>
      <c r="D8702" s="3" t="s">
        <v>611</v>
      </c>
      <c r="E8702" s="4" t="str">
        <f t="shared" si="769"/>
        <v>Quận 12</v>
      </c>
      <c r="F8702" s="3" t="s">
        <v>9461</v>
      </c>
      <c r="G8702" s="4" t="str">
        <f>HYPERLINK("https://diaocthongthai.com/phuong-thoi-an-quan-12/","Phường Thới An")</f>
        <v>Phường Thới An</v>
      </c>
    </row>
    <row r="8703" spans="1:7" x14ac:dyDescent="0.25">
      <c r="A8703" s="2">
        <v>8702</v>
      </c>
      <c r="B8703" s="3" t="s">
        <v>52</v>
      </c>
      <c r="C8703" s="4" t="str">
        <f t="shared" si="767"/>
        <v>Hồ Chí Minh</v>
      </c>
      <c r="D8703" s="3" t="s">
        <v>611</v>
      </c>
      <c r="E8703" s="4" t="str">
        <f t="shared" si="769"/>
        <v>Quận 12</v>
      </c>
      <c r="F8703" s="3" t="s">
        <v>9462</v>
      </c>
      <c r="G8703" s="4" t="str">
        <f>HYPERLINK("https://diaocthongthai.com/phuong-tan-chanh-hiep-quan-12/","Phường Tân Chánh Hiệp")</f>
        <v>Phường Tân Chánh Hiệp</v>
      </c>
    </row>
    <row r="8704" spans="1:7" x14ac:dyDescent="0.25">
      <c r="A8704" s="2">
        <v>8703</v>
      </c>
      <c r="B8704" s="3" t="s">
        <v>52</v>
      </c>
      <c r="C8704" s="4" t="str">
        <f t="shared" si="767"/>
        <v>Hồ Chí Minh</v>
      </c>
      <c r="D8704" s="3" t="s">
        <v>611</v>
      </c>
      <c r="E8704" s="4" t="str">
        <f t="shared" si="769"/>
        <v>Quận 12</v>
      </c>
      <c r="F8704" s="3" t="s">
        <v>9463</v>
      </c>
      <c r="G8704" s="4" t="str">
        <f>HYPERLINK("https://diaocthongthai.com/phuong-an-phu-dong-quan-12/","Phường An Phú Đông")</f>
        <v>Phường An Phú Đông</v>
      </c>
    </row>
    <row r="8705" spans="1:7" x14ac:dyDescent="0.25">
      <c r="A8705" s="2">
        <v>8704</v>
      </c>
      <c r="B8705" s="3" t="s">
        <v>52</v>
      </c>
      <c r="C8705" s="4" t="str">
        <f t="shared" si="767"/>
        <v>Hồ Chí Minh</v>
      </c>
      <c r="D8705" s="3" t="s">
        <v>611</v>
      </c>
      <c r="E8705" s="4" t="str">
        <f t="shared" si="769"/>
        <v>Quận 12</v>
      </c>
      <c r="F8705" s="3" t="s">
        <v>9464</v>
      </c>
      <c r="G8705" s="4" t="str">
        <f>HYPERLINK("https://diaocthongthai.com/phuong-tan-thoi-hiep-quan-12/","Phường Tân Thới Hiệp")</f>
        <v>Phường Tân Thới Hiệp</v>
      </c>
    </row>
    <row r="8706" spans="1:7" x14ac:dyDescent="0.25">
      <c r="A8706" s="2">
        <v>8705</v>
      </c>
      <c r="B8706" s="3" t="s">
        <v>52</v>
      </c>
      <c r="C8706" s="4" t="str">
        <f t="shared" si="767"/>
        <v>Hồ Chí Minh</v>
      </c>
      <c r="D8706" s="3" t="s">
        <v>611</v>
      </c>
      <c r="E8706" s="4" t="str">
        <f t="shared" si="769"/>
        <v>Quận 12</v>
      </c>
      <c r="F8706" s="3" t="s">
        <v>9465</v>
      </c>
      <c r="G8706" s="4" t="str">
        <f>HYPERLINK("https://diaocthongthai.com/phuong-trung-my-tay-quan-12/","Phường Trung Mỹ Tây")</f>
        <v>Phường Trung Mỹ Tây</v>
      </c>
    </row>
    <row r="8707" spans="1:7" x14ac:dyDescent="0.25">
      <c r="A8707" s="2">
        <v>8706</v>
      </c>
      <c r="B8707" s="3" t="s">
        <v>52</v>
      </c>
      <c r="C8707" s="4" t="str">
        <f t="shared" si="767"/>
        <v>Hồ Chí Minh</v>
      </c>
      <c r="D8707" s="3" t="s">
        <v>611</v>
      </c>
      <c r="E8707" s="4" t="str">
        <f t="shared" si="769"/>
        <v>Quận 12</v>
      </c>
      <c r="F8707" s="3" t="s">
        <v>9466</v>
      </c>
      <c r="G8707" s="4" t="str">
        <f>HYPERLINK("https://diaocthongthai.com/phuong-tan-hung-thuan-quan-12/","Phường Tân Hưng Thuận")</f>
        <v>Phường Tân Hưng Thuận</v>
      </c>
    </row>
    <row r="8708" spans="1:7" x14ac:dyDescent="0.25">
      <c r="A8708" s="2">
        <v>8707</v>
      </c>
      <c r="B8708" s="3" t="s">
        <v>52</v>
      </c>
      <c r="C8708" s="4" t="str">
        <f t="shared" si="767"/>
        <v>Hồ Chí Minh</v>
      </c>
      <c r="D8708" s="3" t="s">
        <v>611</v>
      </c>
      <c r="E8708" s="4" t="str">
        <f t="shared" si="769"/>
        <v>Quận 12</v>
      </c>
      <c r="F8708" s="3" t="s">
        <v>9467</v>
      </c>
      <c r="G8708" s="4" t="str">
        <f>HYPERLINK("https://diaocthongthai.com/phuong-dong-hung-thuan-quan-12/","Phường Đông Hưng Thuận")</f>
        <v>Phường Đông Hưng Thuận</v>
      </c>
    </row>
    <row r="8709" spans="1:7" x14ac:dyDescent="0.25">
      <c r="A8709" s="2">
        <v>8708</v>
      </c>
      <c r="B8709" s="3" t="s">
        <v>52</v>
      </c>
      <c r="C8709" s="4" t="str">
        <f t="shared" si="767"/>
        <v>Hồ Chí Minh</v>
      </c>
      <c r="D8709" s="3" t="s">
        <v>611</v>
      </c>
      <c r="E8709" s="4" t="str">
        <f t="shared" si="769"/>
        <v>Quận 12</v>
      </c>
      <c r="F8709" s="3" t="s">
        <v>9468</v>
      </c>
      <c r="G8709" s="4" t="str">
        <f>HYPERLINK("https://diaocthongthai.com/phuong-tan-thoi-nhat-quan-12/","Phường Tân Thới Nhất")</f>
        <v>Phường Tân Thới Nhất</v>
      </c>
    </row>
    <row r="8710" spans="1:7" x14ac:dyDescent="0.25">
      <c r="A8710" s="2">
        <v>8709</v>
      </c>
      <c r="B8710" s="3" t="s">
        <v>52</v>
      </c>
      <c r="C8710" s="4" t="str">
        <f t="shared" si="767"/>
        <v>Hồ Chí Minh</v>
      </c>
      <c r="D8710" s="3" t="s">
        <v>612</v>
      </c>
      <c r="E8710" s="4" t="str">
        <f t="shared" ref="E8710:E8725" si="770">HYPERLINK("https://diaocthongthai.com/ban-do-quan-go-vap/","Quận Gò Vấp")</f>
        <v>Quận Gò Vấp</v>
      </c>
      <c r="F8710" s="3" t="s">
        <v>9469</v>
      </c>
      <c r="G8710" s="4" t="str">
        <f>HYPERLINK("https://diaocthongthai.com/phuong-15-quan-go-vap/","Phường 15")</f>
        <v>Phường 15</v>
      </c>
    </row>
    <row r="8711" spans="1:7" x14ac:dyDescent="0.25">
      <c r="A8711" s="2">
        <v>8710</v>
      </c>
      <c r="B8711" s="3" t="s">
        <v>52</v>
      </c>
      <c r="C8711" s="4" t="str">
        <f t="shared" si="767"/>
        <v>Hồ Chí Minh</v>
      </c>
      <c r="D8711" s="3" t="s">
        <v>612</v>
      </c>
      <c r="E8711" s="4" t="str">
        <f t="shared" si="770"/>
        <v>Quận Gò Vấp</v>
      </c>
      <c r="F8711" s="3" t="s">
        <v>9470</v>
      </c>
      <c r="G8711" s="4" t="str">
        <f>HYPERLINK("https://diaocthongthai.com/phuong-13-quan-go-vap/","Phường 13")</f>
        <v>Phường 13</v>
      </c>
    </row>
    <row r="8712" spans="1:7" x14ac:dyDescent="0.25">
      <c r="A8712" s="2">
        <v>8711</v>
      </c>
      <c r="B8712" s="3" t="s">
        <v>52</v>
      </c>
      <c r="C8712" s="4" t="str">
        <f t="shared" si="767"/>
        <v>Hồ Chí Minh</v>
      </c>
      <c r="D8712" s="3" t="s">
        <v>612</v>
      </c>
      <c r="E8712" s="4" t="str">
        <f t="shared" si="770"/>
        <v>Quận Gò Vấp</v>
      </c>
      <c r="F8712" s="3" t="s">
        <v>9471</v>
      </c>
      <c r="G8712" s="4" t="str">
        <f>HYPERLINK("https://diaocthongthai.com/phuong-17-quan-go-vap/","Phường 17")</f>
        <v>Phường 17</v>
      </c>
    </row>
    <row r="8713" spans="1:7" x14ac:dyDescent="0.25">
      <c r="A8713" s="2">
        <v>8712</v>
      </c>
      <c r="B8713" s="3" t="s">
        <v>52</v>
      </c>
      <c r="C8713" s="4" t="str">
        <f t="shared" si="767"/>
        <v>Hồ Chí Minh</v>
      </c>
      <c r="D8713" s="3" t="s">
        <v>612</v>
      </c>
      <c r="E8713" s="4" t="str">
        <f t="shared" si="770"/>
        <v>Quận Gò Vấp</v>
      </c>
      <c r="F8713" s="3" t="s">
        <v>9472</v>
      </c>
      <c r="G8713" s="4" t="str">
        <f>HYPERLINK("https://diaocthongthai.com/phuong-6-quan-go-vap/","Phường 6")</f>
        <v>Phường 6</v>
      </c>
    </row>
    <row r="8714" spans="1:7" x14ac:dyDescent="0.25">
      <c r="A8714" s="2">
        <v>8713</v>
      </c>
      <c r="B8714" s="3" t="s">
        <v>52</v>
      </c>
      <c r="C8714" s="4" t="str">
        <f t="shared" si="767"/>
        <v>Hồ Chí Minh</v>
      </c>
      <c r="D8714" s="3" t="s">
        <v>612</v>
      </c>
      <c r="E8714" s="4" t="str">
        <f t="shared" si="770"/>
        <v>Quận Gò Vấp</v>
      </c>
      <c r="F8714" s="3" t="s">
        <v>9473</v>
      </c>
      <c r="G8714" s="4" t="str">
        <f>HYPERLINK("https://diaocthongthai.com/phuong-16-quan-go-vap/","Phường 16")</f>
        <v>Phường 16</v>
      </c>
    </row>
    <row r="8715" spans="1:7" x14ac:dyDescent="0.25">
      <c r="A8715" s="2">
        <v>8714</v>
      </c>
      <c r="B8715" s="3" t="s">
        <v>52</v>
      </c>
      <c r="C8715" s="4" t="str">
        <f t="shared" si="767"/>
        <v>Hồ Chí Minh</v>
      </c>
      <c r="D8715" s="3" t="s">
        <v>612</v>
      </c>
      <c r="E8715" s="4" t="str">
        <f t="shared" si="770"/>
        <v>Quận Gò Vấp</v>
      </c>
      <c r="F8715" s="3" t="s">
        <v>9474</v>
      </c>
      <c r="G8715" s="4" t="str">
        <f>HYPERLINK("https://diaocthongthai.com/phuong-12-quan-go-vap/","Phường 12")</f>
        <v>Phường 12</v>
      </c>
    </row>
    <row r="8716" spans="1:7" x14ac:dyDescent="0.25">
      <c r="A8716" s="2">
        <v>8715</v>
      </c>
      <c r="B8716" s="3" t="s">
        <v>52</v>
      </c>
      <c r="C8716" s="4" t="str">
        <f t="shared" si="767"/>
        <v>Hồ Chí Minh</v>
      </c>
      <c r="D8716" s="3" t="s">
        <v>612</v>
      </c>
      <c r="E8716" s="4" t="str">
        <f t="shared" si="770"/>
        <v>Quận Gò Vấp</v>
      </c>
      <c r="F8716" s="3" t="s">
        <v>9475</v>
      </c>
      <c r="G8716" s="4" t="str">
        <f>HYPERLINK("https://diaocthongthai.com/phuong-14-quan-go-vap/","Phường 14")</f>
        <v>Phường 14</v>
      </c>
    </row>
    <row r="8717" spans="1:7" x14ac:dyDescent="0.25">
      <c r="A8717" s="2">
        <v>8716</v>
      </c>
      <c r="B8717" s="3" t="s">
        <v>52</v>
      </c>
      <c r="C8717" s="4" t="str">
        <f t="shared" si="767"/>
        <v>Hồ Chí Minh</v>
      </c>
      <c r="D8717" s="3" t="s">
        <v>612</v>
      </c>
      <c r="E8717" s="4" t="str">
        <f t="shared" si="770"/>
        <v>Quận Gò Vấp</v>
      </c>
      <c r="F8717" s="3" t="s">
        <v>9476</v>
      </c>
      <c r="G8717" s="4" t="str">
        <f>HYPERLINK("https://diaocthongthai.com/phuong-10-quan-go-vap/","Phường 10")</f>
        <v>Phường 10</v>
      </c>
    </row>
    <row r="8718" spans="1:7" x14ac:dyDescent="0.25">
      <c r="A8718" s="2">
        <v>8717</v>
      </c>
      <c r="B8718" s="3" t="s">
        <v>52</v>
      </c>
      <c r="C8718" s="4" t="str">
        <f t="shared" si="767"/>
        <v>Hồ Chí Minh</v>
      </c>
      <c r="D8718" s="3" t="s">
        <v>612</v>
      </c>
      <c r="E8718" s="4" t="str">
        <f t="shared" si="770"/>
        <v>Quận Gò Vấp</v>
      </c>
      <c r="F8718" s="3" t="s">
        <v>9477</v>
      </c>
      <c r="G8718" s="4" t="str">
        <f>HYPERLINK("https://diaocthongthai.com/phuong-5-quan-go-vap/","Phường 05")</f>
        <v>Phường 05</v>
      </c>
    </row>
    <row r="8719" spans="1:7" x14ac:dyDescent="0.25">
      <c r="A8719" s="2">
        <v>8718</v>
      </c>
      <c r="B8719" s="3" t="s">
        <v>52</v>
      </c>
      <c r="C8719" s="4" t="str">
        <f t="shared" si="767"/>
        <v>Hồ Chí Minh</v>
      </c>
      <c r="D8719" s="3" t="s">
        <v>612</v>
      </c>
      <c r="E8719" s="4" t="str">
        <f t="shared" si="770"/>
        <v>Quận Gò Vấp</v>
      </c>
      <c r="F8719" s="3" t="s">
        <v>9478</v>
      </c>
      <c r="G8719" s="4" t="str">
        <f>HYPERLINK("https://diaocthongthai.com/phuong-7-quan-go-vap/","Phường 07")</f>
        <v>Phường 07</v>
      </c>
    </row>
    <row r="8720" spans="1:7" x14ac:dyDescent="0.25">
      <c r="A8720" s="2">
        <v>8719</v>
      </c>
      <c r="B8720" s="3" t="s">
        <v>52</v>
      </c>
      <c r="C8720" s="4" t="str">
        <f t="shared" si="767"/>
        <v>Hồ Chí Minh</v>
      </c>
      <c r="D8720" s="3" t="s">
        <v>612</v>
      </c>
      <c r="E8720" s="4" t="str">
        <f t="shared" si="770"/>
        <v>Quận Gò Vấp</v>
      </c>
      <c r="F8720" s="3" t="s">
        <v>9479</v>
      </c>
      <c r="G8720" s="4" t="str">
        <f>HYPERLINK("https://diaocthongthai.com/phuong-4-quan-go-vap/","Phường 04")</f>
        <v>Phường 04</v>
      </c>
    </row>
    <row r="8721" spans="1:7" x14ac:dyDescent="0.25">
      <c r="A8721" s="2">
        <v>8720</v>
      </c>
      <c r="B8721" s="3" t="s">
        <v>52</v>
      </c>
      <c r="C8721" s="4" t="str">
        <f t="shared" si="767"/>
        <v>Hồ Chí Minh</v>
      </c>
      <c r="D8721" s="3" t="s">
        <v>612</v>
      </c>
      <c r="E8721" s="4" t="str">
        <f t="shared" si="770"/>
        <v>Quận Gò Vấp</v>
      </c>
      <c r="F8721" s="3" t="s">
        <v>9480</v>
      </c>
      <c r="G8721" s="4" t="str">
        <f>HYPERLINK("https://diaocthongthai.com/phuong-1-quan-go-vap/","Phường 01")</f>
        <v>Phường 01</v>
      </c>
    </row>
    <row r="8722" spans="1:7" x14ac:dyDescent="0.25">
      <c r="A8722" s="2">
        <v>8721</v>
      </c>
      <c r="B8722" s="3" t="s">
        <v>52</v>
      </c>
      <c r="C8722" s="4" t="str">
        <f t="shared" si="767"/>
        <v>Hồ Chí Minh</v>
      </c>
      <c r="D8722" s="3" t="s">
        <v>612</v>
      </c>
      <c r="E8722" s="4" t="str">
        <f t="shared" si="770"/>
        <v>Quận Gò Vấp</v>
      </c>
      <c r="F8722" s="3" t="s">
        <v>9481</v>
      </c>
      <c r="G8722" s="4" t="str">
        <f>HYPERLINK("https://diaocthongthai.com/phuong-9-quan-go-vap/","Phường 9")</f>
        <v>Phường 9</v>
      </c>
    </row>
    <row r="8723" spans="1:7" x14ac:dyDescent="0.25">
      <c r="A8723" s="2">
        <v>8722</v>
      </c>
      <c r="B8723" s="3" t="s">
        <v>52</v>
      </c>
      <c r="C8723" s="4" t="str">
        <f t="shared" si="767"/>
        <v>Hồ Chí Minh</v>
      </c>
      <c r="D8723" s="3" t="s">
        <v>612</v>
      </c>
      <c r="E8723" s="4" t="str">
        <f t="shared" si="770"/>
        <v>Quận Gò Vấp</v>
      </c>
      <c r="F8723" s="3" t="s">
        <v>9482</v>
      </c>
      <c r="G8723" s="4" t="str">
        <f>HYPERLINK("https://diaocthongthai.com/phuong-8-quan-go-vap/","Phường 8")</f>
        <v>Phường 8</v>
      </c>
    </row>
    <row r="8724" spans="1:7" x14ac:dyDescent="0.25">
      <c r="A8724" s="2">
        <v>8723</v>
      </c>
      <c r="B8724" s="3" t="s">
        <v>52</v>
      </c>
      <c r="C8724" s="4" t="str">
        <f t="shared" si="767"/>
        <v>Hồ Chí Minh</v>
      </c>
      <c r="D8724" s="3" t="s">
        <v>612</v>
      </c>
      <c r="E8724" s="4" t="str">
        <f t="shared" si="770"/>
        <v>Quận Gò Vấp</v>
      </c>
      <c r="F8724" s="3" t="s">
        <v>9483</v>
      </c>
      <c r="G8724" s="4" t="str">
        <f>HYPERLINK("https://diaocthongthai.com/phuong-11-quan-go-vap/","Phường 11")</f>
        <v>Phường 11</v>
      </c>
    </row>
    <row r="8725" spans="1:7" x14ac:dyDescent="0.25">
      <c r="A8725" s="2">
        <v>8724</v>
      </c>
      <c r="B8725" s="3" t="s">
        <v>52</v>
      </c>
      <c r="C8725" s="4" t="str">
        <f t="shared" si="767"/>
        <v>Hồ Chí Minh</v>
      </c>
      <c r="D8725" s="3" t="s">
        <v>612</v>
      </c>
      <c r="E8725" s="4" t="str">
        <f t="shared" si="770"/>
        <v>Quận Gò Vấp</v>
      </c>
      <c r="F8725" s="3" t="s">
        <v>9484</v>
      </c>
      <c r="G8725" s="4" t="str">
        <f>HYPERLINK("https://diaocthongthai.com/phuong-3-quan-go-vap/","Phường 03")</f>
        <v>Phường 03</v>
      </c>
    </row>
    <row r="8726" spans="1:7" x14ac:dyDescent="0.25">
      <c r="A8726" s="2">
        <v>8725</v>
      </c>
      <c r="B8726" s="3" t="s">
        <v>52</v>
      </c>
      <c r="C8726" s="4" t="str">
        <f t="shared" si="767"/>
        <v>Hồ Chí Minh</v>
      </c>
      <c r="D8726" s="3" t="s">
        <v>613</v>
      </c>
      <c r="E8726" s="4" t="str">
        <f t="shared" ref="E8726:E8745" si="771">HYPERLINK("https://diaocthongthai.com/ban-do-quan-binh-thanh/","Quận Bình Thạnh")</f>
        <v>Quận Bình Thạnh</v>
      </c>
      <c r="F8726" s="3" t="s">
        <v>9485</v>
      </c>
      <c r="G8726" s="4" t="str">
        <f>HYPERLINK("https://diaocthongthai.com/phuong-13-quan-binh-thanh/","Phường 13")</f>
        <v>Phường 13</v>
      </c>
    </row>
    <row r="8727" spans="1:7" x14ac:dyDescent="0.25">
      <c r="A8727" s="2">
        <v>8726</v>
      </c>
      <c r="B8727" s="3" t="s">
        <v>52</v>
      </c>
      <c r="C8727" s="4" t="str">
        <f t="shared" si="767"/>
        <v>Hồ Chí Minh</v>
      </c>
      <c r="D8727" s="3" t="s">
        <v>613</v>
      </c>
      <c r="E8727" s="4" t="str">
        <f t="shared" si="771"/>
        <v>Quận Bình Thạnh</v>
      </c>
      <c r="F8727" s="3" t="s">
        <v>9486</v>
      </c>
      <c r="G8727" s="4" t="str">
        <f>HYPERLINK("https://diaocthongthai.com/phuong-11-quan-binh-thanh/","Phường 11")</f>
        <v>Phường 11</v>
      </c>
    </row>
    <row r="8728" spans="1:7" x14ac:dyDescent="0.25">
      <c r="A8728" s="2">
        <v>8727</v>
      </c>
      <c r="B8728" s="3" t="s">
        <v>52</v>
      </c>
      <c r="C8728" s="4" t="str">
        <f t="shared" si="767"/>
        <v>Hồ Chí Minh</v>
      </c>
      <c r="D8728" s="3" t="s">
        <v>613</v>
      </c>
      <c r="E8728" s="4" t="str">
        <f t="shared" si="771"/>
        <v>Quận Bình Thạnh</v>
      </c>
      <c r="F8728" s="3" t="s">
        <v>9487</v>
      </c>
      <c r="G8728" s="4" t="str">
        <f>HYPERLINK("https://diaocthongthai.com/phuong-27-quan-binh-thanh/","Phường 27")</f>
        <v>Phường 27</v>
      </c>
    </row>
    <row r="8729" spans="1:7" x14ac:dyDescent="0.25">
      <c r="A8729" s="2">
        <v>8728</v>
      </c>
      <c r="B8729" s="3" t="s">
        <v>52</v>
      </c>
      <c r="C8729" s="4" t="str">
        <f t="shared" si="767"/>
        <v>Hồ Chí Minh</v>
      </c>
      <c r="D8729" s="3" t="s">
        <v>613</v>
      </c>
      <c r="E8729" s="4" t="str">
        <f t="shared" si="771"/>
        <v>Quận Bình Thạnh</v>
      </c>
      <c r="F8729" s="3" t="s">
        <v>9488</v>
      </c>
      <c r="G8729" s="4" t="str">
        <f>HYPERLINK("https://diaocthongthai.com/phuong-26-quan-binh-thanh/","Phường 26")</f>
        <v>Phường 26</v>
      </c>
    </row>
    <row r="8730" spans="1:7" x14ac:dyDescent="0.25">
      <c r="A8730" s="2">
        <v>8729</v>
      </c>
      <c r="B8730" s="3" t="s">
        <v>52</v>
      </c>
      <c r="C8730" s="4" t="str">
        <f t="shared" si="767"/>
        <v>Hồ Chí Minh</v>
      </c>
      <c r="D8730" s="3" t="s">
        <v>613</v>
      </c>
      <c r="E8730" s="4" t="str">
        <f t="shared" si="771"/>
        <v>Quận Bình Thạnh</v>
      </c>
      <c r="F8730" s="3" t="s">
        <v>9489</v>
      </c>
      <c r="G8730" s="4" t="str">
        <f>HYPERLINK("https://diaocthongthai.com/phuong-12-quan-binh-thanh/","Phường 12")</f>
        <v>Phường 12</v>
      </c>
    </row>
    <row r="8731" spans="1:7" x14ac:dyDescent="0.25">
      <c r="A8731" s="2">
        <v>8730</v>
      </c>
      <c r="B8731" s="3" t="s">
        <v>52</v>
      </c>
      <c r="C8731" s="4" t="str">
        <f t="shared" si="767"/>
        <v>Hồ Chí Minh</v>
      </c>
      <c r="D8731" s="3" t="s">
        <v>613</v>
      </c>
      <c r="E8731" s="4" t="str">
        <f t="shared" si="771"/>
        <v>Quận Bình Thạnh</v>
      </c>
      <c r="F8731" s="3" t="s">
        <v>9490</v>
      </c>
      <c r="G8731" s="4" t="str">
        <f>HYPERLINK("https://diaocthongthai.com/phuong-25-quan-binh-thanh/","Phường 25")</f>
        <v>Phường 25</v>
      </c>
    </row>
    <row r="8732" spans="1:7" x14ac:dyDescent="0.25">
      <c r="A8732" s="2">
        <v>8731</v>
      </c>
      <c r="B8732" s="3" t="s">
        <v>52</v>
      </c>
      <c r="C8732" s="4" t="str">
        <f t="shared" si="767"/>
        <v>Hồ Chí Minh</v>
      </c>
      <c r="D8732" s="3" t="s">
        <v>613</v>
      </c>
      <c r="E8732" s="4" t="str">
        <f t="shared" si="771"/>
        <v>Quận Bình Thạnh</v>
      </c>
      <c r="F8732" s="3" t="s">
        <v>9491</v>
      </c>
      <c r="G8732" s="4" t="str">
        <f>HYPERLINK("https://diaocthongthai.com/phuong-5-quan-binh-thanh/","Phường 05")</f>
        <v>Phường 05</v>
      </c>
    </row>
    <row r="8733" spans="1:7" x14ac:dyDescent="0.25">
      <c r="A8733" s="2">
        <v>8732</v>
      </c>
      <c r="B8733" s="3" t="s">
        <v>52</v>
      </c>
      <c r="C8733" s="4" t="str">
        <f t="shared" si="767"/>
        <v>Hồ Chí Minh</v>
      </c>
      <c r="D8733" s="3" t="s">
        <v>613</v>
      </c>
      <c r="E8733" s="4" t="str">
        <f t="shared" si="771"/>
        <v>Quận Bình Thạnh</v>
      </c>
      <c r="F8733" s="3" t="s">
        <v>9492</v>
      </c>
      <c r="G8733" s="4" t="str">
        <f>HYPERLINK("https://diaocthongthai.com/phuong-7-quan-binh-thanh/","Phường 07")</f>
        <v>Phường 07</v>
      </c>
    </row>
    <row r="8734" spans="1:7" x14ac:dyDescent="0.25">
      <c r="A8734" s="2">
        <v>8733</v>
      </c>
      <c r="B8734" s="3" t="s">
        <v>52</v>
      </c>
      <c r="C8734" s="4" t="str">
        <f t="shared" si="767"/>
        <v>Hồ Chí Minh</v>
      </c>
      <c r="D8734" s="3" t="s">
        <v>613</v>
      </c>
      <c r="E8734" s="4" t="str">
        <f t="shared" si="771"/>
        <v>Quận Bình Thạnh</v>
      </c>
      <c r="F8734" s="3" t="s">
        <v>9493</v>
      </c>
      <c r="G8734" s="4" t="str">
        <f>HYPERLINK("https://diaocthongthai.com/phuong-24-quan-binh-thanh/","Phường 24")</f>
        <v>Phường 24</v>
      </c>
    </row>
    <row r="8735" spans="1:7" x14ac:dyDescent="0.25">
      <c r="A8735" s="2">
        <v>8734</v>
      </c>
      <c r="B8735" s="3" t="s">
        <v>52</v>
      </c>
      <c r="C8735" s="4" t="str">
        <f t="shared" si="767"/>
        <v>Hồ Chí Minh</v>
      </c>
      <c r="D8735" s="3" t="s">
        <v>613</v>
      </c>
      <c r="E8735" s="4" t="str">
        <f t="shared" si="771"/>
        <v>Quận Bình Thạnh</v>
      </c>
      <c r="F8735" s="3" t="s">
        <v>9494</v>
      </c>
      <c r="G8735" s="4" t="str">
        <f>HYPERLINK("https://diaocthongthai.com/phuong-6-quan-binh-thanh/","Phường 06")</f>
        <v>Phường 06</v>
      </c>
    </row>
    <row r="8736" spans="1:7" x14ac:dyDescent="0.25">
      <c r="A8736" s="2">
        <v>8735</v>
      </c>
      <c r="B8736" s="3" t="s">
        <v>52</v>
      </c>
      <c r="C8736" s="4" t="str">
        <f t="shared" si="767"/>
        <v>Hồ Chí Minh</v>
      </c>
      <c r="D8736" s="3" t="s">
        <v>613</v>
      </c>
      <c r="E8736" s="4" t="str">
        <f t="shared" si="771"/>
        <v>Quận Bình Thạnh</v>
      </c>
      <c r="F8736" s="3" t="s">
        <v>9495</v>
      </c>
      <c r="G8736" s="4" t="str">
        <f>HYPERLINK("https://diaocthongthai.com/phuong-14-quan-binh-thanh/","Phường 14")</f>
        <v>Phường 14</v>
      </c>
    </row>
    <row r="8737" spans="1:7" x14ac:dyDescent="0.25">
      <c r="A8737" s="2">
        <v>8736</v>
      </c>
      <c r="B8737" s="3" t="s">
        <v>52</v>
      </c>
      <c r="C8737" s="4" t="str">
        <f t="shared" si="767"/>
        <v>Hồ Chí Minh</v>
      </c>
      <c r="D8737" s="3" t="s">
        <v>613</v>
      </c>
      <c r="E8737" s="4" t="str">
        <f t="shared" si="771"/>
        <v>Quận Bình Thạnh</v>
      </c>
      <c r="F8737" s="3" t="s">
        <v>9496</v>
      </c>
      <c r="G8737" s="4" t="str">
        <f>HYPERLINK("https://diaocthongthai.com/phuong-15-quan-binh-thanh/","Phường 15")</f>
        <v>Phường 15</v>
      </c>
    </row>
    <row r="8738" spans="1:7" x14ac:dyDescent="0.25">
      <c r="A8738" s="2">
        <v>8737</v>
      </c>
      <c r="B8738" s="3" t="s">
        <v>52</v>
      </c>
      <c r="C8738" s="4" t="str">
        <f t="shared" si="767"/>
        <v>Hồ Chí Minh</v>
      </c>
      <c r="D8738" s="3" t="s">
        <v>613</v>
      </c>
      <c r="E8738" s="4" t="str">
        <f t="shared" si="771"/>
        <v>Quận Bình Thạnh</v>
      </c>
      <c r="F8738" s="3" t="s">
        <v>9497</v>
      </c>
      <c r="G8738" s="4" t="str">
        <f>HYPERLINK("https://diaocthongthai.com/phuong-2-quan-binh-thanh/","Phường 02")</f>
        <v>Phường 02</v>
      </c>
    </row>
    <row r="8739" spans="1:7" x14ac:dyDescent="0.25">
      <c r="A8739" s="2">
        <v>8738</v>
      </c>
      <c r="B8739" s="3" t="s">
        <v>52</v>
      </c>
      <c r="C8739" s="4" t="str">
        <f t="shared" si="767"/>
        <v>Hồ Chí Minh</v>
      </c>
      <c r="D8739" s="3" t="s">
        <v>613</v>
      </c>
      <c r="E8739" s="4" t="str">
        <f t="shared" si="771"/>
        <v>Quận Bình Thạnh</v>
      </c>
      <c r="F8739" s="3" t="s">
        <v>9498</v>
      </c>
      <c r="G8739" s="4" t="str">
        <f>HYPERLINK("https://diaocthongthai.com/phuong-1-quan-binh-thanh/","Phường 01")</f>
        <v>Phường 01</v>
      </c>
    </row>
    <row r="8740" spans="1:7" x14ac:dyDescent="0.25">
      <c r="A8740" s="2">
        <v>8739</v>
      </c>
      <c r="B8740" s="3" t="s">
        <v>52</v>
      </c>
      <c r="C8740" s="4" t="str">
        <f t="shared" si="767"/>
        <v>Hồ Chí Minh</v>
      </c>
      <c r="D8740" s="3" t="s">
        <v>613</v>
      </c>
      <c r="E8740" s="4" t="str">
        <f t="shared" si="771"/>
        <v>Quận Bình Thạnh</v>
      </c>
      <c r="F8740" s="3" t="s">
        <v>9499</v>
      </c>
      <c r="G8740" s="4" t="str">
        <f>HYPERLINK("https://diaocthongthai.com/phuong-3-quan-binh-thanh/","Phường 03")</f>
        <v>Phường 03</v>
      </c>
    </row>
    <row r="8741" spans="1:7" x14ac:dyDescent="0.25">
      <c r="A8741" s="2">
        <v>8740</v>
      </c>
      <c r="B8741" s="3" t="s">
        <v>52</v>
      </c>
      <c r="C8741" s="4" t="str">
        <f t="shared" si="767"/>
        <v>Hồ Chí Minh</v>
      </c>
      <c r="D8741" s="3" t="s">
        <v>613</v>
      </c>
      <c r="E8741" s="4" t="str">
        <f t="shared" si="771"/>
        <v>Quận Bình Thạnh</v>
      </c>
      <c r="F8741" s="3" t="s">
        <v>9500</v>
      </c>
      <c r="G8741" s="4" t="str">
        <f>HYPERLINK("https://diaocthongthai.com/phuong-17-quan-binh-thanh/","Phường 17")</f>
        <v>Phường 17</v>
      </c>
    </row>
    <row r="8742" spans="1:7" x14ac:dyDescent="0.25">
      <c r="A8742" s="2">
        <v>8741</v>
      </c>
      <c r="B8742" s="3" t="s">
        <v>52</v>
      </c>
      <c r="C8742" s="4" t="str">
        <f t="shared" si="767"/>
        <v>Hồ Chí Minh</v>
      </c>
      <c r="D8742" s="3" t="s">
        <v>613</v>
      </c>
      <c r="E8742" s="4" t="str">
        <f t="shared" si="771"/>
        <v>Quận Bình Thạnh</v>
      </c>
      <c r="F8742" s="3" t="s">
        <v>9501</v>
      </c>
      <c r="G8742" s="4" t="str">
        <f>HYPERLINK("https://diaocthongthai.com/phuong-21-quan-binh-thanh/","Phường 21")</f>
        <v>Phường 21</v>
      </c>
    </row>
    <row r="8743" spans="1:7" x14ac:dyDescent="0.25">
      <c r="A8743" s="2">
        <v>8742</v>
      </c>
      <c r="B8743" s="3" t="s">
        <v>52</v>
      </c>
      <c r="C8743" s="4" t="str">
        <f t="shared" si="767"/>
        <v>Hồ Chí Minh</v>
      </c>
      <c r="D8743" s="3" t="s">
        <v>613</v>
      </c>
      <c r="E8743" s="4" t="str">
        <f t="shared" si="771"/>
        <v>Quận Bình Thạnh</v>
      </c>
      <c r="F8743" s="3" t="s">
        <v>9502</v>
      </c>
      <c r="G8743" s="4" t="str">
        <f>HYPERLINK("https://diaocthongthai.com/phuong-22-quan-binh-thanh/","Phường 22")</f>
        <v>Phường 22</v>
      </c>
    </row>
    <row r="8744" spans="1:7" x14ac:dyDescent="0.25">
      <c r="A8744" s="2">
        <v>8743</v>
      </c>
      <c r="B8744" s="3" t="s">
        <v>52</v>
      </c>
      <c r="C8744" s="4" t="str">
        <f t="shared" si="767"/>
        <v>Hồ Chí Minh</v>
      </c>
      <c r="D8744" s="3" t="s">
        <v>613</v>
      </c>
      <c r="E8744" s="4" t="str">
        <f t="shared" si="771"/>
        <v>Quận Bình Thạnh</v>
      </c>
      <c r="F8744" s="3" t="s">
        <v>9503</v>
      </c>
      <c r="G8744" s="4" t="str">
        <f>HYPERLINK("https://diaocthongthai.com/phuong-19-quan-binh-thanh/","Phường 19")</f>
        <v>Phường 19</v>
      </c>
    </row>
    <row r="8745" spans="1:7" x14ac:dyDescent="0.25">
      <c r="A8745" s="2">
        <v>8744</v>
      </c>
      <c r="B8745" s="3" t="s">
        <v>52</v>
      </c>
      <c r="C8745" s="4" t="str">
        <f t="shared" si="767"/>
        <v>Hồ Chí Minh</v>
      </c>
      <c r="D8745" s="3" t="s">
        <v>613</v>
      </c>
      <c r="E8745" s="4" t="str">
        <f t="shared" si="771"/>
        <v>Quận Bình Thạnh</v>
      </c>
      <c r="F8745" s="3" t="s">
        <v>9504</v>
      </c>
      <c r="G8745" s="4" t="str">
        <f>HYPERLINK("https://diaocthongthai.com/phuong-28-quan-binh-thanh/","Phường 28")</f>
        <v>Phường 28</v>
      </c>
    </row>
    <row r="8746" spans="1:7" x14ac:dyDescent="0.25">
      <c r="A8746" s="2">
        <v>8745</v>
      </c>
      <c r="B8746" s="3" t="s">
        <v>52</v>
      </c>
      <c r="C8746" s="4" t="str">
        <f t="shared" si="767"/>
        <v>Hồ Chí Minh</v>
      </c>
      <c r="D8746" s="3" t="s">
        <v>614</v>
      </c>
      <c r="E8746" s="4" t="str">
        <f t="shared" ref="E8746:E8760" si="772">HYPERLINK("https://diaocthongthai.com/ban-do-quan-tan-binh/","Quận Tân Bình")</f>
        <v>Quận Tân Bình</v>
      </c>
      <c r="F8746" s="3" t="s">
        <v>9505</v>
      </c>
      <c r="G8746" s="4" t="str">
        <f>HYPERLINK("https://diaocthongthai.com/phuong-2-quan-tan-binh/","Phường 02")</f>
        <v>Phường 02</v>
      </c>
    </row>
    <row r="8747" spans="1:7" x14ac:dyDescent="0.25">
      <c r="A8747" s="2">
        <v>8746</v>
      </c>
      <c r="B8747" s="3" t="s">
        <v>52</v>
      </c>
      <c r="C8747" s="4" t="str">
        <f t="shared" si="767"/>
        <v>Hồ Chí Minh</v>
      </c>
      <c r="D8747" s="3" t="s">
        <v>614</v>
      </c>
      <c r="E8747" s="4" t="str">
        <f t="shared" si="772"/>
        <v>Quận Tân Bình</v>
      </c>
      <c r="F8747" s="3" t="s">
        <v>9506</v>
      </c>
      <c r="G8747" s="4" t="str">
        <f>HYPERLINK("https://diaocthongthai.com/phuong-4-quan-tan-binh/","Phường 04")</f>
        <v>Phường 04</v>
      </c>
    </row>
    <row r="8748" spans="1:7" x14ac:dyDescent="0.25">
      <c r="A8748" s="2">
        <v>8747</v>
      </c>
      <c r="B8748" s="3" t="s">
        <v>52</v>
      </c>
      <c r="C8748" s="4" t="str">
        <f t="shared" si="767"/>
        <v>Hồ Chí Minh</v>
      </c>
      <c r="D8748" s="3" t="s">
        <v>614</v>
      </c>
      <c r="E8748" s="4" t="str">
        <f t="shared" si="772"/>
        <v>Quận Tân Bình</v>
      </c>
      <c r="F8748" s="3" t="s">
        <v>9507</v>
      </c>
      <c r="G8748" s="4" t="str">
        <f>HYPERLINK("https://diaocthongthai.com/phuong-12-quan-tan-binh/","Phường 12")</f>
        <v>Phường 12</v>
      </c>
    </row>
    <row r="8749" spans="1:7" x14ac:dyDescent="0.25">
      <c r="A8749" s="2">
        <v>8748</v>
      </c>
      <c r="B8749" s="3" t="s">
        <v>52</v>
      </c>
      <c r="C8749" s="4" t="str">
        <f t="shared" si="767"/>
        <v>Hồ Chí Minh</v>
      </c>
      <c r="D8749" s="3" t="s">
        <v>614</v>
      </c>
      <c r="E8749" s="4" t="str">
        <f t="shared" si="772"/>
        <v>Quận Tân Bình</v>
      </c>
      <c r="F8749" s="3" t="s">
        <v>9508</v>
      </c>
      <c r="G8749" s="4" t="str">
        <f>HYPERLINK("https://diaocthongthai.com/phuong-13-quan-tan-binh/","Phường 13")</f>
        <v>Phường 13</v>
      </c>
    </row>
    <row r="8750" spans="1:7" x14ac:dyDescent="0.25">
      <c r="A8750" s="2">
        <v>8749</v>
      </c>
      <c r="B8750" s="3" t="s">
        <v>52</v>
      </c>
      <c r="C8750" s="4" t="str">
        <f t="shared" si="767"/>
        <v>Hồ Chí Minh</v>
      </c>
      <c r="D8750" s="3" t="s">
        <v>614</v>
      </c>
      <c r="E8750" s="4" t="str">
        <f t="shared" si="772"/>
        <v>Quận Tân Bình</v>
      </c>
      <c r="F8750" s="3" t="s">
        <v>9509</v>
      </c>
      <c r="G8750" s="4" t="str">
        <f>HYPERLINK("https://diaocthongthai.com/phuong-1-quan-tan-binh/","Phường 01")</f>
        <v>Phường 01</v>
      </c>
    </row>
    <row r="8751" spans="1:7" x14ac:dyDescent="0.25">
      <c r="A8751" s="2">
        <v>8750</v>
      </c>
      <c r="B8751" s="3" t="s">
        <v>52</v>
      </c>
      <c r="C8751" s="4" t="str">
        <f t="shared" si="767"/>
        <v>Hồ Chí Minh</v>
      </c>
      <c r="D8751" s="3" t="s">
        <v>614</v>
      </c>
      <c r="E8751" s="4" t="str">
        <f t="shared" si="772"/>
        <v>Quận Tân Bình</v>
      </c>
      <c r="F8751" s="3" t="s">
        <v>9510</v>
      </c>
      <c r="G8751" s="4" t="str">
        <f>HYPERLINK("https://diaocthongthai.com/phuong-3-quan-tan-binh/","Phường 03")</f>
        <v>Phường 03</v>
      </c>
    </row>
    <row r="8752" spans="1:7" x14ac:dyDescent="0.25">
      <c r="A8752" s="2">
        <v>8751</v>
      </c>
      <c r="B8752" s="3" t="s">
        <v>52</v>
      </c>
      <c r="C8752" s="4" t="str">
        <f t="shared" si="767"/>
        <v>Hồ Chí Minh</v>
      </c>
      <c r="D8752" s="3" t="s">
        <v>614</v>
      </c>
      <c r="E8752" s="4" t="str">
        <f t="shared" si="772"/>
        <v>Quận Tân Bình</v>
      </c>
      <c r="F8752" s="3" t="s">
        <v>9511</v>
      </c>
      <c r="G8752" s="4" t="str">
        <f>HYPERLINK("https://diaocthongthai.com/phuong-11-quan-tan-binh/","Phường 11")</f>
        <v>Phường 11</v>
      </c>
    </row>
    <row r="8753" spans="1:7" x14ac:dyDescent="0.25">
      <c r="A8753" s="2">
        <v>8752</v>
      </c>
      <c r="B8753" s="3" t="s">
        <v>52</v>
      </c>
      <c r="C8753" s="4" t="str">
        <f t="shared" ref="C8753:C8816" si="773">HYPERLINK("https://diaocthongthai.com/ban-do-cac-quan-tp-hcm/","Hồ Chí Minh")</f>
        <v>Hồ Chí Minh</v>
      </c>
      <c r="D8753" s="3" t="s">
        <v>614</v>
      </c>
      <c r="E8753" s="4" t="str">
        <f t="shared" si="772"/>
        <v>Quận Tân Bình</v>
      </c>
      <c r="F8753" s="3" t="s">
        <v>9512</v>
      </c>
      <c r="G8753" s="4" t="str">
        <f>HYPERLINK("https://diaocthongthai.com/phuong-7-quan-tan-binh/","Phường 07")</f>
        <v>Phường 07</v>
      </c>
    </row>
    <row r="8754" spans="1:7" x14ac:dyDescent="0.25">
      <c r="A8754" s="2">
        <v>8753</v>
      </c>
      <c r="B8754" s="3" t="s">
        <v>52</v>
      </c>
      <c r="C8754" s="4" t="str">
        <f t="shared" si="773"/>
        <v>Hồ Chí Minh</v>
      </c>
      <c r="D8754" s="3" t="s">
        <v>614</v>
      </c>
      <c r="E8754" s="4" t="str">
        <f t="shared" si="772"/>
        <v>Quận Tân Bình</v>
      </c>
      <c r="F8754" s="3" t="s">
        <v>9513</v>
      </c>
      <c r="G8754" s="4" t="str">
        <f>HYPERLINK("https://diaocthongthai.com/phuong-5-quan-tan-binh/","Phường 05")</f>
        <v>Phường 05</v>
      </c>
    </row>
    <row r="8755" spans="1:7" x14ac:dyDescent="0.25">
      <c r="A8755" s="2">
        <v>8754</v>
      </c>
      <c r="B8755" s="3" t="s">
        <v>52</v>
      </c>
      <c r="C8755" s="4" t="str">
        <f t="shared" si="773"/>
        <v>Hồ Chí Minh</v>
      </c>
      <c r="D8755" s="3" t="s">
        <v>614</v>
      </c>
      <c r="E8755" s="4" t="str">
        <f t="shared" si="772"/>
        <v>Quận Tân Bình</v>
      </c>
      <c r="F8755" s="3" t="s">
        <v>9514</v>
      </c>
      <c r="G8755" s="4" t="str">
        <f>HYPERLINK("https://diaocthongthai.com/phuong-10-quan-tan-binh/","Phường 10")</f>
        <v>Phường 10</v>
      </c>
    </row>
    <row r="8756" spans="1:7" x14ac:dyDescent="0.25">
      <c r="A8756" s="2">
        <v>8755</v>
      </c>
      <c r="B8756" s="3" t="s">
        <v>52</v>
      </c>
      <c r="C8756" s="4" t="str">
        <f t="shared" si="773"/>
        <v>Hồ Chí Minh</v>
      </c>
      <c r="D8756" s="3" t="s">
        <v>614</v>
      </c>
      <c r="E8756" s="4" t="str">
        <f t="shared" si="772"/>
        <v>Quận Tân Bình</v>
      </c>
      <c r="F8756" s="3" t="s">
        <v>9515</v>
      </c>
      <c r="G8756" s="4" t="str">
        <f>HYPERLINK("https://diaocthongthai.com/phuong-6-quan-tan-binh/","Phường 06")</f>
        <v>Phường 06</v>
      </c>
    </row>
    <row r="8757" spans="1:7" x14ac:dyDescent="0.25">
      <c r="A8757" s="2">
        <v>8756</v>
      </c>
      <c r="B8757" s="3" t="s">
        <v>52</v>
      </c>
      <c r="C8757" s="4" t="str">
        <f t="shared" si="773"/>
        <v>Hồ Chí Minh</v>
      </c>
      <c r="D8757" s="3" t="s">
        <v>614</v>
      </c>
      <c r="E8757" s="4" t="str">
        <f t="shared" si="772"/>
        <v>Quận Tân Bình</v>
      </c>
      <c r="F8757" s="3" t="s">
        <v>9516</v>
      </c>
      <c r="G8757" s="4" t="str">
        <f>HYPERLINK("https://diaocthongthai.com/phuong-8-quan-tan-binh/","Phường 08")</f>
        <v>Phường 08</v>
      </c>
    </row>
    <row r="8758" spans="1:7" x14ac:dyDescent="0.25">
      <c r="A8758" s="2">
        <v>8757</v>
      </c>
      <c r="B8758" s="3" t="s">
        <v>52</v>
      </c>
      <c r="C8758" s="4" t="str">
        <f t="shared" si="773"/>
        <v>Hồ Chí Minh</v>
      </c>
      <c r="D8758" s="3" t="s">
        <v>614</v>
      </c>
      <c r="E8758" s="4" t="str">
        <f t="shared" si="772"/>
        <v>Quận Tân Bình</v>
      </c>
      <c r="F8758" s="3" t="s">
        <v>9517</v>
      </c>
      <c r="G8758" s="4" t="str">
        <f>HYPERLINK("https://diaocthongthai.com/phuong-9-quan-tan-binh/","Phường 09")</f>
        <v>Phường 09</v>
      </c>
    </row>
    <row r="8759" spans="1:7" x14ac:dyDescent="0.25">
      <c r="A8759" s="2">
        <v>8758</v>
      </c>
      <c r="B8759" s="3" t="s">
        <v>52</v>
      </c>
      <c r="C8759" s="4" t="str">
        <f t="shared" si="773"/>
        <v>Hồ Chí Minh</v>
      </c>
      <c r="D8759" s="3" t="s">
        <v>614</v>
      </c>
      <c r="E8759" s="4" t="str">
        <f t="shared" si="772"/>
        <v>Quận Tân Bình</v>
      </c>
      <c r="F8759" s="3" t="s">
        <v>9518</v>
      </c>
      <c r="G8759" s="4" t="str">
        <f>HYPERLINK("https://diaocthongthai.com/phuong-14-quan-tan-binh/","Phường 14")</f>
        <v>Phường 14</v>
      </c>
    </row>
    <row r="8760" spans="1:7" x14ac:dyDescent="0.25">
      <c r="A8760" s="2">
        <v>8759</v>
      </c>
      <c r="B8760" s="3" t="s">
        <v>52</v>
      </c>
      <c r="C8760" s="4" t="str">
        <f t="shared" si="773"/>
        <v>Hồ Chí Minh</v>
      </c>
      <c r="D8760" s="3" t="s">
        <v>614</v>
      </c>
      <c r="E8760" s="4" t="str">
        <f t="shared" si="772"/>
        <v>Quận Tân Bình</v>
      </c>
      <c r="F8760" s="3" t="s">
        <v>9519</v>
      </c>
      <c r="G8760" s="4" t="str">
        <f>HYPERLINK("https://diaocthongthai.com/phuong-15-quan-tan-binh/","Phường 15")</f>
        <v>Phường 15</v>
      </c>
    </row>
    <row r="8761" spans="1:7" x14ac:dyDescent="0.25">
      <c r="A8761" s="2">
        <v>8760</v>
      </c>
      <c r="B8761" s="3" t="s">
        <v>52</v>
      </c>
      <c r="C8761" s="4" t="str">
        <f t="shared" si="773"/>
        <v>Hồ Chí Minh</v>
      </c>
      <c r="D8761" s="3" t="s">
        <v>615</v>
      </c>
      <c r="E8761" s="4" t="str">
        <f t="shared" ref="E8761:E8771" si="774">HYPERLINK("https://diaocthongthai.com/ban-do-quan-tan-phu/","Quận Tân Phú")</f>
        <v>Quận Tân Phú</v>
      </c>
      <c r="F8761" s="3" t="s">
        <v>9520</v>
      </c>
      <c r="G8761" s="4" t="str">
        <f>HYPERLINK("https://diaocthongthai.com/phuong-tan-son-nhi-quan-tan-phu/","Phường Tân Sơn Nhì")</f>
        <v>Phường Tân Sơn Nhì</v>
      </c>
    </row>
    <row r="8762" spans="1:7" x14ac:dyDescent="0.25">
      <c r="A8762" s="2">
        <v>8761</v>
      </c>
      <c r="B8762" s="3" t="s">
        <v>52</v>
      </c>
      <c r="C8762" s="4" t="str">
        <f t="shared" si="773"/>
        <v>Hồ Chí Minh</v>
      </c>
      <c r="D8762" s="3" t="s">
        <v>615</v>
      </c>
      <c r="E8762" s="4" t="str">
        <f t="shared" si="774"/>
        <v>Quận Tân Phú</v>
      </c>
      <c r="F8762" s="3" t="s">
        <v>9521</v>
      </c>
      <c r="G8762" s="4" t="str">
        <f>HYPERLINK("https://diaocthongthai.com/phuong-tay-thanh-quan-tan-phu/","Phường Tây Thạnh")</f>
        <v>Phường Tây Thạnh</v>
      </c>
    </row>
    <row r="8763" spans="1:7" x14ac:dyDescent="0.25">
      <c r="A8763" s="2">
        <v>8762</v>
      </c>
      <c r="B8763" s="3" t="s">
        <v>52</v>
      </c>
      <c r="C8763" s="4" t="str">
        <f t="shared" si="773"/>
        <v>Hồ Chí Minh</v>
      </c>
      <c r="D8763" s="3" t="s">
        <v>615</v>
      </c>
      <c r="E8763" s="4" t="str">
        <f t="shared" si="774"/>
        <v>Quận Tân Phú</v>
      </c>
      <c r="F8763" s="3" t="s">
        <v>9522</v>
      </c>
      <c r="G8763" s="4" t="str">
        <f>HYPERLINK("https://diaocthongthai.com/phuong-son-ky-quan-tan-phu/","Phường Sơn Kỳ")</f>
        <v>Phường Sơn Kỳ</v>
      </c>
    </row>
    <row r="8764" spans="1:7" x14ac:dyDescent="0.25">
      <c r="A8764" s="2">
        <v>8763</v>
      </c>
      <c r="B8764" s="3" t="s">
        <v>52</v>
      </c>
      <c r="C8764" s="4" t="str">
        <f t="shared" si="773"/>
        <v>Hồ Chí Minh</v>
      </c>
      <c r="D8764" s="3" t="s">
        <v>615</v>
      </c>
      <c r="E8764" s="4" t="str">
        <f t="shared" si="774"/>
        <v>Quận Tân Phú</v>
      </c>
      <c r="F8764" s="3" t="s">
        <v>9523</v>
      </c>
      <c r="G8764" s="4" t="str">
        <f>HYPERLINK("https://diaocthongthai.com/phuong-tan-quy-quan-tan-phu/","Phường Tân Quý")</f>
        <v>Phường Tân Quý</v>
      </c>
    </row>
    <row r="8765" spans="1:7" x14ac:dyDescent="0.25">
      <c r="A8765" s="2">
        <v>8764</v>
      </c>
      <c r="B8765" s="3" t="s">
        <v>52</v>
      </c>
      <c r="C8765" s="4" t="str">
        <f t="shared" si="773"/>
        <v>Hồ Chí Minh</v>
      </c>
      <c r="D8765" s="3" t="s">
        <v>615</v>
      </c>
      <c r="E8765" s="4" t="str">
        <f t="shared" si="774"/>
        <v>Quận Tân Phú</v>
      </c>
      <c r="F8765" s="3" t="s">
        <v>9524</v>
      </c>
      <c r="G8765" s="4" t="str">
        <f>HYPERLINK("https://diaocthongthai.com/phuong-tan-thanh-quan-tan-phu/","Phường Tân Thành")</f>
        <v>Phường Tân Thành</v>
      </c>
    </row>
    <row r="8766" spans="1:7" x14ac:dyDescent="0.25">
      <c r="A8766" s="2">
        <v>8765</v>
      </c>
      <c r="B8766" s="3" t="s">
        <v>52</v>
      </c>
      <c r="C8766" s="4" t="str">
        <f t="shared" si="773"/>
        <v>Hồ Chí Minh</v>
      </c>
      <c r="D8766" s="3" t="s">
        <v>615</v>
      </c>
      <c r="E8766" s="4" t="str">
        <f t="shared" si="774"/>
        <v>Quận Tân Phú</v>
      </c>
      <c r="F8766" s="3" t="s">
        <v>9525</v>
      </c>
      <c r="G8766" s="4" t="str">
        <f>HYPERLINK("https://diaocthongthai.com/phuong-phu-tho-hoa-quan-tan-phu/","Phường Phú Thọ Hòa")</f>
        <v>Phường Phú Thọ Hòa</v>
      </c>
    </row>
    <row r="8767" spans="1:7" x14ac:dyDescent="0.25">
      <c r="A8767" s="2">
        <v>8766</v>
      </c>
      <c r="B8767" s="3" t="s">
        <v>52</v>
      </c>
      <c r="C8767" s="4" t="str">
        <f t="shared" si="773"/>
        <v>Hồ Chí Minh</v>
      </c>
      <c r="D8767" s="3" t="s">
        <v>615</v>
      </c>
      <c r="E8767" s="4" t="str">
        <f t="shared" si="774"/>
        <v>Quận Tân Phú</v>
      </c>
      <c r="F8767" s="3" t="s">
        <v>9526</v>
      </c>
      <c r="G8767" s="4" t="str">
        <f>HYPERLINK("https://diaocthongthai.com/phuong-phu-thanh-quan-tan-phu/","Phường Phú Thạnh")</f>
        <v>Phường Phú Thạnh</v>
      </c>
    </row>
    <row r="8768" spans="1:7" x14ac:dyDescent="0.25">
      <c r="A8768" s="2">
        <v>8767</v>
      </c>
      <c r="B8768" s="3" t="s">
        <v>52</v>
      </c>
      <c r="C8768" s="4" t="str">
        <f t="shared" si="773"/>
        <v>Hồ Chí Minh</v>
      </c>
      <c r="D8768" s="3" t="s">
        <v>615</v>
      </c>
      <c r="E8768" s="4" t="str">
        <f t="shared" si="774"/>
        <v>Quận Tân Phú</v>
      </c>
      <c r="F8768" s="3" t="s">
        <v>9527</v>
      </c>
      <c r="G8768" s="4" t="str">
        <f>HYPERLINK("https://diaocthongthai.com/phuong-phu-trung-quan-tan-phu/","Phường Phú Trung")</f>
        <v>Phường Phú Trung</v>
      </c>
    </row>
    <row r="8769" spans="1:7" x14ac:dyDescent="0.25">
      <c r="A8769" s="2">
        <v>8768</v>
      </c>
      <c r="B8769" s="3" t="s">
        <v>52</v>
      </c>
      <c r="C8769" s="4" t="str">
        <f t="shared" si="773"/>
        <v>Hồ Chí Minh</v>
      </c>
      <c r="D8769" s="3" t="s">
        <v>615</v>
      </c>
      <c r="E8769" s="4" t="str">
        <f t="shared" si="774"/>
        <v>Quận Tân Phú</v>
      </c>
      <c r="F8769" s="3" t="s">
        <v>9528</v>
      </c>
      <c r="G8769" s="4" t="str">
        <f>HYPERLINK("https://diaocthongthai.com/phuong-hoa-thanh-quan-tan-phu/","Phường Hòa Thạnh")</f>
        <v>Phường Hòa Thạnh</v>
      </c>
    </row>
    <row r="8770" spans="1:7" x14ac:dyDescent="0.25">
      <c r="A8770" s="2">
        <v>8769</v>
      </c>
      <c r="B8770" s="3" t="s">
        <v>52</v>
      </c>
      <c r="C8770" s="4" t="str">
        <f t="shared" si="773"/>
        <v>Hồ Chí Minh</v>
      </c>
      <c r="D8770" s="3" t="s">
        <v>615</v>
      </c>
      <c r="E8770" s="4" t="str">
        <f t="shared" si="774"/>
        <v>Quận Tân Phú</v>
      </c>
      <c r="F8770" s="3" t="s">
        <v>9529</v>
      </c>
      <c r="G8770" s="4" t="str">
        <f>HYPERLINK("https://diaocthongthai.com/phuong-hiep-tan-quan-tan-phu/","Phường Hiệp Tân")</f>
        <v>Phường Hiệp Tân</v>
      </c>
    </row>
    <row r="8771" spans="1:7" x14ac:dyDescent="0.25">
      <c r="A8771" s="2">
        <v>8770</v>
      </c>
      <c r="B8771" s="3" t="s">
        <v>52</v>
      </c>
      <c r="C8771" s="4" t="str">
        <f t="shared" si="773"/>
        <v>Hồ Chí Minh</v>
      </c>
      <c r="D8771" s="3" t="s">
        <v>615</v>
      </c>
      <c r="E8771" s="4" t="str">
        <f t="shared" si="774"/>
        <v>Quận Tân Phú</v>
      </c>
      <c r="F8771" s="3" t="s">
        <v>9530</v>
      </c>
      <c r="G8771" s="4" t="str">
        <f>HYPERLINK("https://diaocthongthai.com/phuong-tan-thoi-hoa-quan-tan-phu/","Phường Tân Thới Hòa")</f>
        <v>Phường Tân Thới Hòa</v>
      </c>
    </row>
    <row r="8772" spans="1:7" x14ac:dyDescent="0.25">
      <c r="A8772" s="2">
        <v>8771</v>
      </c>
      <c r="B8772" s="3" t="s">
        <v>52</v>
      </c>
      <c r="C8772" s="4" t="str">
        <f t="shared" si="773"/>
        <v>Hồ Chí Minh</v>
      </c>
      <c r="D8772" s="3" t="s">
        <v>616</v>
      </c>
      <c r="E8772" s="4" t="str">
        <f t="shared" ref="E8772:E8784" si="775">HYPERLINK("https://diaocthongthai.com/ban-do-quan-phu-nhuan/","Quận Phú Nhuận")</f>
        <v>Quận Phú Nhuận</v>
      </c>
      <c r="F8772" s="3" t="s">
        <v>9531</v>
      </c>
      <c r="G8772" s="4" t="str">
        <f>HYPERLINK("https://diaocthongthai.com/phuong-4-quan-phu-nhuan/","Phường 04")</f>
        <v>Phường 04</v>
      </c>
    </row>
    <row r="8773" spans="1:7" x14ac:dyDescent="0.25">
      <c r="A8773" s="2">
        <v>8772</v>
      </c>
      <c r="B8773" s="3" t="s">
        <v>52</v>
      </c>
      <c r="C8773" s="4" t="str">
        <f t="shared" si="773"/>
        <v>Hồ Chí Minh</v>
      </c>
      <c r="D8773" s="3" t="s">
        <v>616</v>
      </c>
      <c r="E8773" s="4" t="str">
        <f t="shared" si="775"/>
        <v>Quận Phú Nhuận</v>
      </c>
      <c r="F8773" s="3" t="s">
        <v>9532</v>
      </c>
      <c r="G8773" s="4" t="str">
        <f>HYPERLINK("https://diaocthongthai.com/phuong-5-quan-phu-nhuan/","Phường 05")</f>
        <v>Phường 05</v>
      </c>
    </row>
    <row r="8774" spans="1:7" x14ac:dyDescent="0.25">
      <c r="A8774" s="2">
        <v>8773</v>
      </c>
      <c r="B8774" s="3" t="s">
        <v>52</v>
      </c>
      <c r="C8774" s="4" t="str">
        <f t="shared" si="773"/>
        <v>Hồ Chí Minh</v>
      </c>
      <c r="D8774" s="3" t="s">
        <v>616</v>
      </c>
      <c r="E8774" s="4" t="str">
        <f t="shared" si="775"/>
        <v>Quận Phú Nhuận</v>
      </c>
      <c r="F8774" s="3" t="s">
        <v>9533</v>
      </c>
      <c r="G8774" s="4" t="str">
        <f>HYPERLINK("https://diaocthongthai.com/phuong-9-quan-phu-nhuan/","Phường 09")</f>
        <v>Phường 09</v>
      </c>
    </row>
    <row r="8775" spans="1:7" x14ac:dyDescent="0.25">
      <c r="A8775" s="2">
        <v>8774</v>
      </c>
      <c r="B8775" s="3" t="s">
        <v>52</v>
      </c>
      <c r="C8775" s="4" t="str">
        <f t="shared" si="773"/>
        <v>Hồ Chí Minh</v>
      </c>
      <c r="D8775" s="3" t="s">
        <v>616</v>
      </c>
      <c r="E8775" s="4" t="str">
        <f t="shared" si="775"/>
        <v>Quận Phú Nhuận</v>
      </c>
      <c r="F8775" s="3" t="s">
        <v>9534</v>
      </c>
      <c r="G8775" s="4" t="str">
        <f>HYPERLINK("https://diaocthongthai.com/phuong-7-quan-phu-nhuan/","Phường 07")</f>
        <v>Phường 07</v>
      </c>
    </row>
    <row r="8776" spans="1:7" x14ac:dyDescent="0.25">
      <c r="A8776" s="2">
        <v>8775</v>
      </c>
      <c r="B8776" s="3" t="s">
        <v>52</v>
      </c>
      <c r="C8776" s="4" t="str">
        <f t="shared" si="773"/>
        <v>Hồ Chí Minh</v>
      </c>
      <c r="D8776" s="3" t="s">
        <v>616</v>
      </c>
      <c r="E8776" s="4" t="str">
        <f t="shared" si="775"/>
        <v>Quận Phú Nhuận</v>
      </c>
      <c r="F8776" s="3" t="s">
        <v>9535</v>
      </c>
      <c r="G8776" s="4" t="str">
        <f>HYPERLINK("https://diaocthongthai.com/phuong-3-quan-phu-nhuan/","Phường 03")</f>
        <v>Phường 03</v>
      </c>
    </row>
    <row r="8777" spans="1:7" x14ac:dyDescent="0.25">
      <c r="A8777" s="2">
        <v>8776</v>
      </c>
      <c r="B8777" s="3" t="s">
        <v>52</v>
      </c>
      <c r="C8777" s="4" t="str">
        <f t="shared" si="773"/>
        <v>Hồ Chí Minh</v>
      </c>
      <c r="D8777" s="3" t="s">
        <v>616</v>
      </c>
      <c r="E8777" s="4" t="str">
        <f t="shared" si="775"/>
        <v>Quận Phú Nhuận</v>
      </c>
      <c r="F8777" s="3" t="s">
        <v>9536</v>
      </c>
      <c r="G8777" s="4" t="str">
        <f>HYPERLINK("https://diaocthongthai.com/phuong-1-quan-phu-nhuan/","Phường 01")</f>
        <v>Phường 01</v>
      </c>
    </row>
    <row r="8778" spans="1:7" x14ac:dyDescent="0.25">
      <c r="A8778" s="2">
        <v>8777</v>
      </c>
      <c r="B8778" s="3" t="s">
        <v>52</v>
      </c>
      <c r="C8778" s="4" t="str">
        <f t="shared" si="773"/>
        <v>Hồ Chí Minh</v>
      </c>
      <c r="D8778" s="3" t="s">
        <v>616</v>
      </c>
      <c r="E8778" s="4" t="str">
        <f t="shared" si="775"/>
        <v>Quận Phú Nhuận</v>
      </c>
      <c r="F8778" s="3" t="s">
        <v>9537</v>
      </c>
      <c r="G8778" s="4" t="str">
        <f>HYPERLINK("https://diaocthongthai.com/phuong-2-quan-phu-nhuan/","Phường 02")</f>
        <v>Phường 02</v>
      </c>
    </row>
    <row r="8779" spans="1:7" x14ac:dyDescent="0.25">
      <c r="A8779" s="2">
        <v>8778</v>
      </c>
      <c r="B8779" s="3" t="s">
        <v>52</v>
      </c>
      <c r="C8779" s="4" t="str">
        <f t="shared" si="773"/>
        <v>Hồ Chí Minh</v>
      </c>
      <c r="D8779" s="3" t="s">
        <v>616</v>
      </c>
      <c r="E8779" s="4" t="str">
        <f t="shared" si="775"/>
        <v>Quận Phú Nhuận</v>
      </c>
      <c r="F8779" s="3" t="s">
        <v>9538</v>
      </c>
      <c r="G8779" s="4" t="str">
        <f>HYPERLINK("https://diaocthongthai.com/phuong-8-quan-phu-nhuan/","Phường 08")</f>
        <v>Phường 08</v>
      </c>
    </row>
    <row r="8780" spans="1:7" x14ac:dyDescent="0.25">
      <c r="A8780" s="2">
        <v>8779</v>
      </c>
      <c r="B8780" s="3" t="s">
        <v>52</v>
      </c>
      <c r="C8780" s="4" t="str">
        <f t="shared" si="773"/>
        <v>Hồ Chí Minh</v>
      </c>
      <c r="D8780" s="3" t="s">
        <v>616</v>
      </c>
      <c r="E8780" s="4" t="str">
        <f t="shared" si="775"/>
        <v>Quận Phú Nhuận</v>
      </c>
      <c r="F8780" s="3" t="s">
        <v>9539</v>
      </c>
      <c r="G8780" s="4" t="str">
        <f>HYPERLINK("https://diaocthongthai.com/phuong-15-quan-phu-nhuan/","Phường 15")</f>
        <v>Phường 15</v>
      </c>
    </row>
    <row r="8781" spans="1:7" x14ac:dyDescent="0.25">
      <c r="A8781" s="2">
        <v>8780</v>
      </c>
      <c r="B8781" s="3" t="s">
        <v>52</v>
      </c>
      <c r="C8781" s="4" t="str">
        <f t="shared" si="773"/>
        <v>Hồ Chí Minh</v>
      </c>
      <c r="D8781" s="3" t="s">
        <v>616</v>
      </c>
      <c r="E8781" s="4" t="str">
        <f t="shared" si="775"/>
        <v>Quận Phú Nhuận</v>
      </c>
      <c r="F8781" s="3" t="s">
        <v>9540</v>
      </c>
      <c r="G8781" s="4" t="str">
        <f>HYPERLINK("https://diaocthongthai.com/phuong-10-quan-phu-nhuan/","Phường 10")</f>
        <v>Phường 10</v>
      </c>
    </row>
    <row r="8782" spans="1:7" x14ac:dyDescent="0.25">
      <c r="A8782" s="2">
        <v>8781</v>
      </c>
      <c r="B8782" s="3" t="s">
        <v>52</v>
      </c>
      <c r="C8782" s="4" t="str">
        <f t="shared" si="773"/>
        <v>Hồ Chí Minh</v>
      </c>
      <c r="D8782" s="3" t="s">
        <v>616</v>
      </c>
      <c r="E8782" s="4" t="str">
        <f t="shared" si="775"/>
        <v>Quận Phú Nhuận</v>
      </c>
      <c r="F8782" s="3" t="s">
        <v>9541</v>
      </c>
      <c r="G8782" s="4" t="str">
        <f>HYPERLINK("https://diaocthongthai.com/phuong-11-quan-phu-nhuan/","Phường 11")</f>
        <v>Phường 11</v>
      </c>
    </row>
    <row r="8783" spans="1:7" x14ac:dyDescent="0.25">
      <c r="A8783" s="2">
        <v>8782</v>
      </c>
      <c r="B8783" s="3" t="s">
        <v>52</v>
      </c>
      <c r="C8783" s="4" t="str">
        <f t="shared" si="773"/>
        <v>Hồ Chí Minh</v>
      </c>
      <c r="D8783" s="3" t="s">
        <v>616</v>
      </c>
      <c r="E8783" s="4" t="str">
        <f t="shared" si="775"/>
        <v>Quận Phú Nhuận</v>
      </c>
      <c r="F8783" s="3" t="s">
        <v>9542</v>
      </c>
      <c r="G8783" s="4" t="str">
        <f>HYPERLINK("https://diaocthongthai.com/phuong-17-quan-phu-nhuan/","Phường 17")</f>
        <v>Phường 17</v>
      </c>
    </row>
    <row r="8784" spans="1:7" x14ac:dyDescent="0.25">
      <c r="A8784" s="2">
        <v>8783</v>
      </c>
      <c r="B8784" s="3" t="s">
        <v>52</v>
      </c>
      <c r="C8784" s="4" t="str">
        <f t="shared" si="773"/>
        <v>Hồ Chí Minh</v>
      </c>
      <c r="D8784" s="3" t="s">
        <v>616</v>
      </c>
      <c r="E8784" s="4" t="str">
        <f t="shared" si="775"/>
        <v>Quận Phú Nhuận</v>
      </c>
      <c r="F8784" s="3" t="s">
        <v>9543</v>
      </c>
      <c r="G8784" s="4" t="str">
        <f>HYPERLINK("https://diaocthongthai.com/phuong-13-quan-phu-nhuan/","Phường 13")</f>
        <v>Phường 13</v>
      </c>
    </row>
    <row r="8785" spans="1:7" x14ac:dyDescent="0.25">
      <c r="A8785" s="2">
        <v>8784</v>
      </c>
      <c r="B8785" s="3" t="s">
        <v>52</v>
      </c>
      <c r="C8785" s="4" t="str">
        <f t="shared" si="773"/>
        <v>Hồ Chí Minh</v>
      </c>
      <c r="D8785" s="3" t="s">
        <v>617</v>
      </c>
      <c r="E8785" s="4" t="str">
        <f t="shared" ref="E8785:E8818" si="776">HYPERLINK("https://diaocthongthai.com/ban-do-tp-thu-duc/","Thành phố Thủ Đức")</f>
        <v>Thành phố Thủ Đức</v>
      </c>
      <c r="F8785" s="3" t="s">
        <v>9544</v>
      </c>
      <c r="G8785" s="4" t="str">
        <f>HYPERLINK("https://diaocthongthai.com/phuong-linh-xuan-tp-thu-duc/","Phường Linh Xuân")</f>
        <v>Phường Linh Xuân</v>
      </c>
    </row>
    <row r="8786" spans="1:7" x14ac:dyDescent="0.25">
      <c r="A8786" s="2">
        <v>8785</v>
      </c>
      <c r="B8786" s="3" t="s">
        <v>52</v>
      </c>
      <c r="C8786" s="4" t="str">
        <f t="shared" si="773"/>
        <v>Hồ Chí Minh</v>
      </c>
      <c r="D8786" s="3" t="s">
        <v>617</v>
      </c>
      <c r="E8786" s="4" t="str">
        <f t="shared" si="776"/>
        <v>Thành phố Thủ Đức</v>
      </c>
      <c r="F8786" s="3" t="s">
        <v>9545</v>
      </c>
      <c r="G8786" s="4" t="str">
        <f>HYPERLINK("https://diaocthongthai.com/phuong-binh-chieu-tp-thu-duc/","Phường Bình Chiểu")</f>
        <v>Phường Bình Chiểu</v>
      </c>
    </row>
    <row r="8787" spans="1:7" x14ac:dyDescent="0.25">
      <c r="A8787" s="2">
        <v>8786</v>
      </c>
      <c r="B8787" s="3" t="s">
        <v>52</v>
      </c>
      <c r="C8787" s="4" t="str">
        <f t="shared" si="773"/>
        <v>Hồ Chí Minh</v>
      </c>
      <c r="D8787" s="3" t="s">
        <v>617</v>
      </c>
      <c r="E8787" s="4" t="str">
        <f t="shared" si="776"/>
        <v>Thành phố Thủ Đức</v>
      </c>
      <c r="F8787" s="3" t="s">
        <v>9546</v>
      </c>
      <c r="G8787" s="4" t="str">
        <f>HYPERLINK("https://diaocthongthai.com/phuong-linh-trung-tp-thu-duc/","Phường Linh Trung")</f>
        <v>Phường Linh Trung</v>
      </c>
    </row>
    <row r="8788" spans="1:7" x14ac:dyDescent="0.25">
      <c r="A8788" s="2">
        <v>8787</v>
      </c>
      <c r="B8788" s="3" t="s">
        <v>52</v>
      </c>
      <c r="C8788" s="4" t="str">
        <f t="shared" si="773"/>
        <v>Hồ Chí Minh</v>
      </c>
      <c r="D8788" s="3" t="s">
        <v>617</v>
      </c>
      <c r="E8788" s="4" t="str">
        <f t="shared" si="776"/>
        <v>Thành phố Thủ Đức</v>
      </c>
      <c r="F8788" s="3" t="s">
        <v>9547</v>
      </c>
      <c r="G8788" s="4" t="str">
        <f>HYPERLINK("https://diaocthongthai.com/phuong-tam-binh-tp-thu-duc/","Phường Tam Bình")</f>
        <v>Phường Tam Bình</v>
      </c>
    </row>
    <row r="8789" spans="1:7" x14ac:dyDescent="0.25">
      <c r="A8789" s="2">
        <v>8788</v>
      </c>
      <c r="B8789" s="3" t="s">
        <v>52</v>
      </c>
      <c r="C8789" s="4" t="str">
        <f t="shared" si="773"/>
        <v>Hồ Chí Minh</v>
      </c>
      <c r="D8789" s="3" t="s">
        <v>617</v>
      </c>
      <c r="E8789" s="4" t="str">
        <f t="shared" si="776"/>
        <v>Thành phố Thủ Đức</v>
      </c>
      <c r="F8789" s="3" t="s">
        <v>9548</v>
      </c>
      <c r="G8789" s="4" t="str">
        <f>HYPERLINK("https://diaocthongthai.com/phuong-tam-phu-tp-thu-duc/","Phường Tam Phú")</f>
        <v>Phường Tam Phú</v>
      </c>
    </row>
    <row r="8790" spans="1:7" x14ac:dyDescent="0.25">
      <c r="A8790" s="2">
        <v>8789</v>
      </c>
      <c r="B8790" s="3" t="s">
        <v>52</v>
      </c>
      <c r="C8790" s="4" t="str">
        <f t="shared" si="773"/>
        <v>Hồ Chí Minh</v>
      </c>
      <c r="D8790" s="3" t="s">
        <v>617</v>
      </c>
      <c r="E8790" s="4" t="str">
        <f t="shared" si="776"/>
        <v>Thành phố Thủ Đức</v>
      </c>
      <c r="F8790" s="3" t="s">
        <v>9549</v>
      </c>
      <c r="G8790" s="4" t="str">
        <f>HYPERLINK("https://diaocthongthai.com/phuong-hiep-binh-phuoc-tp-thu-duc/","Phường Hiệp Bình Phước")</f>
        <v>Phường Hiệp Bình Phước</v>
      </c>
    </row>
    <row r="8791" spans="1:7" x14ac:dyDescent="0.25">
      <c r="A8791" s="2">
        <v>8790</v>
      </c>
      <c r="B8791" s="3" t="s">
        <v>52</v>
      </c>
      <c r="C8791" s="4" t="str">
        <f t="shared" si="773"/>
        <v>Hồ Chí Minh</v>
      </c>
      <c r="D8791" s="3" t="s">
        <v>617</v>
      </c>
      <c r="E8791" s="4" t="str">
        <f t="shared" si="776"/>
        <v>Thành phố Thủ Đức</v>
      </c>
      <c r="F8791" s="3" t="s">
        <v>9550</v>
      </c>
      <c r="G8791" s="4" t="str">
        <f>HYPERLINK("https://diaocthongthai.com/phuong-hiep-binh-chanh-tp-thu-duc/","Phường Hiệp Bình Chánh")</f>
        <v>Phường Hiệp Bình Chánh</v>
      </c>
    </row>
    <row r="8792" spans="1:7" x14ac:dyDescent="0.25">
      <c r="A8792" s="2">
        <v>8791</v>
      </c>
      <c r="B8792" s="3" t="s">
        <v>52</v>
      </c>
      <c r="C8792" s="4" t="str">
        <f t="shared" si="773"/>
        <v>Hồ Chí Minh</v>
      </c>
      <c r="D8792" s="3" t="s">
        <v>617</v>
      </c>
      <c r="E8792" s="4" t="str">
        <f t="shared" si="776"/>
        <v>Thành phố Thủ Đức</v>
      </c>
      <c r="F8792" s="3" t="s">
        <v>9551</v>
      </c>
      <c r="G8792" s="4" t="str">
        <f>HYPERLINK("https://diaocthongthai.com/phuong-linh-chieu-tp-thu-duc/","Phường Linh Chiểu")</f>
        <v>Phường Linh Chiểu</v>
      </c>
    </row>
    <row r="8793" spans="1:7" x14ac:dyDescent="0.25">
      <c r="A8793" s="2">
        <v>8792</v>
      </c>
      <c r="B8793" s="3" t="s">
        <v>52</v>
      </c>
      <c r="C8793" s="4" t="str">
        <f t="shared" si="773"/>
        <v>Hồ Chí Minh</v>
      </c>
      <c r="D8793" s="3" t="s">
        <v>617</v>
      </c>
      <c r="E8793" s="4" t="str">
        <f t="shared" si="776"/>
        <v>Thành phố Thủ Đức</v>
      </c>
      <c r="F8793" s="3" t="s">
        <v>9552</v>
      </c>
      <c r="G8793" s="4" t="str">
        <f>HYPERLINK("https://diaocthongthai.com/phuong-linh-tay-tp-thu-duc/","Phường Linh Tây")</f>
        <v>Phường Linh Tây</v>
      </c>
    </row>
    <row r="8794" spans="1:7" x14ac:dyDescent="0.25">
      <c r="A8794" s="2">
        <v>8793</v>
      </c>
      <c r="B8794" s="3" t="s">
        <v>52</v>
      </c>
      <c r="C8794" s="4" t="str">
        <f t="shared" si="773"/>
        <v>Hồ Chí Minh</v>
      </c>
      <c r="D8794" s="3" t="s">
        <v>617</v>
      </c>
      <c r="E8794" s="4" t="str">
        <f t="shared" si="776"/>
        <v>Thành phố Thủ Đức</v>
      </c>
      <c r="F8794" s="3" t="s">
        <v>9553</v>
      </c>
      <c r="G8794" s="4" t="str">
        <f>HYPERLINK("https://diaocthongthai.com/phuong-linh-dong-tp-thu-duc/","Phường Linh Đông")</f>
        <v>Phường Linh Đông</v>
      </c>
    </row>
    <row r="8795" spans="1:7" x14ac:dyDescent="0.25">
      <c r="A8795" s="2">
        <v>8794</v>
      </c>
      <c r="B8795" s="3" t="s">
        <v>52</v>
      </c>
      <c r="C8795" s="4" t="str">
        <f t="shared" si="773"/>
        <v>Hồ Chí Minh</v>
      </c>
      <c r="D8795" s="3" t="s">
        <v>617</v>
      </c>
      <c r="E8795" s="4" t="str">
        <f t="shared" si="776"/>
        <v>Thành phố Thủ Đức</v>
      </c>
      <c r="F8795" s="3" t="s">
        <v>9554</v>
      </c>
      <c r="G8795" s="4" t="str">
        <f>HYPERLINK("https://diaocthongthai.com/phuong-binh-tho-tp-thu-duc/","Phường Bình Thọ")</f>
        <v>Phường Bình Thọ</v>
      </c>
    </row>
    <row r="8796" spans="1:7" x14ac:dyDescent="0.25">
      <c r="A8796" s="2">
        <v>8795</v>
      </c>
      <c r="B8796" s="3" t="s">
        <v>52</v>
      </c>
      <c r="C8796" s="4" t="str">
        <f t="shared" si="773"/>
        <v>Hồ Chí Minh</v>
      </c>
      <c r="D8796" s="3" t="s">
        <v>617</v>
      </c>
      <c r="E8796" s="4" t="str">
        <f t="shared" si="776"/>
        <v>Thành phố Thủ Đức</v>
      </c>
      <c r="F8796" s="3" t="s">
        <v>9555</v>
      </c>
      <c r="G8796" s="4" t="str">
        <f>HYPERLINK("https://diaocthongthai.com/phuong-truong-tho-tp-thu-duc/","Phường Trường Thọ")</f>
        <v>Phường Trường Thọ</v>
      </c>
    </row>
    <row r="8797" spans="1:7" x14ac:dyDescent="0.25">
      <c r="A8797" s="2">
        <v>8796</v>
      </c>
      <c r="B8797" s="3" t="s">
        <v>52</v>
      </c>
      <c r="C8797" s="4" t="str">
        <f t="shared" si="773"/>
        <v>Hồ Chí Minh</v>
      </c>
      <c r="D8797" s="3" t="s">
        <v>617</v>
      </c>
      <c r="E8797" s="4" t="str">
        <f t="shared" si="776"/>
        <v>Thành phố Thủ Đức</v>
      </c>
      <c r="F8797" s="3" t="s">
        <v>9556</v>
      </c>
      <c r="G8797" s="4" t="str">
        <f>HYPERLINK("https://diaocthongthai.com/phuong-long-binh-tp-thu-duc/","Phường Long Bình")</f>
        <v>Phường Long Bình</v>
      </c>
    </row>
    <row r="8798" spans="1:7" x14ac:dyDescent="0.25">
      <c r="A8798" s="2">
        <v>8797</v>
      </c>
      <c r="B8798" s="3" t="s">
        <v>52</v>
      </c>
      <c r="C8798" s="4" t="str">
        <f t="shared" si="773"/>
        <v>Hồ Chí Minh</v>
      </c>
      <c r="D8798" s="3" t="s">
        <v>617</v>
      </c>
      <c r="E8798" s="4" t="str">
        <f t="shared" si="776"/>
        <v>Thành phố Thủ Đức</v>
      </c>
      <c r="F8798" s="3" t="s">
        <v>9557</v>
      </c>
      <c r="G8798" s="4" t="str">
        <f>HYPERLINK("https://diaocthongthai.com/phuong-long-thanh-my-tp-thu-duc/","Phường Long Thạnh Mỹ")</f>
        <v>Phường Long Thạnh Mỹ</v>
      </c>
    </row>
    <row r="8799" spans="1:7" x14ac:dyDescent="0.25">
      <c r="A8799" s="2">
        <v>8798</v>
      </c>
      <c r="B8799" s="3" t="s">
        <v>52</v>
      </c>
      <c r="C8799" s="4" t="str">
        <f t="shared" si="773"/>
        <v>Hồ Chí Minh</v>
      </c>
      <c r="D8799" s="3" t="s">
        <v>617</v>
      </c>
      <c r="E8799" s="4" t="str">
        <f t="shared" si="776"/>
        <v>Thành phố Thủ Đức</v>
      </c>
      <c r="F8799" s="3" t="s">
        <v>9558</v>
      </c>
      <c r="G8799" s="4" t="str">
        <f>HYPERLINK("https://diaocthongthai.com/phuong-tan-phu-tp-thu-duc/","Phường Tân Phú")</f>
        <v>Phường Tân Phú</v>
      </c>
    </row>
    <row r="8800" spans="1:7" x14ac:dyDescent="0.25">
      <c r="A8800" s="2">
        <v>8799</v>
      </c>
      <c r="B8800" s="3" t="s">
        <v>52</v>
      </c>
      <c r="C8800" s="4" t="str">
        <f t="shared" si="773"/>
        <v>Hồ Chí Minh</v>
      </c>
      <c r="D8800" s="3" t="s">
        <v>617</v>
      </c>
      <c r="E8800" s="4" t="str">
        <f t="shared" si="776"/>
        <v>Thành phố Thủ Đức</v>
      </c>
      <c r="F8800" s="3" t="s">
        <v>9559</v>
      </c>
      <c r="G8800" s="4" t="str">
        <f>HYPERLINK("https://diaocthongthai.com/phuong-hiep-phu-tp-thu-duc/","Phường Hiệp Phú")</f>
        <v>Phường Hiệp Phú</v>
      </c>
    </row>
    <row r="8801" spans="1:7" x14ac:dyDescent="0.25">
      <c r="A8801" s="2">
        <v>8800</v>
      </c>
      <c r="B8801" s="3" t="s">
        <v>52</v>
      </c>
      <c r="C8801" s="4" t="str">
        <f t="shared" si="773"/>
        <v>Hồ Chí Minh</v>
      </c>
      <c r="D8801" s="3" t="s">
        <v>617</v>
      </c>
      <c r="E8801" s="4" t="str">
        <f t="shared" si="776"/>
        <v>Thành phố Thủ Đức</v>
      </c>
      <c r="F8801" s="3" t="s">
        <v>9560</v>
      </c>
      <c r="G8801" s="4" t="str">
        <f>HYPERLINK("https://diaocthongthai.com/phuong-tang-nhon-phu-a-tp-thu-duc/","Phường Tăng Nhơn Phú A")</f>
        <v>Phường Tăng Nhơn Phú A</v>
      </c>
    </row>
    <row r="8802" spans="1:7" x14ac:dyDescent="0.25">
      <c r="A8802" s="2">
        <v>8801</v>
      </c>
      <c r="B8802" s="3" t="s">
        <v>52</v>
      </c>
      <c r="C8802" s="4" t="str">
        <f t="shared" si="773"/>
        <v>Hồ Chí Minh</v>
      </c>
      <c r="D8802" s="3" t="s">
        <v>617</v>
      </c>
      <c r="E8802" s="4" t="str">
        <f t="shared" si="776"/>
        <v>Thành phố Thủ Đức</v>
      </c>
      <c r="F8802" s="3" t="s">
        <v>9561</v>
      </c>
      <c r="G8802" s="4" t="str">
        <f>HYPERLINK("https://diaocthongthai.com/phuong-tang-nhon-phu-b-tp-thu-duc/","Phường Tăng Nhơn Phú B")</f>
        <v>Phường Tăng Nhơn Phú B</v>
      </c>
    </row>
    <row r="8803" spans="1:7" x14ac:dyDescent="0.25">
      <c r="A8803" s="2">
        <v>8802</v>
      </c>
      <c r="B8803" s="3" t="s">
        <v>52</v>
      </c>
      <c r="C8803" s="4" t="str">
        <f t="shared" si="773"/>
        <v>Hồ Chí Minh</v>
      </c>
      <c r="D8803" s="3" t="s">
        <v>617</v>
      </c>
      <c r="E8803" s="4" t="str">
        <f t="shared" si="776"/>
        <v>Thành phố Thủ Đức</v>
      </c>
      <c r="F8803" s="3" t="s">
        <v>9562</v>
      </c>
      <c r="G8803" s="4" t="str">
        <f>HYPERLINK("https://diaocthongthai.com/phuong-phuoc-long-b-tp-thu-duc/","Phường Phước Long B")</f>
        <v>Phường Phước Long B</v>
      </c>
    </row>
    <row r="8804" spans="1:7" x14ac:dyDescent="0.25">
      <c r="A8804" s="2">
        <v>8803</v>
      </c>
      <c r="B8804" s="3" t="s">
        <v>52</v>
      </c>
      <c r="C8804" s="4" t="str">
        <f t="shared" si="773"/>
        <v>Hồ Chí Minh</v>
      </c>
      <c r="D8804" s="3" t="s">
        <v>617</v>
      </c>
      <c r="E8804" s="4" t="str">
        <f t="shared" si="776"/>
        <v>Thành phố Thủ Đức</v>
      </c>
      <c r="F8804" s="3" t="s">
        <v>9563</v>
      </c>
      <c r="G8804" s="4" t="str">
        <f>HYPERLINK("https://diaocthongthai.com/phuong-phuoc-long-a-tp-thu-duc/","Phường Phước Long A")</f>
        <v>Phường Phước Long A</v>
      </c>
    </row>
    <row r="8805" spans="1:7" x14ac:dyDescent="0.25">
      <c r="A8805" s="2">
        <v>8804</v>
      </c>
      <c r="B8805" s="3" t="s">
        <v>52</v>
      </c>
      <c r="C8805" s="4" t="str">
        <f t="shared" si="773"/>
        <v>Hồ Chí Minh</v>
      </c>
      <c r="D8805" s="3" t="s">
        <v>617</v>
      </c>
      <c r="E8805" s="4" t="str">
        <f t="shared" si="776"/>
        <v>Thành phố Thủ Đức</v>
      </c>
      <c r="F8805" s="3" t="s">
        <v>9564</v>
      </c>
      <c r="G8805" s="4" t="str">
        <f>HYPERLINK("https://diaocthongthai.com/phuong-truong-thanh-tp-thu-duc/","Phường Trường Thạnh")</f>
        <v>Phường Trường Thạnh</v>
      </c>
    </row>
    <row r="8806" spans="1:7" x14ac:dyDescent="0.25">
      <c r="A8806" s="2">
        <v>8805</v>
      </c>
      <c r="B8806" s="3" t="s">
        <v>52</v>
      </c>
      <c r="C8806" s="4" t="str">
        <f t="shared" si="773"/>
        <v>Hồ Chí Minh</v>
      </c>
      <c r="D8806" s="3" t="s">
        <v>617</v>
      </c>
      <c r="E8806" s="4" t="str">
        <f t="shared" si="776"/>
        <v>Thành phố Thủ Đức</v>
      </c>
      <c r="F8806" s="3" t="s">
        <v>9565</v>
      </c>
      <c r="G8806" s="4" t="str">
        <f>HYPERLINK("https://diaocthongthai.com/phuong-long-phuoc-tp-thu-duc/","Phường Long Phước")</f>
        <v>Phường Long Phước</v>
      </c>
    </row>
    <row r="8807" spans="1:7" x14ac:dyDescent="0.25">
      <c r="A8807" s="2">
        <v>8806</v>
      </c>
      <c r="B8807" s="3" t="s">
        <v>52</v>
      </c>
      <c r="C8807" s="4" t="str">
        <f t="shared" si="773"/>
        <v>Hồ Chí Minh</v>
      </c>
      <c r="D8807" s="3" t="s">
        <v>617</v>
      </c>
      <c r="E8807" s="4" t="str">
        <f t="shared" si="776"/>
        <v>Thành phố Thủ Đức</v>
      </c>
      <c r="F8807" s="3" t="s">
        <v>9566</v>
      </c>
      <c r="G8807" s="4" t="str">
        <f>HYPERLINK("https://diaocthongthai.com/phuong-long-truong-tp-thu-duc/","Phường Long Trường")</f>
        <v>Phường Long Trường</v>
      </c>
    </row>
    <row r="8808" spans="1:7" x14ac:dyDescent="0.25">
      <c r="A8808" s="2">
        <v>8807</v>
      </c>
      <c r="B8808" s="3" t="s">
        <v>52</v>
      </c>
      <c r="C8808" s="4" t="str">
        <f t="shared" si="773"/>
        <v>Hồ Chí Minh</v>
      </c>
      <c r="D8808" s="3" t="s">
        <v>617</v>
      </c>
      <c r="E8808" s="4" t="str">
        <f t="shared" si="776"/>
        <v>Thành phố Thủ Đức</v>
      </c>
      <c r="F8808" s="3" t="s">
        <v>9567</v>
      </c>
      <c r="G8808" s="4" t="str">
        <f>HYPERLINK("https://diaocthongthai.com/phuong-phuoc-binh-tp-thu-duc/","Phường Phước Bình")</f>
        <v>Phường Phước Bình</v>
      </c>
    </row>
    <row r="8809" spans="1:7" x14ac:dyDescent="0.25">
      <c r="A8809" s="2">
        <v>8808</v>
      </c>
      <c r="B8809" s="3" t="s">
        <v>52</v>
      </c>
      <c r="C8809" s="4" t="str">
        <f t="shared" si="773"/>
        <v>Hồ Chí Minh</v>
      </c>
      <c r="D8809" s="3" t="s">
        <v>617</v>
      </c>
      <c r="E8809" s="4" t="str">
        <f t="shared" si="776"/>
        <v>Thành phố Thủ Đức</v>
      </c>
      <c r="F8809" s="3" t="s">
        <v>9568</v>
      </c>
      <c r="G8809" s="4" t="str">
        <f>HYPERLINK("https://diaocthongthai.com/phuong-phu-huu-tp-thu-duc/","Phường Phú Hữu")</f>
        <v>Phường Phú Hữu</v>
      </c>
    </row>
    <row r="8810" spans="1:7" x14ac:dyDescent="0.25">
      <c r="A8810" s="2">
        <v>8809</v>
      </c>
      <c r="B8810" s="3" t="s">
        <v>52</v>
      </c>
      <c r="C8810" s="4" t="str">
        <f t="shared" si="773"/>
        <v>Hồ Chí Minh</v>
      </c>
      <c r="D8810" s="3" t="s">
        <v>617</v>
      </c>
      <c r="E8810" s="4" t="str">
        <f t="shared" si="776"/>
        <v>Thành phố Thủ Đức</v>
      </c>
      <c r="F8810" s="3" t="s">
        <v>9569</v>
      </c>
      <c r="G8810" s="4" t="str">
        <f>HYPERLINK("https://diaocthongthai.com/phuong-thao-dien-tp-thu-duc/","Phường Thảo Điền")</f>
        <v>Phường Thảo Điền</v>
      </c>
    </row>
    <row r="8811" spans="1:7" x14ac:dyDescent="0.25">
      <c r="A8811" s="2">
        <v>8810</v>
      </c>
      <c r="B8811" s="3" t="s">
        <v>52</v>
      </c>
      <c r="C8811" s="4" t="str">
        <f t="shared" si="773"/>
        <v>Hồ Chí Minh</v>
      </c>
      <c r="D8811" s="3" t="s">
        <v>617</v>
      </c>
      <c r="E8811" s="4" t="str">
        <f t="shared" si="776"/>
        <v>Thành phố Thủ Đức</v>
      </c>
      <c r="F8811" s="3" t="s">
        <v>9570</v>
      </c>
      <c r="G8811" s="4" t="str">
        <f>HYPERLINK("https://diaocthongthai.com/phuong-an-phu-tp-thu-duc/","Phường An Phú")</f>
        <v>Phường An Phú</v>
      </c>
    </row>
    <row r="8812" spans="1:7" x14ac:dyDescent="0.25">
      <c r="A8812" s="2">
        <v>8811</v>
      </c>
      <c r="B8812" s="3" t="s">
        <v>52</v>
      </c>
      <c r="C8812" s="4" t="str">
        <f t="shared" si="773"/>
        <v>Hồ Chí Minh</v>
      </c>
      <c r="D8812" s="3" t="s">
        <v>617</v>
      </c>
      <c r="E8812" s="4" t="str">
        <f t="shared" si="776"/>
        <v>Thành phố Thủ Đức</v>
      </c>
      <c r="F8812" s="3" t="s">
        <v>9571</v>
      </c>
      <c r="G8812" s="4" t="str">
        <f>HYPERLINK("https://diaocthongthai.com/phuong-an-khanh-tp-thu-duc/","Phường An Khánh")</f>
        <v>Phường An Khánh</v>
      </c>
    </row>
    <row r="8813" spans="1:7" x14ac:dyDescent="0.25">
      <c r="A8813" s="2">
        <v>8812</v>
      </c>
      <c r="B8813" s="3" t="s">
        <v>52</v>
      </c>
      <c r="C8813" s="4" t="str">
        <f t="shared" si="773"/>
        <v>Hồ Chí Minh</v>
      </c>
      <c r="D8813" s="3" t="s">
        <v>617</v>
      </c>
      <c r="E8813" s="4" t="str">
        <f t="shared" si="776"/>
        <v>Thành phố Thủ Đức</v>
      </c>
      <c r="F8813" s="3" t="s">
        <v>9572</v>
      </c>
      <c r="G8813" s="4" t="str">
        <f>HYPERLINK("https://diaocthongthai.com/phuong-binh-trung-dong-tp-thu-duc/","Phường Bình Trưng Đông")</f>
        <v>Phường Bình Trưng Đông</v>
      </c>
    </row>
    <row r="8814" spans="1:7" x14ac:dyDescent="0.25">
      <c r="A8814" s="2">
        <v>8813</v>
      </c>
      <c r="B8814" s="3" t="s">
        <v>52</v>
      </c>
      <c r="C8814" s="4" t="str">
        <f t="shared" si="773"/>
        <v>Hồ Chí Minh</v>
      </c>
      <c r="D8814" s="3" t="s">
        <v>617</v>
      </c>
      <c r="E8814" s="4" t="str">
        <f t="shared" si="776"/>
        <v>Thành phố Thủ Đức</v>
      </c>
      <c r="F8814" s="3" t="s">
        <v>9573</v>
      </c>
      <c r="G8814" s="4" t="str">
        <f>HYPERLINK("https://diaocthongthai.com/phuong-binh-trung-tay-tp-thu-duc/","Phường Bình Trưng Tây")</f>
        <v>Phường Bình Trưng Tây</v>
      </c>
    </row>
    <row r="8815" spans="1:7" x14ac:dyDescent="0.25">
      <c r="A8815" s="2">
        <v>8814</v>
      </c>
      <c r="B8815" s="3" t="s">
        <v>52</v>
      </c>
      <c r="C8815" s="4" t="str">
        <f t="shared" si="773"/>
        <v>Hồ Chí Minh</v>
      </c>
      <c r="D8815" s="3" t="s">
        <v>617</v>
      </c>
      <c r="E8815" s="4" t="str">
        <f t="shared" si="776"/>
        <v>Thành phố Thủ Đức</v>
      </c>
      <c r="F8815" s="3" t="s">
        <v>9574</v>
      </c>
      <c r="G8815" s="4" t="str">
        <f>HYPERLINK("https://diaocthongthai.com/phuong-cat-lai-tp-thu-duc/","Phường Cát Lái")</f>
        <v>Phường Cát Lái</v>
      </c>
    </row>
    <row r="8816" spans="1:7" x14ac:dyDescent="0.25">
      <c r="A8816" s="2">
        <v>8815</v>
      </c>
      <c r="B8816" s="3" t="s">
        <v>52</v>
      </c>
      <c r="C8816" s="4" t="str">
        <f t="shared" si="773"/>
        <v>Hồ Chí Minh</v>
      </c>
      <c r="D8816" s="3" t="s">
        <v>617</v>
      </c>
      <c r="E8816" s="4" t="str">
        <f t="shared" si="776"/>
        <v>Thành phố Thủ Đức</v>
      </c>
      <c r="F8816" s="3" t="s">
        <v>9575</v>
      </c>
      <c r="G8816" s="4" t="str">
        <f>HYPERLINK("https://diaocthongthai.com/phuong-thanh-my-loi-tp-thu-duc/","Phường Thạnh Mỹ Lợi")</f>
        <v>Phường Thạnh Mỹ Lợi</v>
      </c>
    </row>
    <row r="8817" spans="1:7" x14ac:dyDescent="0.25">
      <c r="A8817" s="2">
        <v>8816</v>
      </c>
      <c r="B8817" s="3" t="s">
        <v>52</v>
      </c>
      <c r="C8817" s="4" t="str">
        <f t="shared" ref="C8817:C8880" si="777">HYPERLINK("https://diaocthongthai.com/ban-do-cac-quan-tp-hcm/","Hồ Chí Minh")</f>
        <v>Hồ Chí Minh</v>
      </c>
      <c r="D8817" s="3" t="s">
        <v>617</v>
      </c>
      <c r="E8817" s="4" t="str">
        <f t="shared" si="776"/>
        <v>Thành phố Thủ Đức</v>
      </c>
      <c r="F8817" s="3" t="s">
        <v>9576</v>
      </c>
      <c r="G8817" s="4" t="str">
        <f>HYPERLINK("https://diaocthongthai.com/phuong-an-loi-dong-tp-thu-duc/","Phường An Lợi Đông")</f>
        <v>Phường An Lợi Đông</v>
      </c>
    </row>
    <row r="8818" spans="1:7" x14ac:dyDescent="0.25">
      <c r="A8818" s="2">
        <v>8817</v>
      </c>
      <c r="B8818" s="3" t="s">
        <v>52</v>
      </c>
      <c r="C8818" s="4" t="str">
        <f t="shared" si="777"/>
        <v>Hồ Chí Minh</v>
      </c>
      <c r="D8818" s="3" t="s">
        <v>617</v>
      </c>
      <c r="E8818" s="4" t="str">
        <f t="shared" si="776"/>
        <v>Thành phố Thủ Đức</v>
      </c>
      <c r="F8818" s="3" t="s">
        <v>9577</v>
      </c>
      <c r="G8818" s="4" t="str">
        <f>HYPERLINK("https://diaocthongthai.com/phuong-thu-thiem-tp-thu-duc/","Phường Thủ Thiêm")</f>
        <v>Phường Thủ Thiêm</v>
      </c>
    </row>
    <row r="8819" spans="1:7" x14ac:dyDescent="0.25">
      <c r="A8819" s="2">
        <v>8818</v>
      </c>
      <c r="B8819" s="3" t="s">
        <v>52</v>
      </c>
      <c r="C8819" s="4" t="str">
        <f t="shared" si="777"/>
        <v>Hồ Chí Minh</v>
      </c>
      <c r="D8819" s="3" t="s">
        <v>618</v>
      </c>
      <c r="E8819" s="4" t="str">
        <f t="shared" ref="E8819:E8830" si="778">HYPERLINK("https://diaocthongthai.com/ban-do-quan-3/","Quận 3")</f>
        <v>Quận 3</v>
      </c>
      <c r="F8819" s="3" t="s">
        <v>9578</v>
      </c>
      <c r="G8819" s="4" t="str">
        <f>HYPERLINK("https://diaocthongthai.com/phuong-14-quan-3/","Phường 14")</f>
        <v>Phường 14</v>
      </c>
    </row>
    <row r="8820" spans="1:7" x14ac:dyDescent="0.25">
      <c r="A8820" s="2">
        <v>8819</v>
      </c>
      <c r="B8820" s="3" t="s">
        <v>52</v>
      </c>
      <c r="C8820" s="4" t="str">
        <f t="shared" si="777"/>
        <v>Hồ Chí Minh</v>
      </c>
      <c r="D8820" s="3" t="s">
        <v>618</v>
      </c>
      <c r="E8820" s="4" t="str">
        <f t="shared" si="778"/>
        <v>Quận 3</v>
      </c>
      <c r="F8820" s="3" t="s">
        <v>9579</v>
      </c>
      <c r="G8820" s="4" t="str">
        <f>HYPERLINK("https://diaocthongthai.com/phuong-12-quan-3/","Phường 12")</f>
        <v>Phường 12</v>
      </c>
    </row>
    <row r="8821" spans="1:7" x14ac:dyDescent="0.25">
      <c r="A8821" s="2">
        <v>8820</v>
      </c>
      <c r="B8821" s="3" t="s">
        <v>52</v>
      </c>
      <c r="C8821" s="4" t="str">
        <f t="shared" si="777"/>
        <v>Hồ Chí Minh</v>
      </c>
      <c r="D8821" s="3" t="s">
        <v>618</v>
      </c>
      <c r="E8821" s="4" t="str">
        <f t="shared" si="778"/>
        <v>Quận 3</v>
      </c>
      <c r="F8821" s="3" t="s">
        <v>9580</v>
      </c>
      <c r="G8821" s="4" t="str">
        <f>HYPERLINK("https://diaocthongthai.com/phuong-11-quan-3/","Phường 11")</f>
        <v>Phường 11</v>
      </c>
    </row>
    <row r="8822" spans="1:7" x14ac:dyDescent="0.25">
      <c r="A8822" s="2">
        <v>8821</v>
      </c>
      <c r="B8822" s="3" t="s">
        <v>52</v>
      </c>
      <c r="C8822" s="4" t="str">
        <f t="shared" si="777"/>
        <v>Hồ Chí Minh</v>
      </c>
      <c r="D8822" s="3" t="s">
        <v>618</v>
      </c>
      <c r="E8822" s="4" t="str">
        <f t="shared" si="778"/>
        <v>Quận 3</v>
      </c>
      <c r="F8822" s="3" t="s">
        <v>9581</v>
      </c>
      <c r="G8822" s="4" t="str">
        <f>HYPERLINK("https://diaocthongthai.com/phuong-13-quan-3/","Phường 13")</f>
        <v>Phường 13</v>
      </c>
    </row>
    <row r="8823" spans="1:7" x14ac:dyDescent="0.25">
      <c r="A8823" s="2">
        <v>8822</v>
      </c>
      <c r="B8823" s="3" t="s">
        <v>52</v>
      </c>
      <c r="C8823" s="4" t="str">
        <f t="shared" si="777"/>
        <v>Hồ Chí Minh</v>
      </c>
      <c r="D8823" s="3" t="s">
        <v>618</v>
      </c>
      <c r="E8823" s="4" t="str">
        <f t="shared" si="778"/>
        <v>Quận 3</v>
      </c>
      <c r="F8823" s="3" t="s">
        <v>9582</v>
      </c>
      <c r="G8823" s="4" t="str">
        <f>HYPERLINK("https://diaocthongthai.com/phuong-vo-thi-sau-quan-3/","Phường Võ Thị Sáu")</f>
        <v>Phường Võ Thị Sáu</v>
      </c>
    </row>
    <row r="8824" spans="1:7" x14ac:dyDescent="0.25">
      <c r="A8824" s="2">
        <v>8823</v>
      </c>
      <c r="B8824" s="3" t="s">
        <v>52</v>
      </c>
      <c r="C8824" s="4" t="str">
        <f t="shared" si="777"/>
        <v>Hồ Chí Minh</v>
      </c>
      <c r="D8824" s="3" t="s">
        <v>618</v>
      </c>
      <c r="E8824" s="4" t="str">
        <f t="shared" si="778"/>
        <v>Quận 3</v>
      </c>
      <c r="F8824" s="3" t="s">
        <v>9583</v>
      </c>
      <c r="G8824" s="4" t="str">
        <f>HYPERLINK("https://diaocthongthai.com/phuong-9-quan-3/","Phường 09")</f>
        <v>Phường 09</v>
      </c>
    </row>
    <row r="8825" spans="1:7" x14ac:dyDescent="0.25">
      <c r="A8825" s="2">
        <v>8824</v>
      </c>
      <c r="B8825" s="3" t="s">
        <v>52</v>
      </c>
      <c r="C8825" s="4" t="str">
        <f t="shared" si="777"/>
        <v>Hồ Chí Minh</v>
      </c>
      <c r="D8825" s="3" t="s">
        <v>618</v>
      </c>
      <c r="E8825" s="4" t="str">
        <f t="shared" si="778"/>
        <v>Quận 3</v>
      </c>
      <c r="F8825" s="3" t="s">
        <v>9584</v>
      </c>
      <c r="G8825" s="4" t="str">
        <f>HYPERLINK("https://diaocthongthai.com/phuong-10-quan-3/","Phường 10")</f>
        <v>Phường 10</v>
      </c>
    </row>
    <row r="8826" spans="1:7" x14ac:dyDescent="0.25">
      <c r="A8826" s="2">
        <v>8825</v>
      </c>
      <c r="B8826" s="3" t="s">
        <v>52</v>
      </c>
      <c r="C8826" s="4" t="str">
        <f t="shared" si="777"/>
        <v>Hồ Chí Minh</v>
      </c>
      <c r="D8826" s="3" t="s">
        <v>618</v>
      </c>
      <c r="E8826" s="4" t="str">
        <f t="shared" si="778"/>
        <v>Quận 3</v>
      </c>
      <c r="F8826" s="3" t="s">
        <v>9585</v>
      </c>
      <c r="G8826" s="4" t="str">
        <f>HYPERLINK("https://diaocthongthai.com/phuong-4-quan-3/","Phường 04")</f>
        <v>Phường 04</v>
      </c>
    </row>
    <row r="8827" spans="1:7" x14ac:dyDescent="0.25">
      <c r="A8827" s="2">
        <v>8826</v>
      </c>
      <c r="B8827" s="3" t="s">
        <v>52</v>
      </c>
      <c r="C8827" s="4" t="str">
        <f t="shared" si="777"/>
        <v>Hồ Chí Minh</v>
      </c>
      <c r="D8827" s="3" t="s">
        <v>618</v>
      </c>
      <c r="E8827" s="4" t="str">
        <f t="shared" si="778"/>
        <v>Quận 3</v>
      </c>
      <c r="F8827" s="3" t="s">
        <v>9586</v>
      </c>
      <c r="G8827" s="4" t="str">
        <f>HYPERLINK("https://diaocthongthai.com/phuong-5-quan-3/","Phường 05")</f>
        <v>Phường 05</v>
      </c>
    </row>
    <row r="8828" spans="1:7" x14ac:dyDescent="0.25">
      <c r="A8828" s="2">
        <v>8827</v>
      </c>
      <c r="B8828" s="3" t="s">
        <v>52</v>
      </c>
      <c r="C8828" s="4" t="str">
        <f t="shared" si="777"/>
        <v>Hồ Chí Minh</v>
      </c>
      <c r="D8828" s="3" t="s">
        <v>618</v>
      </c>
      <c r="E8828" s="4" t="str">
        <f t="shared" si="778"/>
        <v>Quận 3</v>
      </c>
      <c r="F8828" s="3" t="s">
        <v>9587</v>
      </c>
      <c r="G8828" s="4" t="str">
        <f>HYPERLINK("https://diaocthongthai.com/phuong-3-quan-3/","Phường 03")</f>
        <v>Phường 03</v>
      </c>
    </row>
    <row r="8829" spans="1:7" x14ac:dyDescent="0.25">
      <c r="A8829" s="2">
        <v>8828</v>
      </c>
      <c r="B8829" s="3" t="s">
        <v>52</v>
      </c>
      <c r="C8829" s="4" t="str">
        <f t="shared" si="777"/>
        <v>Hồ Chí Minh</v>
      </c>
      <c r="D8829" s="3" t="s">
        <v>618</v>
      </c>
      <c r="E8829" s="4" t="str">
        <f t="shared" si="778"/>
        <v>Quận 3</v>
      </c>
      <c r="F8829" s="3" t="s">
        <v>9588</v>
      </c>
      <c r="G8829" s="4" t="str">
        <f>HYPERLINK("https://diaocthongthai.com/phuong-2-quan-3/","Phường 02")</f>
        <v>Phường 02</v>
      </c>
    </row>
    <row r="8830" spans="1:7" x14ac:dyDescent="0.25">
      <c r="A8830" s="2">
        <v>8829</v>
      </c>
      <c r="B8830" s="3" t="s">
        <v>52</v>
      </c>
      <c r="C8830" s="4" t="str">
        <f t="shared" si="777"/>
        <v>Hồ Chí Minh</v>
      </c>
      <c r="D8830" s="3" t="s">
        <v>618</v>
      </c>
      <c r="E8830" s="4" t="str">
        <f t="shared" si="778"/>
        <v>Quận 3</v>
      </c>
      <c r="F8830" s="3" t="s">
        <v>9589</v>
      </c>
      <c r="G8830" s="4" t="str">
        <f>HYPERLINK("https://diaocthongthai.com/phuong-1-quan-3/","Phường 01")</f>
        <v>Phường 01</v>
      </c>
    </row>
    <row r="8831" spans="1:7" x14ac:dyDescent="0.25">
      <c r="A8831" s="2">
        <v>8830</v>
      </c>
      <c r="B8831" s="3" t="s">
        <v>52</v>
      </c>
      <c r="C8831" s="4" t="str">
        <f t="shared" si="777"/>
        <v>Hồ Chí Minh</v>
      </c>
      <c r="D8831" s="3" t="s">
        <v>619</v>
      </c>
      <c r="E8831" s="4" t="str">
        <f t="shared" ref="E8831:E8844" si="779">HYPERLINK("https://diaocthongthai.com/ban-do-quan-10/","Quận 10")</f>
        <v>Quận 10</v>
      </c>
      <c r="F8831" s="3" t="s">
        <v>9590</v>
      </c>
      <c r="G8831" s="4" t="str">
        <f>HYPERLINK("https://diaocthongthai.com/phuong-15-quan-10/","Phường 15")</f>
        <v>Phường 15</v>
      </c>
    </row>
    <row r="8832" spans="1:7" x14ac:dyDescent="0.25">
      <c r="A8832" s="2">
        <v>8831</v>
      </c>
      <c r="B8832" s="3" t="s">
        <v>52</v>
      </c>
      <c r="C8832" s="4" t="str">
        <f t="shared" si="777"/>
        <v>Hồ Chí Minh</v>
      </c>
      <c r="D8832" s="3" t="s">
        <v>619</v>
      </c>
      <c r="E8832" s="4" t="str">
        <f t="shared" si="779"/>
        <v>Quận 10</v>
      </c>
      <c r="F8832" s="3" t="s">
        <v>9591</v>
      </c>
      <c r="G8832" s="4" t="str">
        <f>HYPERLINK("https://diaocthongthai.com/phuong-13-quan-10/","Phường 13")</f>
        <v>Phường 13</v>
      </c>
    </row>
    <row r="8833" spans="1:7" x14ac:dyDescent="0.25">
      <c r="A8833" s="2">
        <v>8832</v>
      </c>
      <c r="B8833" s="3" t="s">
        <v>52</v>
      </c>
      <c r="C8833" s="4" t="str">
        <f t="shared" si="777"/>
        <v>Hồ Chí Minh</v>
      </c>
      <c r="D8833" s="3" t="s">
        <v>619</v>
      </c>
      <c r="E8833" s="4" t="str">
        <f t="shared" si="779"/>
        <v>Quận 10</v>
      </c>
      <c r="F8833" s="3" t="s">
        <v>9592</v>
      </c>
      <c r="G8833" s="4" t="str">
        <f>HYPERLINK("https://diaocthongthai.com/phuong-14-quan-10/","Phường 14")</f>
        <v>Phường 14</v>
      </c>
    </row>
    <row r="8834" spans="1:7" x14ac:dyDescent="0.25">
      <c r="A8834" s="2">
        <v>8833</v>
      </c>
      <c r="B8834" s="3" t="s">
        <v>52</v>
      </c>
      <c r="C8834" s="4" t="str">
        <f t="shared" si="777"/>
        <v>Hồ Chí Minh</v>
      </c>
      <c r="D8834" s="3" t="s">
        <v>619</v>
      </c>
      <c r="E8834" s="4" t="str">
        <f t="shared" si="779"/>
        <v>Quận 10</v>
      </c>
      <c r="F8834" s="3" t="s">
        <v>9593</v>
      </c>
      <c r="G8834" s="4" t="str">
        <f>HYPERLINK("https://diaocthongthai.com/phuong-12-quan-10/","Phường 12")</f>
        <v>Phường 12</v>
      </c>
    </row>
    <row r="8835" spans="1:7" x14ac:dyDescent="0.25">
      <c r="A8835" s="2">
        <v>8834</v>
      </c>
      <c r="B8835" s="3" t="s">
        <v>52</v>
      </c>
      <c r="C8835" s="4" t="str">
        <f t="shared" si="777"/>
        <v>Hồ Chí Minh</v>
      </c>
      <c r="D8835" s="3" t="s">
        <v>619</v>
      </c>
      <c r="E8835" s="4" t="str">
        <f t="shared" si="779"/>
        <v>Quận 10</v>
      </c>
      <c r="F8835" s="3" t="s">
        <v>9594</v>
      </c>
      <c r="G8835" s="4" t="str">
        <f>HYPERLINK("https://diaocthongthai.com/phuong-11-quan-10/","Phường 11")</f>
        <v>Phường 11</v>
      </c>
    </row>
    <row r="8836" spans="1:7" x14ac:dyDescent="0.25">
      <c r="A8836" s="2">
        <v>8835</v>
      </c>
      <c r="B8836" s="3" t="s">
        <v>52</v>
      </c>
      <c r="C8836" s="4" t="str">
        <f t="shared" si="777"/>
        <v>Hồ Chí Minh</v>
      </c>
      <c r="D8836" s="3" t="s">
        <v>619</v>
      </c>
      <c r="E8836" s="4" t="str">
        <f t="shared" si="779"/>
        <v>Quận 10</v>
      </c>
      <c r="F8836" s="3" t="s">
        <v>9595</v>
      </c>
      <c r="G8836" s="4" t="str">
        <f>HYPERLINK("https://diaocthongthai.com/phuong-10-quan-10/","Phường 10")</f>
        <v>Phường 10</v>
      </c>
    </row>
    <row r="8837" spans="1:7" x14ac:dyDescent="0.25">
      <c r="A8837" s="2">
        <v>8836</v>
      </c>
      <c r="B8837" s="3" t="s">
        <v>52</v>
      </c>
      <c r="C8837" s="4" t="str">
        <f t="shared" si="777"/>
        <v>Hồ Chí Minh</v>
      </c>
      <c r="D8837" s="3" t="s">
        <v>619</v>
      </c>
      <c r="E8837" s="4" t="str">
        <f t="shared" si="779"/>
        <v>Quận 10</v>
      </c>
      <c r="F8837" s="3" t="s">
        <v>9596</v>
      </c>
      <c r="G8837" s="4" t="str">
        <f>HYPERLINK("https://diaocthongthai.com/phuong-9-quan-10/","Phường 09")</f>
        <v>Phường 09</v>
      </c>
    </row>
    <row r="8838" spans="1:7" x14ac:dyDescent="0.25">
      <c r="A8838" s="2">
        <v>8837</v>
      </c>
      <c r="B8838" s="3" t="s">
        <v>52</v>
      </c>
      <c r="C8838" s="4" t="str">
        <f t="shared" si="777"/>
        <v>Hồ Chí Minh</v>
      </c>
      <c r="D8838" s="3" t="s">
        <v>619</v>
      </c>
      <c r="E8838" s="4" t="str">
        <f t="shared" si="779"/>
        <v>Quận 10</v>
      </c>
      <c r="F8838" s="3" t="s">
        <v>9597</v>
      </c>
      <c r="G8838" s="4" t="str">
        <f>HYPERLINK("https://diaocthongthai.com/phuong-1-quan-10/","Phường 01")</f>
        <v>Phường 01</v>
      </c>
    </row>
    <row r="8839" spans="1:7" x14ac:dyDescent="0.25">
      <c r="A8839" s="2">
        <v>8838</v>
      </c>
      <c r="B8839" s="3" t="s">
        <v>52</v>
      </c>
      <c r="C8839" s="4" t="str">
        <f t="shared" si="777"/>
        <v>Hồ Chí Minh</v>
      </c>
      <c r="D8839" s="3" t="s">
        <v>619</v>
      </c>
      <c r="E8839" s="4" t="str">
        <f t="shared" si="779"/>
        <v>Quận 10</v>
      </c>
      <c r="F8839" s="3" t="s">
        <v>9598</v>
      </c>
      <c r="G8839" s="4" t="str">
        <f>HYPERLINK("https://diaocthongthai.com/phuong-8-quan-10/","Phường 08")</f>
        <v>Phường 08</v>
      </c>
    </row>
    <row r="8840" spans="1:7" x14ac:dyDescent="0.25">
      <c r="A8840" s="2">
        <v>8839</v>
      </c>
      <c r="B8840" s="3" t="s">
        <v>52</v>
      </c>
      <c r="C8840" s="4" t="str">
        <f t="shared" si="777"/>
        <v>Hồ Chí Minh</v>
      </c>
      <c r="D8840" s="3" t="s">
        <v>619</v>
      </c>
      <c r="E8840" s="4" t="str">
        <f t="shared" si="779"/>
        <v>Quận 10</v>
      </c>
      <c r="F8840" s="3" t="s">
        <v>9599</v>
      </c>
      <c r="G8840" s="4" t="str">
        <f>HYPERLINK("https://diaocthongthai.com/phuong-2-quan-10/","Phường 02")</f>
        <v>Phường 02</v>
      </c>
    </row>
    <row r="8841" spans="1:7" x14ac:dyDescent="0.25">
      <c r="A8841" s="2">
        <v>8840</v>
      </c>
      <c r="B8841" s="3" t="s">
        <v>52</v>
      </c>
      <c r="C8841" s="4" t="str">
        <f t="shared" si="777"/>
        <v>Hồ Chí Minh</v>
      </c>
      <c r="D8841" s="3" t="s">
        <v>619</v>
      </c>
      <c r="E8841" s="4" t="str">
        <f t="shared" si="779"/>
        <v>Quận 10</v>
      </c>
      <c r="F8841" s="3" t="s">
        <v>9600</v>
      </c>
      <c r="G8841" s="4" t="str">
        <f>HYPERLINK("https://diaocthongthai.com/phuong-4-quan-10/","Phường 04")</f>
        <v>Phường 04</v>
      </c>
    </row>
    <row r="8842" spans="1:7" x14ac:dyDescent="0.25">
      <c r="A8842" s="2">
        <v>8841</v>
      </c>
      <c r="B8842" s="3" t="s">
        <v>52</v>
      </c>
      <c r="C8842" s="4" t="str">
        <f t="shared" si="777"/>
        <v>Hồ Chí Minh</v>
      </c>
      <c r="D8842" s="3" t="s">
        <v>619</v>
      </c>
      <c r="E8842" s="4" t="str">
        <f t="shared" si="779"/>
        <v>Quận 10</v>
      </c>
      <c r="F8842" s="3" t="s">
        <v>9601</v>
      </c>
      <c r="G8842" s="4" t="str">
        <f>HYPERLINK("https://diaocthongthai.com/phuong-7-quan-10/","Phường 07")</f>
        <v>Phường 07</v>
      </c>
    </row>
    <row r="8843" spans="1:7" x14ac:dyDescent="0.25">
      <c r="A8843" s="2">
        <v>8842</v>
      </c>
      <c r="B8843" s="3" t="s">
        <v>52</v>
      </c>
      <c r="C8843" s="4" t="str">
        <f t="shared" si="777"/>
        <v>Hồ Chí Minh</v>
      </c>
      <c r="D8843" s="3" t="s">
        <v>619</v>
      </c>
      <c r="E8843" s="4" t="str">
        <f t="shared" si="779"/>
        <v>Quận 10</v>
      </c>
      <c r="F8843" s="3" t="s">
        <v>9602</v>
      </c>
      <c r="G8843" s="4" t="str">
        <f>HYPERLINK("https://diaocthongthai.com/phuong-5-quan-10/","Phường 05")</f>
        <v>Phường 05</v>
      </c>
    </row>
    <row r="8844" spans="1:7" x14ac:dyDescent="0.25">
      <c r="A8844" s="2">
        <v>8843</v>
      </c>
      <c r="B8844" s="3" t="s">
        <v>52</v>
      </c>
      <c r="C8844" s="4" t="str">
        <f t="shared" si="777"/>
        <v>Hồ Chí Minh</v>
      </c>
      <c r="D8844" s="3" t="s">
        <v>619</v>
      </c>
      <c r="E8844" s="4" t="str">
        <f t="shared" si="779"/>
        <v>Quận 10</v>
      </c>
      <c r="F8844" s="3" t="s">
        <v>9603</v>
      </c>
      <c r="G8844" s="4" t="str">
        <f>HYPERLINK("https://diaocthongthai.com/phuong-6-quan-10/","Phường 06")</f>
        <v>Phường 06</v>
      </c>
    </row>
    <row r="8845" spans="1:7" x14ac:dyDescent="0.25">
      <c r="A8845" s="2">
        <v>8844</v>
      </c>
      <c r="B8845" s="3" t="s">
        <v>52</v>
      </c>
      <c r="C8845" s="4" t="str">
        <f t="shared" si="777"/>
        <v>Hồ Chí Minh</v>
      </c>
      <c r="D8845" s="3" t="s">
        <v>620</v>
      </c>
      <c r="E8845" s="4" t="str">
        <f t="shared" ref="E8845:E8860" si="780">HYPERLINK("https://diaocthongthai.com/ban-do-quan-11/","Quận 11")</f>
        <v>Quận 11</v>
      </c>
      <c r="F8845" s="3" t="s">
        <v>9604</v>
      </c>
      <c r="G8845" s="4" t="str">
        <f>HYPERLINK("https://diaocthongthai.com/phuong-15-quan-11/","Phường 15")</f>
        <v>Phường 15</v>
      </c>
    </row>
    <row r="8846" spans="1:7" x14ac:dyDescent="0.25">
      <c r="A8846" s="2">
        <v>8845</v>
      </c>
      <c r="B8846" s="3" t="s">
        <v>52</v>
      </c>
      <c r="C8846" s="4" t="str">
        <f t="shared" si="777"/>
        <v>Hồ Chí Minh</v>
      </c>
      <c r="D8846" s="3" t="s">
        <v>620</v>
      </c>
      <c r="E8846" s="4" t="str">
        <f t="shared" si="780"/>
        <v>Quận 11</v>
      </c>
      <c r="F8846" s="3" t="s">
        <v>9605</v>
      </c>
      <c r="G8846" s="4" t="str">
        <f>HYPERLINK("https://diaocthongthai.com/phuong-5-quan-11/","Phường 05")</f>
        <v>Phường 05</v>
      </c>
    </row>
    <row r="8847" spans="1:7" x14ac:dyDescent="0.25">
      <c r="A8847" s="2">
        <v>8846</v>
      </c>
      <c r="B8847" s="3" t="s">
        <v>52</v>
      </c>
      <c r="C8847" s="4" t="str">
        <f t="shared" si="777"/>
        <v>Hồ Chí Minh</v>
      </c>
      <c r="D8847" s="3" t="s">
        <v>620</v>
      </c>
      <c r="E8847" s="4" t="str">
        <f t="shared" si="780"/>
        <v>Quận 11</v>
      </c>
      <c r="F8847" s="3" t="s">
        <v>9606</v>
      </c>
      <c r="G8847" s="4" t="str">
        <f>HYPERLINK("https://diaocthongthai.com/phuong-14-quan-11/","Phường 14")</f>
        <v>Phường 14</v>
      </c>
    </row>
    <row r="8848" spans="1:7" x14ac:dyDescent="0.25">
      <c r="A8848" s="2">
        <v>8847</v>
      </c>
      <c r="B8848" s="3" t="s">
        <v>52</v>
      </c>
      <c r="C8848" s="4" t="str">
        <f t="shared" si="777"/>
        <v>Hồ Chí Minh</v>
      </c>
      <c r="D8848" s="3" t="s">
        <v>620</v>
      </c>
      <c r="E8848" s="4" t="str">
        <f t="shared" si="780"/>
        <v>Quận 11</v>
      </c>
      <c r="F8848" s="3" t="s">
        <v>9607</v>
      </c>
      <c r="G8848" s="4" t="str">
        <f>HYPERLINK("https://diaocthongthai.com/phuong-11-quan-11/","Phường 11")</f>
        <v>Phường 11</v>
      </c>
    </row>
    <row r="8849" spans="1:7" x14ac:dyDescent="0.25">
      <c r="A8849" s="2">
        <v>8848</v>
      </c>
      <c r="B8849" s="3" t="s">
        <v>52</v>
      </c>
      <c r="C8849" s="4" t="str">
        <f t="shared" si="777"/>
        <v>Hồ Chí Minh</v>
      </c>
      <c r="D8849" s="3" t="s">
        <v>620</v>
      </c>
      <c r="E8849" s="4" t="str">
        <f t="shared" si="780"/>
        <v>Quận 11</v>
      </c>
      <c r="F8849" s="3" t="s">
        <v>9608</v>
      </c>
      <c r="G8849" s="4" t="str">
        <f>HYPERLINK("https://diaocthongthai.com/phuong-3-quan-11/","Phường 03")</f>
        <v>Phường 03</v>
      </c>
    </row>
    <row r="8850" spans="1:7" x14ac:dyDescent="0.25">
      <c r="A8850" s="2">
        <v>8849</v>
      </c>
      <c r="B8850" s="3" t="s">
        <v>52</v>
      </c>
      <c r="C8850" s="4" t="str">
        <f t="shared" si="777"/>
        <v>Hồ Chí Minh</v>
      </c>
      <c r="D8850" s="3" t="s">
        <v>620</v>
      </c>
      <c r="E8850" s="4" t="str">
        <f t="shared" si="780"/>
        <v>Quận 11</v>
      </c>
      <c r="F8850" s="3" t="s">
        <v>9609</v>
      </c>
      <c r="G8850" s="4" t="str">
        <f>HYPERLINK("https://diaocthongthai.com/phuong-10-quan-11/","Phường 10")</f>
        <v>Phường 10</v>
      </c>
    </row>
    <row r="8851" spans="1:7" x14ac:dyDescent="0.25">
      <c r="A8851" s="2">
        <v>8850</v>
      </c>
      <c r="B8851" s="3" t="s">
        <v>52</v>
      </c>
      <c r="C8851" s="4" t="str">
        <f t="shared" si="777"/>
        <v>Hồ Chí Minh</v>
      </c>
      <c r="D8851" s="3" t="s">
        <v>620</v>
      </c>
      <c r="E8851" s="4" t="str">
        <f t="shared" si="780"/>
        <v>Quận 11</v>
      </c>
      <c r="F8851" s="3" t="s">
        <v>9610</v>
      </c>
      <c r="G8851" s="4" t="str">
        <f>HYPERLINK("https://diaocthongthai.com/phuong-13-quan-11/","Phường 13")</f>
        <v>Phường 13</v>
      </c>
    </row>
    <row r="8852" spans="1:7" x14ac:dyDescent="0.25">
      <c r="A8852" s="2">
        <v>8851</v>
      </c>
      <c r="B8852" s="3" t="s">
        <v>52</v>
      </c>
      <c r="C8852" s="4" t="str">
        <f t="shared" si="777"/>
        <v>Hồ Chí Minh</v>
      </c>
      <c r="D8852" s="3" t="s">
        <v>620</v>
      </c>
      <c r="E8852" s="4" t="str">
        <f t="shared" si="780"/>
        <v>Quận 11</v>
      </c>
      <c r="F8852" s="3" t="s">
        <v>9611</v>
      </c>
      <c r="G8852" s="4" t="str">
        <f>HYPERLINK("https://diaocthongthai.com/phuong-8-quan-11/","Phường 08")</f>
        <v>Phường 08</v>
      </c>
    </row>
    <row r="8853" spans="1:7" x14ac:dyDescent="0.25">
      <c r="A8853" s="2">
        <v>8852</v>
      </c>
      <c r="B8853" s="3" t="s">
        <v>52</v>
      </c>
      <c r="C8853" s="4" t="str">
        <f t="shared" si="777"/>
        <v>Hồ Chí Minh</v>
      </c>
      <c r="D8853" s="3" t="s">
        <v>620</v>
      </c>
      <c r="E8853" s="4" t="str">
        <f t="shared" si="780"/>
        <v>Quận 11</v>
      </c>
      <c r="F8853" s="3" t="s">
        <v>9612</v>
      </c>
      <c r="G8853" s="4" t="str">
        <f>HYPERLINK("https://diaocthongthai.com/phuong-9-quan-11/","Phường 09")</f>
        <v>Phường 09</v>
      </c>
    </row>
    <row r="8854" spans="1:7" x14ac:dyDescent="0.25">
      <c r="A8854" s="2">
        <v>8853</v>
      </c>
      <c r="B8854" s="3" t="s">
        <v>52</v>
      </c>
      <c r="C8854" s="4" t="str">
        <f t="shared" si="777"/>
        <v>Hồ Chí Minh</v>
      </c>
      <c r="D8854" s="3" t="s">
        <v>620</v>
      </c>
      <c r="E8854" s="4" t="str">
        <f t="shared" si="780"/>
        <v>Quận 11</v>
      </c>
      <c r="F8854" s="3" t="s">
        <v>9613</v>
      </c>
      <c r="G8854" s="4" t="str">
        <f>HYPERLINK("https://diaocthongthai.com/phuong-12-quan-11/","Phường 12")</f>
        <v>Phường 12</v>
      </c>
    </row>
    <row r="8855" spans="1:7" x14ac:dyDescent="0.25">
      <c r="A8855" s="2">
        <v>8854</v>
      </c>
      <c r="B8855" s="3" t="s">
        <v>52</v>
      </c>
      <c r="C8855" s="4" t="str">
        <f t="shared" si="777"/>
        <v>Hồ Chí Minh</v>
      </c>
      <c r="D8855" s="3" t="s">
        <v>620</v>
      </c>
      <c r="E8855" s="4" t="str">
        <f t="shared" si="780"/>
        <v>Quận 11</v>
      </c>
      <c r="F8855" s="3" t="s">
        <v>9614</v>
      </c>
      <c r="G8855" s="4" t="str">
        <f>HYPERLINK("https://diaocthongthai.com/phuong-7-quan-11/","Phường 07")</f>
        <v>Phường 07</v>
      </c>
    </row>
    <row r="8856" spans="1:7" x14ac:dyDescent="0.25">
      <c r="A8856" s="2">
        <v>8855</v>
      </c>
      <c r="B8856" s="3" t="s">
        <v>52</v>
      </c>
      <c r="C8856" s="4" t="str">
        <f t="shared" si="777"/>
        <v>Hồ Chí Minh</v>
      </c>
      <c r="D8856" s="3" t="s">
        <v>620</v>
      </c>
      <c r="E8856" s="4" t="str">
        <f t="shared" si="780"/>
        <v>Quận 11</v>
      </c>
      <c r="F8856" s="3" t="s">
        <v>9615</v>
      </c>
      <c r="G8856" s="4" t="str">
        <f>HYPERLINK("https://diaocthongthai.com/phuong-6-quan-11/","Phường 06")</f>
        <v>Phường 06</v>
      </c>
    </row>
    <row r="8857" spans="1:7" x14ac:dyDescent="0.25">
      <c r="A8857" s="2">
        <v>8856</v>
      </c>
      <c r="B8857" s="3" t="s">
        <v>52</v>
      </c>
      <c r="C8857" s="4" t="str">
        <f t="shared" si="777"/>
        <v>Hồ Chí Minh</v>
      </c>
      <c r="D8857" s="3" t="s">
        <v>620</v>
      </c>
      <c r="E8857" s="4" t="str">
        <f t="shared" si="780"/>
        <v>Quận 11</v>
      </c>
      <c r="F8857" s="3" t="s">
        <v>9616</v>
      </c>
      <c r="G8857" s="4" t="str">
        <f>HYPERLINK("https://diaocthongthai.com/phuong-4-quan-11/","Phường 04")</f>
        <v>Phường 04</v>
      </c>
    </row>
    <row r="8858" spans="1:7" x14ac:dyDescent="0.25">
      <c r="A8858" s="2">
        <v>8857</v>
      </c>
      <c r="B8858" s="3" t="s">
        <v>52</v>
      </c>
      <c r="C8858" s="4" t="str">
        <f t="shared" si="777"/>
        <v>Hồ Chí Minh</v>
      </c>
      <c r="D8858" s="3" t="s">
        <v>620</v>
      </c>
      <c r="E8858" s="4" t="str">
        <f t="shared" si="780"/>
        <v>Quận 11</v>
      </c>
      <c r="F8858" s="3" t="s">
        <v>9617</v>
      </c>
      <c r="G8858" s="4" t="str">
        <f>HYPERLINK("https://diaocthongthai.com/phuong-1-quan-11/","Phường 01")</f>
        <v>Phường 01</v>
      </c>
    </row>
    <row r="8859" spans="1:7" x14ac:dyDescent="0.25">
      <c r="A8859" s="2">
        <v>8858</v>
      </c>
      <c r="B8859" s="3" t="s">
        <v>52</v>
      </c>
      <c r="C8859" s="4" t="str">
        <f t="shared" si="777"/>
        <v>Hồ Chí Minh</v>
      </c>
      <c r="D8859" s="3" t="s">
        <v>620</v>
      </c>
      <c r="E8859" s="4" t="str">
        <f t="shared" si="780"/>
        <v>Quận 11</v>
      </c>
      <c r="F8859" s="3" t="s">
        <v>9618</v>
      </c>
      <c r="G8859" s="4" t="str">
        <f>HYPERLINK("https://diaocthongthai.com/phuong-2-quan-11/","Phường 02")</f>
        <v>Phường 02</v>
      </c>
    </row>
    <row r="8860" spans="1:7" x14ac:dyDescent="0.25">
      <c r="A8860" s="2">
        <v>8859</v>
      </c>
      <c r="B8860" s="3" t="s">
        <v>52</v>
      </c>
      <c r="C8860" s="4" t="str">
        <f t="shared" si="777"/>
        <v>Hồ Chí Minh</v>
      </c>
      <c r="D8860" s="3" t="s">
        <v>620</v>
      </c>
      <c r="E8860" s="4" t="str">
        <f t="shared" si="780"/>
        <v>Quận 11</v>
      </c>
      <c r="F8860" s="3" t="s">
        <v>9619</v>
      </c>
      <c r="G8860" s="4" t="str">
        <f>HYPERLINK("https://diaocthongthai.com/phuong-16-quan-11/","Phường 16")</f>
        <v>Phường 16</v>
      </c>
    </row>
    <row r="8861" spans="1:7" x14ac:dyDescent="0.25">
      <c r="A8861" s="2">
        <v>8860</v>
      </c>
      <c r="B8861" s="3" t="s">
        <v>52</v>
      </c>
      <c r="C8861" s="4" t="str">
        <f t="shared" si="777"/>
        <v>Hồ Chí Minh</v>
      </c>
      <c r="D8861" s="3" t="s">
        <v>621</v>
      </c>
      <c r="E8861" s="4" t="str">
        <f t="shared" ref="E8861:E8873" si="781">HYPERLINK("https://diaocthongthai.com/ban-do-quan-4/","Quận 4")</f>
        <v>Quận 4</v>
      </c>
      <c r="F8861" s="3" t="s">
        <v>9620</v>
      </c>
      <c r="G8861" s="4" t="str">
        <f>HYPERLINK("https://diaocthongthai.com/phuong-13-quan-4/","Phường 13")</f>
        <v>Phường 13</v>
      </c>
    </row>
    <row r="8862" spans="1:7" x14ac:dyDescent="0.25">
      <c r="A8862" s="2">
        <v>8861</v>
      </c>
      <c r="B8862" s="3" t="s">
        <v>52</v>
      </c>
      <c r="C8862" s="4" t="str">
        <f t="shared" si="777"/>
        <v>Hồ Chí Minh</v>
      </c>
      <c r="D8862" s="3" t="s">
        <v>621</v>
      </c>
      <c r="E8862" s="4" t="str">
        <f t="shared" si="781"/>
        <v>Quận 4</v>
      </c>
      <c r="F8862" s="3" t="s">
        <v>9621</v>
      </c>
      <c r="G8862" s="4" t="str">
        <f>HYPERLINK("https://diaocthongthai.com/phuong-9-quan-4/","Phường 09")</f>
        <v>Phường 09</v>
      </c>
    </row>
    <row r="8863" spans="1:7" x14ac:dyDescent="0.25">
      <c r="A8863" s="2">
        <v>8862</v>
      </c>
      <c r="B8863" s="3" t="s">
        <v>52</v>
      </c>
      <c r="C8863" s="4" t="str">
        <f t="shared" si="777"/>
        <v>Hồ Chí Minh</v>
      </c>
      <c r="D8863" s="3" t="s">
        <v>621</v>
      </c>
      <c r="E8863" s="4" t="str">
        <f t="shared" si="781"/>
        <v>Quận 4</v>
      </c>
      <c r="F8863" s="3" t="s">
        <v>9622</v>
      </c>
      <c r="G8863" s="4" t="str">
        <f>HYPERLINK("https://diaocthongthai.com/phuong-6-quan-4/","Phường 06")</f>
        <v>Phường 06</v>
      </c>
    </row>
    <row r="8864" spans="1:7" x14ac:dyDescent="0.25">
      <c r="A8864" s="2">
        <v>8863</v>
      </c>
      <c r="B8864" s="3" t="s">
        <v>52</v>
      </c>
      <c r="C8864" s="4" t="str">
        <f t="shared" si="777"/>
        <v>Hồ Chí Minh</v>
      </c>
      <c r="D8864" s="3" t="s">
        <v>621</v>
      </c>
      <c r="E8864" s="4" t="str">
        <f t="shared" si="781"/>
        <v>Quận 4</v>
      </c>
      <c r="F8864" s="3" t="s">
        <v>9623</v>
      </c>
      <c r="G8864" s="4" t="str">
        <f>HYPERLINK("https://diaocthongthai.com/phuong-8-quan-4/","Phường 08")</f>
        <v>Phường 08</v>
      </c>
    </row>
    <row r="8865" spans="1:7" x14ac:dyDescent="0.25">
      <c r="A8865" s="2">
        <v>8864</v>
      </c>
      <c r="B8865" s="3" t="s">
        <v>52</v>
      </c>
      <c r="C8865" s="4" t="str">
        <f t="shared" si="777"/>
        <v>Hồ Chí Minh</v>
      </c>
      <c r="D8865" s="3" t="s">
        <v>621</v>
      </c>
      <c r="E8865" s="4" t="str">
        <f t="shared" si="781"/>
        <v>Quận 4</v>
      </c>
      <c r="F8865" s="3" t="s">
        <v>9624</v>
      </c>
      <c r="G8865" s="4" t="str">
        <f>HYPERLINK("https://diaocthongthai.com/phuong-10-quan-4/","Phường 10")</f>
        <v>Phường 10</v>
      </c>
    </row>
    <row r="8866" spans="1:7" x14ac:dyDescent="0.25">
      <c r="A8866" s="2">
        <v>8865</v>
      </c>
      <c r="B8866" s="3" t="s">
        <v>52</v>
      </c>
      <c r="C8866" s="4" t="str">
        <f t="shared" si="777"/>
        <v>Hồ Chí Minh</v>
      </c>
      <c r="D8866" s="3" t="s">
        <v>621</v>
      </c>
      <c r="E8866" s="4" t="str">
        <f t="shared" si="781"/>
        <v>Quận 4</v>
      </c>
      <c r="F8866" s="3" t="s">
        <v>9625</v>
      </c>
      <c r="G8866" s="4" t="str">
        <f>HYPERLINK("https://diaocthongthai.com/phuong-18-quan-4/","Phường 18")</f>
        <v>Phường 18</v>
      </c>
    </row>
    <row r="8867" spans="1:7" x14ac:dyDescent="0.25">
      <c r="A8867" s="2">
        <v>8866</v>
      </c>
      <c r="B8867" s="3" t="s">
        <v>52</v>
      </c>
      <c r="C8867" s="4" t="str">
        <f t="shared" si="777"/>
        <v>Hồ Chí Minh</v>
      </c>
      <c r="D8867" s="3" t="s">
        <v>621</v>
      </c>
      <c r="E8867" s="4" t="str">
        <f t="shared" si="781"/>
        <v>Quận 4</v>
      </c>
      <c r="F8867" s="3" t="s">
        <v>9626</v>
      </c>
      <c r="G8867" s="4" t="str">
        <f>HYPERLINK("https://diaocthongthai.com/phuong-14-quan-4/","Phường 14")</f>
        <v>Phường 14</v>
      </c>
    </row>
    <row r="8868" spans="1:7" x14ac:dyDescent="0.25">
      <c r="A8868" s="2">
        <v>8867</v>
      </c>
      <c r="B8868" s="3" t="s">
        <v>52</v>
      </c>
      <c r="C8868" s="4" t="str">
        <f t="shared" si="777"/>
        <v>Hồ Chí Minh</v>
      </c>
      <c r="D8868" s="3" t="s">
        <v>621</v>
      </c>
      <c r="E8868" s="4" t="str">
        <f t="shared" si="781"/>
        <v>Quận 4</v>
      </c>
      <c r="F8868" s="3" t="s">
        <v>9627</v>
      </c>
      <c r="G8868" s="4" t="str">
        <f>HYPERLINK("https://diaocthongthai.com/phuong-4-quan-4/","Phường 04")</f>
        <v>Phường 04</v>
      </c>
    </row>
    <row r="8869" spans="1:7" x14ac:dyDescent="0.25">
      <c r="A8869" s="2">
        <v>8868</v>
      </c>
      <c r="B8869" s="3" t="s">
        <v>52</v>
      </c>
      <c r="C8869" s="4" t="str">
        <f t="shared" si="777"/>
        <v>Hồ Chí Minh</v>
      </c>
      <c r="D8869" s="3" t="s">
        <v>621</v>
      </c>
      <c r="E8869" s="4" t="str">
        <f t="shared" si="781"/>
        <v>Quận 4</v>
      </c>
      <c r="F8869" s="3" t="s">
        <v>9628</v>
      </c>
      <c r="G8869" s="4" t="str">
        <f>HYPERLINK("https://diaocthongthai.com/phuong-3-quan-4/","Phường 03")</f>
        <v>Phường 03</v>
      </c>
    </row>
    <row r="8870" spans="1:7" x14ac:dyDescent="0.25">
      <c r="A8870" s="2">
        <v>8869</v>
      </c>
      <c r="B8870" s="3" t="s">
        <v>52</v>
      </c>
      <c r="C8870" s="4" t="str">
        <f t="shared" si="777"/>
        <v>Hồ Chí Minh</v>
      </c>
      <c r="D8870" s="3" t="s">
        <v>621</v>
      </c>
      <c r="E8870" s="4" t="str">
        <f t="shared" si="781"/>
        <v>Quận 4</v>
      </c>
      <c r="F8870" s="3" t="s">
        <v>9629</v>
      </c>
      <c r="G8870" s="4" t="str">
        <f>HYPERLINK("https://diaocthongthai.com/phuong-16-quan-4/","Phường 16")</f>
        <v>Phường 16</v>
      </c>
    </row>
    <row r="8871" spans="1:7" x14ac:dyDescent="0.25">
      <c r="A8871" s="2">
        <v>8870</v>
      </c>
      <c r="B8871" s="3" t="s">
        <v>52</v>
      </c>
      <c r="C8871" s="4" t="str">
        <f t="shared" si="777"/>
        <v>Hồ Chí Minh</v>
      </c>
      <c r="D8871" s="3" t="s">
        <v>621</v>
      </c>
      <c r="E8871" s="4" t="str">
        <f t="shared" si="781"/>
        <v>Quận 4</v>
      </c>
      <c r="F8871" s="3" t="s">
        <v>9630</v>
      </c>
      <c r="G8871" s="4" t="str">
        <f>HYPERLINK("https://diaocthongthai.com/phuong-2-quan-4/","Phường 02")</f>
        <v>Phường 02</v>
      </c>
    </row>
    <row r="8872" spans="1:7" x14ac:dyDescent="0.25">
      <c r="A8872" s="2">
        <v>8871</v>
      </c>
      <c r="B8872" s="3" t="s">
        <v>52</v>
      </c>
      <c r="C8872" s="4" t="str">
        <f t="shared" si="777"/>
        <v>Hồ Chí Minh</v>
      </c>
      <c r="D8872" s="3" t="s">
        <v>621</v>
      </c>
      <c r="E8872" s="4" t="str">
        <f t="shared" si="781"/>
        <v>Quận 4</v>
      </c>
      <c r="F8872" s="3" t="s">
        <v>9631</v>
      </c>
      <c r="G8872" s="4" t="str">
        <f>HYPERLINK("https://diaocthongthai.com/phuong-15-quan-4/","Phường 15")</f>
        <v>Phường 15</v>
      </c>
    </row>
    <row r="8873" spans="1:7" x14ac:dyDescent="0.25">
      <c r="A8873" s="2">
        <v>8872</v>
      </c>
      <c r="B8873" s="3" t="s">
        <v>52</v>
      </c>
      <c r="C8873" s="4" t="str">
        <f t="shared" si="777"/>
        <v>Hồ Chí Minh</v>
      </c>
      <c r="D8873" s="3" t="s">
        <v>621</v>
      </c>
      <c r="E8873" s="4" t="str">
        <f t="shared" si="781"/>
        <v>Quận 4</v>
      </c>
      <c r="F8873" s="3" t="s">
        <v>9632</v>
      </c>
      <c r="G8873" s="4" t="str">
        <f>HYPERLINK("https://diaocthongthai.com/phuong-1-quan-4/","Phường 01")</f>
        <v>Phường 01</v>
      </c>
    </row>
    <row r="8874" spans="1:7" x14ac:dyDescent="0.25">
      <c r="A8874" s="2">
        <v>8873</v>
      </c>
      <c r="B8874" s="3" t="s">
        <v>52</v>
      </c>
      <c r="C8874" s="4" t="str">
        <f t="shared" si="777"/>
        <v>Hồ Chí Minh</v>
      </c>
      <c r="D8874" s="3" t="s">
        <v>622</v>
      </c>
      <c r="E8874" s="4" t="str">
        <f t="shared" ref="E8874:E8887" si="782">HYPERLINK("https://diaocthongthai.com/ban-do-quan-5/","Quận 5")</f>
        <v>Quận 5</v>
      </c>
      <c r="F8874" s="3" t="s">
        <v>9633</v>
      </c>
      <c r="G8874" s="4" t="str">
        <f>HYPERLINK("https://diaocthongthai.com/phuong-4-quan-5/","Phường 04")</f>
        <v>Phường 04</v>
      </c>
    </row>
    <row r="8875" spans="1:7" x14ac:dyDescent="0.25">
      <c r="A8875" s="2">
        <v>8874</v>
      </c>
      <c r="B8875" s="3" t="s">
        <v>52</v>
      </c>
      <c r="C8875" s="4" t="str">
        <f t="shared" si="777"/>
        <v>Hồ Chí Minh</v>
      </c>
      <c r="D8875" s="3" t="s">
        <v>622</v>
      </c>
      <c r="E8875" s="4" t="str">
        <f t="shared" si="782"/>
        <v>Quận 5</v>
      </c>
      <c r="F8875" s="3" t="s">
        <v>9634</v>
      </c>
      <c r="G8875" s="4" t="str">
        <f>HYPERLINK("https://diaocthongthai.com/phuong-9-quan-5/","Phường 09")</f>
        <v>Phường 09</v>
      </c>
    </row>
    <row r="8876" spans="1:7" x14ac:dyDescent="0.25">
      <c r="A8876" s="2">
        <v>8875</v>
      </c>
      <c r="B8876" s="3" t="s">
        <v>52</v>
      </c>
      <c r="C8876" s="4" t="str">
        <f t="shared" si="777"/>
        <v>Hồ Chí Minh</v>
      </c>
      <c r="D8876" s="3" t="s">
        <v>622</v>
      </c>
      <c r="E8876" s="4" t="str">
        <f t="shared" si="782"/>
        <v>Quận 5</v>
      </c>
      <c r="F8876" s="3" t="s">
        <v>9635</v>
      </c>
      <c r="G8876" s="4" t="str">
        <f>HYPERLINK("https://diaocthongthai.com/phuong-3-quan-5/","Phường 03")</f>
        <v>Phường 03</v>
      </c>
    </row>
    <row r="8877" spans="1:7" x14ac:dyDescent="0.25">
      <c r="A8877" s="2">
        <v>8876</v>
      </c>
      <c r="B8877" s="3" t="s">
        <v>52</v>
      </c>
      <c r="C8877" s="4" t="str">
        <f t="shared" si="777"/>
        <v>Hồ Chí Minh</v>
      </c>
      <c r="D8877" s="3" t="s">
        <v>622</v>
      </c>
      <c r="E8877" s="4" t="str">
        <f t="shared" si="782"/>
        <v>Quận 5</v>
      </c>
      <c r="F8877" s="3" t="s">
        <v>9636</v>
      </c>
      <c r="G8877" s="4" t="str">
        <f>HYPERLINK("https://diaocthongthai.com/phuong-12-quan-5/","Phường 12")</f>
        <v>Phường 12</v>
      </c>
    </row>
    <row r="8878" spans="1:7" x14ac:dyDescent="0.25">
      <c r="A8878" s="2">
        <v>8877</v>
      </c>
      <c r="B8878" s="3" t="s">
        <v>52</v>
      </c>
      <c r="C8878" s="4" t="str">
        <f t="shared" si="777"/>
        <v>Hồ Chí Minh</v>
      </c>
      <c r="D8878" s="3" t="s">
        <v>622</v>
      </c>
      <c r="E8878" s="4" t="str">
        <f t="shared" si="782"/>
        <v>Quận 5</v>
      </c>
      <c r="F8878" s="3" t="s">
        <v>9637</v>
      </c>
      <c r="G8878" s="4" t="str">
        <f>HYPERLINK("https://diaocthongthai.com/phuong-2-quan-5/","Phường 02")</f>
        <v>Phường 02</v>
      </c>
    </row>
    <row r="8879" spans="1:7" x14ac:dyDescent="0.25">
      <c r="A8879" s="2">
        <v>8878</v>
      </c>
      <c r="B8879" s="3" t="s">
        <v>52</v>
      </c>
      <c r="C8879" s="4" t="str">
        <f t="shared" si="777"/>
        <v>Hồ Chí Minh</v>
      </c>
      <c r="D8879" s="3" t="s">
        <v>622</v>
      </c>
      <c r="E8879" s="4" t="str">
        <f t="shared" si="782"/>
        <v>Quận 5</v>
      </c>
      <c r="F8879" s="3" t="s">
        <v>9638</v>
      </c>
      <c r="G8879" s="4" t="str">
        <f>HYPERLINK("https://diaocthongthai.com/phuong-8-quan-5/","Phường 08")</f>
        <v>Phường 08</v>
      </c>
    </row>
    <row r="8880" spans="1:7" x14ac:dyDescent="0.25">
      <c r="A8880" s="2">
        <v>8879</v>
      </c>
      <c r="B8880" s="3" t="s">
        <v>52</v>
      </c>
      <c r="C8880" s="4" t="str">
        <f t="shared" si="777"/>
        <v>Hồ Chí Minh</v>
      </c>
      <c r="D8880" s="3" t="s">
        <v>622</v>
      </c>
      <c r="E8880" s="4" t="str">
        <f t="shared" si="782"/>
        <v>Quận 5</v>
      </c>
      <c r="F8880" s="3" t="s">
        <v>9639</v>
      </c>
      <c r="G8880" s="4" t="str">
        <f>HYPERLINK("https://diaocthongthai.com/phuong-7-quan-5/","Phường 07")</f>
        <v>Phường 07</v>
      </c>
    </row>
    <row r="8881" spans="1:7" x14ac:dyDescent="0.25">
      <c r="A8881" s="2">
        <v>8880</v>
      </c>
      <c r="B8881" s="3" t="s">
        <v>52</v>
      </c>
      <c r="C8881" s="4" t="str">
        <f t="shared" ref="C8881:C8944" si="783">HYPERLINK("https://diaocthongthai.com/ban-do-cac-quan-tp-hcm/","Hồ Chí Minh")</f>
        <v>Hồ Chí Minh</v>
      </c>
      <c r="D8881" s="3" t="s">
        <v>622</v>
      </c>
      <c r="E8881" s="4" t="str">
        <f t="shared" si="782"/>
        <v>Quận 5</v>
      </c>
      <c r="F8881" s="3" t="s">
        <v>9640</v>
      </c>
      <c r="G8881" s="4" t="str">
        <f>HYPERLINK("https://diaocthongthai.com/phuong-1-quan-5/","Phường 01")</f>
        <v>Phường 01</v>
      </c>
    </row>
    <row r="8882" spans="1:7" x14ac:dyDescent="0.25">
      <c r="A8882" s="2">
        <v>8881</v>
      </c>
      <c r="B8882" s="3" t="s">
        <v>52</v>
      </c>
      <c r="C8882" s="4" t="str">
        <f t="shared" si="783"/>
        <v>Hồ Chí Minh</v>
      </c>
      <c r="D8882" s="3" t="s">
        <v>622</v>
      </c>
      <c r="E8882" s="4" t="str">
        <f t="shared" si="782"/>
        <v>Quận 5</v>
      </c>
      <c r="F8882" s="3" t="s">
        <v>9641</v>
      </c>
      <c r="G8882" s="4" t="str">
        <f>HYPERLINK("https://diaocthongthai.com/phuong-11-quan-5/","Phường 11")</f>
        <v>Phường 11</v>
      </c>
    </row>
    <row r="8883" spans="1:7" x14ac:dyDescent="0.25">
      <c r="A8883" s="2">
        <v>8882</v>
      </c>
      <c r="B8883" s="3" t="s">
        <v>52</v>
      </c>
      <c r="C8883" s="4" t="str">
        <f t="shared" si="783"/>
        <v>Hồ Chí Minh</v>
      </c>
      <c r="D8883" s="3" t="s">
        <v>622</v>
      </c>
      <c r="E8883" s="4" t="str">
        <f t="shared" si="782"/>
        <v>Quận 5</v>
      </c>
      <c r="F8883" s="3" t="s">
        <v>9642</v>
      </c>
      <c r="G8883" s="4" t="str">
        <f>HYPERLINK("https://diaocthongthai.com/phuong-14-quan-5/","Phường 14")</f>
        <v>Phường 14</v>
      </c>
    </row>
    <row r="8884" spans="1:7" x14ac:dyDescent="0.25">
      <c r="A8884" s="2">
        <v>8883</v>
      </c>
      <c r="B8884" s="3" t="s">
        <v>52</v>
      </c>
      <c r="C8884" s="4" t="str">
        <f t="shared" si="783"/>
        <v>Hồ Chí Minh</v>
      </c>
      <c r="D8884" s="3" t="s">
        <v>622</v>
      </c>
      <c r="E8884" s="4" t="str">
        <f t="shared" si="782"/>
        <v>Quận 5</v>
      </c>
      <c r="F8884" s="3" t="s">
        <v>9643</v>
      </c>
      <c r="G8884" s="4" t="str">
        <f>HYPERLINK("https://diaocthongthai.com/phuong-5-quan-5/","Phường 05")</f>
        <v>Phường 05</v>
      </c>
    </row>
    <row r="8885" spans="1:7" x14ac:dyDescent="0.25">
      <c r="A8885" s="2">
        <v>8884</v>
      </c>
      <c r="B8885" s="3" t="s">
        <v>52</v>
      </c>
      <c r="C8885" s="4" t="str">
        <f t="shared" si="783"/>
        <v>Hồ Chí Minh</v>
      </c>
      <c r="D8885" s="3" t="s">
        <v>622</v>
      </c>
      <c r="E8885" s="4" t="str">
        <f t="shared" si="782"/>
        <v>Quận 5</v>
      </c>
      <c r="F8885" s="3" t="s">
        <v>9644</v>
      </c>
      <c r="G8885" s="4" t="str">
        <f>HYPERLINK("https://diaocthongthai.com/phuong-6-quan-5/","Phường 06")</f>
        <v>Phường 06</v>
      </c>
    </row>
    <row r="8886" spans="1:7" x14ac:dyDescent="0.25">
      <c r="A8886" s="2">
        <v>8885</v>
      </c>
      <c r="B8886" s="3" t="s">
        <v>52</v>
      </c>
      <c r="C8886" s="4" t="str">
        <f t="shared" si="783"/>
        <v>Hồ Chí Minh</v>
      </c>
      <c r="D8886" s="3" t="s">
        <v>622</v>
      </c>
      <c r="E8886" s="4" t="str">
        <f t="shared" si="782"/>
        <v>Quận 5</v>
      </c>
      <c r="F8886" s="3" t="s">
        <v>9645</v>
      </c>
      <c r="G8886" s="4" t="str">
        <f>HYPERLINK("https://diaocthongthai.com/phuong-10-quan-5/","Phường 10")</f>
        <v>Phường 10</v>
      </c>
    </row>
    <row r="8887" spans="1:7" x14ac:dyDescent="0.25">
      <c r="A8887" s="2">
        <v>8886</v>
      </c>
      <c r="B8887" s="3" t="s">
        <v>52</v>
      </c>
      <c r="C8887" s="4" t="str">
        <f t="shared" si="783"/>
        <v>Hồ Chí Minh</v>
      </c>
      <c r="D8887" s="3" t="s">
        <v>622</v>
      </c>
      <c r="E8887" s="4" t="str">
        <f t="shared" si="782"/>
        <v>Quận 5</v>
      </c>
      <c r="F8887" s="3" t="s">
        <v>9646</v>
      </c>
      <c r="G8887" s="4" t="str">
        <f>HYPERLINK("https://diaocthongthai.com/phuong-13-quan-5/","Phường 13")</f>
        <v>Phường 13</v>
      </c>
    </row>
    <row r="8888" spans="1:7" x14ac:dyDescent="0.25">
      <c r="A8888" s="2">
        <v>8887</v>
      </c>
      <c r="B8888" s="3" t="s">
        <v>52</v>
      </c>
      <c r="C8888" s="4" t="str">
        <f t="shared" si="783"/>
        <v>Hồ Chí Minh</v>
      </c>
      <c r="D8888" s="3" t="s">
        <v>623</v>
      </c>
      <c r="E8888" s="4" t="str">
        <f t="shared" ref="E8888:E8901" si="784">HYPERLINK("https://diaocthongthai.com/ban-do-quan-6/","Quận 6")</f>
        <v>Quận 6</v>
      </c>
      <c r="F8888" s="3" t="s">
        <v>9647</v>
      </c>
      <c r="G8888" s="4" t="str">
        <f>HYPERLINK("https://diaocthongthai.com/phuong-14-quan-6/","Phường 14")</f>
        <v>Phường 14</v>
      </c>
    </row>
    <row r="8889" spans="1:7" x14ac:dyDescent="0.25">
      <c r="A8889" s="2">
        <v>8888</v>
      </c>
      <c r="B8889" s="3" t="s">
        <v>52</v>
      </c>
      <c r="C8889" s="4" t="str">
        <f t="shared" si="783"/>
        <v>Hồ Chí Minh</v>
      </c>
      <c r="D8889" s="3" t="s">
        <v>623</v>
      </c>
      <c r="E8889" s="4" t="str">
        <f t="shared" si="784"/>
        <v>Quận 6</v>
      </c>
      <c r="F8889" s="3" t="s">
        <v>9648</v>
      </c>
      <c r="G8889" s="4" t="str">
        <f>HYPERLINK("https://diaocthongthai.com/phuong-13-quan-6/","Phường 13")</f>
        <v>Phường 13</v>
      </c>
    </row>
    <row r="8890" spans="1:7" x14ac:dyDescent="0.25">
      <c r="A8890" s="2">
        <v>8889</v>
      </c>
      <c r="B8890" s="3" t="s">
        <v>52</v>
      </c>
      <c r="C8890" s="4" t="str">
        <f t="shared" si="783"/>
        <v>Hồ Chí Minh</v>
      </c>
      <c r="D8890" s="3" t="s">
        <v>623</v>
      </c>
      <c r="E8890" s="4" t="str">
        <f t="shared" si="784"/>
        <v>Quận 6</v>
      </c>
      <c r="F8890" s="3" t="s">
        <v>9649</v>
      </c>
      <c r="G8890" s="4" t="str">
        <f>HYPERLINK("https://diaocthongthai.com/phuong-9-quan-6/","Phường 09")</f>
        <v>Phường 09</v>
      </c>
    </row>
    <row r="8891" spans="1:7" x14ac:dyDescent="0.25">
      <c r="A8891" s="2">
        <v>8890</v>
      </c>
      <c r="B8891" s="3" t="s">
        <v>52</v>
      </c>
      <c r="C8891" s="4" t="str">
        <f t="shared" si="783"/>
        <v>Hồ Chí Minh</v>
      </c>
      <c r="D8891" s="3" t="s">
        <v>623</v>
      </c>
      <c r="E8891" s="4" t="str">
        <f t="shared" si="784"/>
        <v>Quận 6</v>
      </c>
      <c r="F8891" s="3" t="s">
        <v>9650</v>
      </c>
      <c r="G8891" s="4" t="str">
        <f>HYPERLINK("https://diaocthongthai.com/phuong-6-quan-6/","Phường 06")</f>
        <v>Phường 06</v>
      </c>
    </row>
    <row r="8892" spans="1:7" x14ac:dyDescent="0.25">
      <c r="A8892" s="2">
        <v>8891</v>
      </c>
      <c r="B8892" s="3" t="s">
        <v>52</v>
      </c>
      <c r="C8892" s="4" t="str">
        <f t="shared" si="783"/>
        <v>Hồ Chí Minh</v>
      </c>
      <c r="D8892" s="3" t="s">
        <v>623</v>
      </c>
      <c r="E8892" s="4" t="str">
        <f t="shared" si="784"/>
        <v>Quận 6</v>
      </c>
      <c r="F8892" s="3" t="s">
        <v>9651</v>
      </c>
      <c r="G8892" s="4" t="str">
        <f>HYPERLINK("https://diaocthongthai.com/phuong-12-quan-6/","Phường 12")</f>
        <v>Phường 12</v>
      </c>
    </row>
    <row r="8893" spans="1:7" x14ac:dyDescent="0.25">
      <c r="A8893" s="2">
        <v>8892</v>
      </c>
      <c r="B8893" s="3" t="s">
        <v>52</v>
      </c>
      <c r="C8893" s="4" t="str">
        <f t="shared" si="783"/>
        <v>Hồ Chí Minh</v>
      </c>
      <c r="D8893" s="3" t="s">
        <v>623</v>
      </c>
      <c r="E8893" s="4" t="str">
        <f t="shared" si="784"/>
        <v>Quận 6</v>
      </c>
      <c r="F8893" s="3" t="s">
        <v>9652</v>
      </c>
      <c r="G8893" s="4" t="str">
        <f>HYPERLINK("https://diaocthongthai.com/phuong-5-quan-6/","Phường 05")</f>
        <v>Phường 05</v>
      </c>
    </row>
    <row r="8894" spans="1:7" x14ac:dyDescent="0.25">
      <c r="A8894" s="2">
        <v>8893</v>
      </c>
      <c r="B8894" s="3" t="s">
        <v>52</v>
      </c>
      <c r="C8894" s="4" t="str">
        <f t="shared" si="783"/>
        <v>Hồ Chí Minh</v>
      </c>
      <c r="D8894" s="3" t="s">
        <v>623</v>
      </c>
      <c r="E8894" s="4" t="str">
        <f t="shared" si="784"/>
        <v>Quận 6</v>
      </c>
      <c r="F8894" s="3" t="s">
        <v>9653</v>
      </c>
      <c r="G8894" s="4" t="str">
        <f>HYPERLINK("https://diaocthongthai.com/phuong-11-quan-6/","Phường 11")</f>
        <v>Phường 11</v>
      </c>
    </row>
    <row r="8895" spans="1:7" x14ac:dyDescent="0.25">
      <c r="A8895" s="2">
        <v>8894</v>
      </c>
      <c r="B8895" s="3" t="s">
        <v>52</v>
      </c>
      <c r="C8895" s="4" t="str">
        <f t="shared" si="783"/>
        <v>Hồ Chí Minh</v>
      </c>
      <c r="D8895" s="3" t="s">
        <v>623</v>
      </c>
      <c r="E8895" s="4" t="str">
        <f t="shared" si="784"/>
        <v>Quận 6</v>
      </c>
      <c r="F8895" s="3" t="s">
        <v>9654</v>
      </c>
      <c r="G8895" s="4" t="str">
        <f>HYPERLINK("https://diaocthongthai.com/phuong-2-quan-6/","Phường 02")</f>
        <v>Phường 02</v>
      </c>
    </row>
    <row r="8896" spans="1:7" x14ac:dyDescent="0.25">
      <c r="A8896" s="2">
        <v>8895</v>
      </c>
      <c r="B8896" s="3" t="s">
        <v>52</v>
      </c>
      <c r="C8896" s="4" t="str">
        <f t="shared" si="783"/>
        <v>Hồ Chí Minh</v>
      </c>
      <c r="D8896" s="3" t="s">
        <v>623</v>
      </c>
      <c r="E8896" s="4" t="str">
        <f t="shared" si="784"/>
        <v>Quận 6</v>
      </c>
      <c r="F8896" s="3" t="s">
        <v>9655</v>
      </c>
      <c r="G8896" s="4" t="str">
        <f>HYPERLINK("https://diaocthongthai.com/phuong-1-quan-6/","Phường 01")</f>
        <v>Phường 01</v>
      </c>
    </row>
    <row r="8897" spans="1:7" x14ac:dyDescent="0.25">
      <c r="A8897" s="2">
        <v>8896</v>
      </c>
      <c r="B8897" s="3" t="s">
        <v>52</v>
      </c>
      <c r="C8897" s="4" t="str">
        <f t="shared" si="783"/>
        <v>Hồ Chí Minh</v>
      </c>
      <c r="D8897" s="3" t="s">
        <v>623</v>
      </c>
      <c r="E8897" s="4" t="str">
        <f t="shared" si="784"/>
        <v>Quận 6</v>
      </c>
      <c r="F8897" s="3" t="s">
        <v>9656</v>
      </c>
      <c r="G8897" s="4" t="str">
        <f>HYPERLINK("https://diaocthongthai.com/phuong-4-quan-6/","Phường 04")</f>
        <v>Phường 04</v>
      </c>
    </row>
    <row r="8898" spans="1:7" x14ac:dyDescent="0.25">
      <c r="A8898" s="2">
        <v>8897</v>
      </c>
      <c r="B8898" s="3" t="s">
        <v>52</v>
      </c>
      <c r="C8898" s="4" t="str">
        <f t="shared" si="783"/>
        <v>Hồ Chí Minh</v>
      </c>
      <c r="D8898" s="3" t="s">
        <v>623</v>
      </c>
      <c r="E8898" s="4" t="str">
        <f t="shared" si="784"/>
        <v>Quận 6</v>
      </c>
      <c r="F8898" s="3" t="s">
        <v>9657</v>
      </c>
      <c r="G8898" s="4" t="str">
        <f>HYPERLINK("https://diaocthongthai.com/phuong-8-quan-6/","Phường 08")</f>
        <v>Phường 08</v>
      </c>
    </row>
    <row r="8899" spans="1:7" x14ac:dyDescent="0.25">
      <c r="A8899" s="2">
        <v>8898</v>
      </c>
      <c r="B8899" s="3" t="s">
        <v>52</v>
      </c>
      <c r="C8899" s="4" t="str">
        <f t="shared" si="783"/>
        <v>Hồ Chí Minh</v>
      </c>
      <c r="D8899" s="3" t="s">
        <v>623</v>
      </c>
      <c r="E8899" s="4" t="str">
        <f t="shared" si="784"/>
        <v>Quận 6</v>
      </c>
      <c r="F8899" s="3" t="s">
        <v>9658</v>
      </c>
      <c r="G8899" s="4" t="str">
        <f>HYPERLINK("https://diaocthongthai.com/phuong-3-quan-6/","Phường 03")</f>
        <v>Phường 03</v>
      </c>
    </row>
    <row r="8900" spans="1:7" x14ac:dyDescent="0.25">
      <c r="A8900" s="2">
        <v>8899</v>
      </c>
      <c r="B8900" s="3" t="s">
        <v>52</v>
      </c>
      <c r="C8900" s="4" t="str">
        <f t="shared" si="783"/>
        <v>Hồ Chí Minh</v>
      </c>
      <c r="D8900" s="3" t="s">
        <v>623</v>
      </c>
      <c r="E8900" s="4" t="str">
        <f t="shared" si="784"/>
        <v>Quận 6</v>
      </c>
      <c r="F8900" s="3" t="s">
        <v>9659</v>
      </c>
      <c r="G8900" s="4" t="str">
        <f>HYPERLINK("https://diaocthongthai.com/phuong-7-quan-6/","Phường 07")</f>
        <v>Phường 07</v>
      </c>
    </row>
    <row r="8901" spans="1:7" x14ac:dyDescent="0.25">
      <c r="A8901" s="2">
        <v>8900</v>
      </c>
      <c r="B8901" s="3" t="s">
        <v>52</v>
      </c>
      <c r="C8901" s="4" t="str">
        <f t="shared" si="783"/>
        <v>Hồ Chí Minh</v>
      </c>
      <c r="D8901" s="3" t="s">
        <v>623</v>
      </c>
      <c r="E8901" s="4" t="str">
        <f t="shared" si="784"/>
        <v>Quận 6</v>
      </c>
      <c r="F8901" s="3" t="s">
        <v>9660</v>
      </c>
      <c r="G8901" s="4" t="str">
        <f>HYPERLINK("https://diaocthongthai.com/phuong-10-quan-6/","Phường 10")</f>
        <v>Phường 10</v>
      </c>
    </row>
    <row r="8902" spans="1:7" x14ac:dyDescent="0.25">
      <c r="A8902" s="2">
        <v>8901</v>
      </c>
      <c r="B8902" s="3" t="s">
        <v>52</v>
      </c>
      <c r="C8902" s="4" t="str">
        <f t="shared" si="783"/>
        <v>Hồ Chí Minh</v>
      </c>
      <c r="D8902" s="3" t="s">
        <v>624</v>
      </c>
      <c r="E8902" s="4" t="str">
        <f t="shared" ref="E8902:E8917" si="785">HYPERLINK("https://diaocthongthai.com/ban-do-quan-8/","Quận 8")</f>
        <v>Quận 8</v>
      </c>
      <c r="F8902" s="3" t="s">
        <v>9661</v>
      </c>
      <c r="G8902" s="4" t="str">
        <f>HYPERLINK("https://diaocthongthai.com/phuong-8-quan-8/","Phường 08")</f>
        <v>Phường 08</v>
      </c>
    </row>
    <row r="8903" spans="1:7" x14ac:dyDescent="0.25">
      <c r="A8903" s="2">
        <v>8902</v>
      </c>
      <c r="B8903" s="3" t="s">
        <v>52</v>
      </c>
      <c r="C8903" s="4" t="str">
        <f t="shared" si="783"/>
        <v>Hồ Chí Minh</v>
      </c>
      <c r="D8903" s="3" t="s">
        <v>624</v>
      </c>
      <c r="E8903" s="4" t="str">
        <f t="shared" si="785"/>
        <v>Quận 8</v>
      </c>
      <c r="F8903" s="3" t="s">
        <v>9662</v>
      </c>
      <c r="G8903" s="4" t="str">
        <f>HYPERLINK("https://diaocthongthai.com/phuong-2-quan-8/","Phường 02")</f>
        <v>Phường 02</v>
      </c>
    </row>
    <row r="8904" spans="1:7" x14ac:dyDescent="0.25">
      <c r="A8904" s="2">
        <v>8903</v>
      </c>
      <c r="B8904" s="3" t="s">
        <v>52</v>
      </c>
      <c r="C8904" s="4" t="str">
        <f t="shared" si="783"/>
        <v>Hồ Chí Minh</v>
      </c>
      <c r="D8904" s="3" t="s">
        <v>624</v>
      </c>
      <c r="E8904" s="4" t="str">
        <f t="shared" si="785"/>
        <v>Quận 8</v>
      </c>
      <c r="F8904" s="3" t="s">
        <v>9663</v>
      </c>
      <c r="G8904" s="4" t="str">
        <f>HYPERLINK("https://diaocthongthai.com/phuong-1-quan-8/","Phường 01")</f>
        <v>Phường 01</v>
      </c>
    </row>
    <row r="8905" spans="1:7" x14ac:dyDescent="0.25">
      <c r="A8905" s="2">
        <v>8904</v>
      </c>
      <c r="B8905" s="3" t="s">
        <v>52</v>
      </c>
      <c r="C8905" s="4" t="str">
        <f t="shared" si="783"/>
        <v>Hồ Chí Minh</v>
      </c>
      <c r="D8905" s="3" t="s">
        <v>624</v>
      </c>
      <c r="E8905" s="4" t="str">
        <f t="shared" si="785"/>
        <v>Quận 8</v>
      </c>
      <c r="F8905" s="3" t="s">
        <v>9664</v>
      </c>
      <c r="G8905" s="4" t="str">
        <f>HYPERLINK("https://diaocthongthai.com/phuong-3-quan-8/","Phường 03")</f>
        <v>Phường 03</v>
      </c>
    </row>
    <row r="8906" spans="1:7" x14ac:dyDescent="0.25">
      <c r="A8906" s="2">
        <v>8905</v>
      </c>
      <c r="B8906" s="3" t="s">
        <v>52</v>
      </c>
      <c r="C8906" s="4" t="str">
        <f t="shared" si="783"/>
        <v>Hồ Chí Minh</v>
      </c>
      <c r="D8906" s="3" t="s">
        <v>624</v>
      </c>
      <c r="E8906" s="4" t="str">
        <f t="shared" si="785"/>
        <v>Quận 8</v>
      </c>
      <c r="F8906" s="3" t="s">
        <v>9665</v>
      </c>
      <c r="G8906" s="4" t="str">
        <f>HYPERLINK("https://diaocthongthai.com/phuong-11-quan-8/","Phường 11")</f>
        <v>Phường 11</v>
      </c>
    </row>
    <row r="8907" spans="1:7" x14ac:dyDescent="0.25">
      <c r="A8907" s="2">
        <v>8906</v>
      </c>
      <c r="B8907" s="3" t="s">
        <v>52</v>
      </c>
      <c r="C8907" s="4" t="str">
        <f t="shared" si="783"/>
        <v>Hồ Chí Minh</v>
      </c>
      <c r="D8907" s="3" t="s">
        <v>624</v>
      </c>
      <c r="E8907" s="4" t="str">
        <f t="shared" si="785"/>
        <v>Quận 8</v>
      </c>
      <c r="F8907" s="3" t="s">
        <v>9666</v>
      </c>
      <c r="G8907" s="4" t="str">
        <f>HYPERLINK("https://diaocthongthai.com/phuong-9-quan-8/","Phường 09")</f>
        <v>Phường 09</v>
      </c>
    </row>
    <row r="8908" spans="1:7" x14ac:dyDescent="0.25">
      <c r="A8908" s="2">
        <v>8907</v>
      </c>
      <c r="B8908" s="3" t="s">
        <v>52</v>
      </c>
      <c r="C8908" s="4" t="str">
        <f t="shared" si="783"/>
        <v>Hồ Chí Minh</v>
      </c>
      <c r="D8908" s="3" t="s">
        <v>624</v>
      </c>
      <c r="E8908" s="4" t="str">
        <f t="shared" si="785"/>
        <v>Quận 8</v>
      </c>
      <c r="F8908" s="3" t="s">
        <v>9667</v>
      </c>
      <c r="G8908" s="4" t="str">
        <f>HYPERLINK("https://diaocthongthai.com/phuong-10-quan-8/","Phường 10")</f>
        <v>Phường 10</v>
      </c>
    </row>
    <row r="8909" spans="1:7" x14ac:dyDescent="0.25">
      <c r="A8909" s="2">
        <v>8908</v>
      </c>
      <c r="B8909" s="3" t="s">
        <v>52</v>
      </c>
      <c r="C8909" s="4" t="str">
        <f t="shared" si="783"/>
        <v>Hồ Chí Minh</v>
      </c>
      <c r="D8909" s="3" t="s">
        <v>624</v>
      </c>
      <c r="E8909" s="4" t="str">
        <f t="shared" si="785"/>
        <v>Quận 8</v>
      </c>
      <c r="F8909" s="3" t="s">
        <v>9668</v>
      </c>
      <c r="G8909" s="4" t="str">
        <f>HYPERLINK("https://diaocthongthai.com/phuong-4-quan-8/","Phường 04")</f>
        <v>Phường 04</v>
      </c>
    </row>
    <row r="8910" spans="1:7" x14ac:dyDescent="0.25">
      <c r="A8910" s="2">
        <v>8909</v>
      </c>
      <c r="B8910" s="3" t="s">
        <v>52</v>
      </c>
      <c r="C8910" s="4" t="str">
        <f t="shared" si="783"/>
        <v>Hồ Chí Minh</v>
      </c>
      <c r="D8910" s="3" t="s">
        <v>624</v>
      </c>
      <c r="E8910" s="4" t="str">
        <f t="shared" si="785"/>
        <v>Quận 8</v>
      </c>
      <c r="F8910" s="3" t="s">
        <v>9669</v>
      </c>
      <c r="G8910" s="4" t="str">
        <f>HYPERLINK("https://diaocthongthai.com/phuong-13-quan-8/","Phường 13")</f>
        <v>Phường 13</v>
      </c>
    </row>
    <row r="8911" spans="1:7" x14ac:dyDescent="0.25">
      <c r="A8911" s="2">
        <v>8910</v>
      </c>
      <c r="B8911" s="3" t="s">
        <v>52</v>
      </c>
      <c r="C8911" s="4" t="str">
        <f t="shared" si="783"/>
        <v>Hồ Chí Minh</v>
      </c>
      <c r="D8911" s="3" t="s">
        <v>624</v>
      </c>
      <c r="E8911" s="4" t="str">
        <f t="shared" si="785"/>
        <v>Quận 8</v>
      </c>
      <c r="F8911" s="3" t="s">
        <v>9670</v>
      </c>
      <c r="G8911" s="4" t="str">
        <f>HYPERLINK("https://diaocthongthai.com/phuong-12-quan-8/","Phường 12")</f>
        <v>Phường 12</v>
      </c>
    </row>
    <row r="8912" spans="1:7" x14ac:dyDescent="0.25">
      <c r="A8912" s="2">
        <v>8911</v>
      </c>
      <c r="B8912" s="3" t="s">
        <v>52</v>
      </c>
      <c r="C8912" s="4" t="str">
        <f t="shared" si="783"/>
        <v>Hồ Chí Minh</v>
      </c>
      <c r="D8912" s="3" t="s">
        <v>624</v>
      </c>
      <c r="E8912" s="4" t="str">
        <f t="shared" si="785"/>
        <v>Quận 8</v>
      </c>
      <c r="F8912" s="3" t="s">
        <v>9671</v>
      </c>
      <c r="G8912" s="4" t="str">
        <f>HYPERLINK("https://diaocthongthai.com/phuong-5-quan-8/","Phường 05")</f>
        <v>Phường 05</v>
      </c>
    </row>
    <row r="8913" spans="1:7" x14ac:dyDescent="0.25">
      <c r="A8913" s="2">
        <v>8912</v>
      </c>
      <c r="B8913" s="3" t="s">
        <v>52</v>
      </c>
      <c r="C8913" s="4" t="str">
        <f t="shared" si="783"/>
        <v>Hồ Chí Minh</v>
      </c>
      <c r="D8913" s="3" t="s">
        <v>624</v>
      </c>
      <c r="E8913" s="4" t="str">
        <f t="shared" si="785"/>
        <v>Quận 8</v>
      </c>
      <c r="F8913" s="3" t="s">
        <v>9672</v>
      </c>
      <c r="G8913" s="4" t="str">
        <f>HYPERLINK("https://diaocthongthai.com/phuong-14-quan-8/","Phường 14")</f>
        <v>Phường 14</v>
      </c>
    </row>
    <row r="8914" spans="1:7" x14ac:dyDescent="0.25">
      <c r="A8914" s="2">
        <v>8913</v>
      </c>
      <c r="B8914" s="3" t="s">
        <v>52</v>
      </c>
      <c r="C8914" s="4" t="str">
        <f t="shared" si="783"/>
        <v>Hồ Chí Minh</v>
      </c>
      <c r="D8914" s="3" t="s">
        <v>624</v>
      </c>
      <c r="E8914" s="4" t="str">
        <f t="shared" si="785"/>
        <v>Quận 8</v>
      </c>
      <c r="F8914" s="3" t="s">
        <v>9673</v>
      </c>
      <c r="G8914" s="4" t="str">
        <f>HYPERLINK("https://diaocthongthai.com/phuong-6-quan-8/","Phường 06")</f>
        <v>Phường 06</v>
      </c>
    </row>
    <row r="8915" spans="1:7" x14ac:dyDescent="0.25">
      <c r="A8915" s="2">
        <v>8914</v>
      </c>
      <c r="B8915" s="3" t="s">
        <v>52</v>
      </c>
      <c r="C8915" s="4" t="str">
        <f t="shared" si="783"/>
        <v>Hồ Chí Minh</v>
      </c>
      <c r="D8915" s="3" t="s">
        <v>624</v>
      </c>
      <c r="E8915" s="4" t="str">
        <f t="shared" si="785"/>
        <v>Quận 8</v>
      </c>
      <c r="F8915" s="3" t="s">
        <v>9674</v>
      </c>
      <c r="G8915" s="4" t="str">
        <f>HYPERLINK("https://diaocthongthai.com/phuong-15-quan-8/","Phường 15")</f>
        <v>Phường 15</v>
      </c>
    </row>
    <row r="8916" spans="1:7" x14ac:dyDescent="0.25">
      <c r="A8916" s="2">
        <v>8915</v>
      </c>
      <c r="B8916" s="3" t="s">
        <v>52</v>
      </c>
      <c r="C8916" s="4" t="str">
        <f t="shared" si="783"/>
        <v>Hồ Chí Minh</v>
      </c>
      <c r="D8916" s="3" t="s">
        <v>624</v>
      </c>
      <c r="E8916" s="4" t="str">
        <f t="shared" si="785"/>
        <v>Quận 8</v>
      </c>
      <c r="F8916" s="3" t="s">
        <v>9675</v>
      </c>
      <c r="G8916" s="4" t="str">
        <f>HYPERLINK("https://diaocthongthai.com/phuong-16-quan-8/","Phường 16")</f>
        <v>Phường 16</v>
      </c>
    </row>
    <row r="8917" spans="1:7" x14ac:dyDescent="0.25">
      <c r="A8917" s="2">
        <v>8916</v>
      </c>
      <c r="B8917" s="3" t="s">
        <v>52</v>
      </c>
      <c r="C8917" s="4" t="str">
        <f t="shared" si="783"/>
        <v>Hồ Chí Minh</v>
      </c>
      <c r="D8917" s="3" t="s">
        <v>624</v>
      </c>
      <c r="E8917" s="4" t="str">
        <f t="shared" si="785"/>
        <v>Quận 8</v>
      </c>
      <c r="F8917" s="3" t="s">
        <v>9676</v>
      </c>
      <c r="G8917" s="4" t="str">
        <f>HYPERLINK("https://diaocthongthai.com/phuong-7-quan-8/","Phường 07")</f>
        <v>Phường 07</v>
      </c>
    </row>
    <row r="8918" spans="1:7" x14ac:dyDescent="0.25">
      <c r="A8918" s="2">
        <v>8917</v>
      </c>
      <c r="B8918" s="3" t="s">
        <v>52</v>
      </c>
      <c r="C8918" s="4" t="str">
        <f t="shared" si="783"/>
        <v>Hồ Chí Minh</v>
      </c>
      <c r="D8918" s="3" t="s">
        <v>625</v>
      </c>
      <c r="E8918" s="4" t="str">
        <f t="shared" ref="E8918:E8927" si="786">HYPERLINK("https://diaocthongthai.com/ban-do-quan-binh-tan/","Quận Bình Tân")</f>
        <v>Quận Bình Tân</v>
      </c>
      <c r="F8918" s="3" t="s">
        <v>9677</v>
      </c>
      <c r="G8918" s="4" t="str">
        <f>HYPERLINK("https://diaocthongthai.com/phuong-binh-hung-hoa-quan-binh-tan/","Phường Bình Hưng Hòa")</f>
        <v>Phường Bình Hưng Hòa</v>
      </c>
    </row>
    <row r="8919" spans="1:7" x14ac:dyDescent="0.25">
      <c r="A8919" s="2">
        <v>8918</v>
      </c>
      <c r="B8919" s="3" t="s">
        <v>52</v>
      </c>
      <c r="C8919" s="4" t="str">
        <f t="shared" si="783"/>
        <v>Hồ Chí Minh</v>
      </c>
      <c r="D8919" s="3" t="s">
        <v>625</v>
      </c>
      <c r="E8919" s="4" t="str">
        <f t="shared" si="786"/>
        <v>Quận Bình Tân</v>
      </c>
      <c r="F8919" s="3" t="s">
        <v>9678</v>
      </c>
      <c r="G8919" s="4" t="str">
        <f>HYPERLINK("https://diaocthongthai.com/phuong-binh-hung-hoa-a-quan-binh-tan/","Phường Bình Hưng Hoà A")</f>
        <v>Phường Bình Hưng Hoà A</v>
      </c>
    </row>
    <row r="8920" spans="1:7" x14ac:dyDescent="0.25">
      <c r="A8920" s="2">
        <v>8919</v>
      </c>
      <c r="B8920" s="3" t="s">
        <v>52</v>
      </c>
      <c r="C8920" s="4" t="str">
        <f t="shared" si="783"/>
        <v>Hồ Chí Minh</v>
      </c>
      <c r="D8920" s="3" t="s">
        <v>625</v>
      </c>
      <c r="E8920" s="4" t="str">
        <f t="shared" si="786"/>
        <v>Quận Bình Tân</v>
      </c>
      <c r="F8920" s="3" t="s">
        <v>9679</v>
      </c>
      <c r="G8920" s="4" t="str">
        <f>HYPERLINK("https://diaocthongthai.com/phuong-binh-hung-hoa-b-quan-binh-tan/","Phường Bình Hưng Hoà B")</f>
        <v>Phường Bình Hưng Hoà B</v>
      </c>
    </row>
    <row r="8921" spans="1:7" x14ac:dyDescent="0.25">
      <c r="A8921" s="2">
        <v>8920</v>
      </c>
      <c r="B8921" s="3" t="s">
        <v>52</v>
      </c>
      <c r="C8921" s="4" t="str">
        <f t="shared" si="783"/>
        <v>Hồ Chí Minh</v>
      </c>
      <c r="D8921" s="3" t="s">
        <v>625</v>
      </c>
      <c r="E8921" s="4" t="str">
        <f t="shared" si="786"/>
        <v>Quận Bình Tân</v>
      </c>
      <c r="F8921" s="3" t="s">
        <v>9680</v>
      </c>
      <c r="G8921" s="4" t="str">
        <f>HYPERLINK("https://diaocthongthai.com/phuong-binh-tri-dong-quan-binh-tan/","Phường Bình Trị Đông")</f>
        <v>Phường Bình Trị Đông</v>
      </c>
    </row>
    <row r="8922" spans="1:7" x14ac:dyDescent="0.25">
      <c r="A8922" s="2">
        <v>8921</v>
      </c>
      <c r="B8922" s="3" t="s">
        <v>52</v>
      </c>
      <c r="C8922" s="4" t="str">
        <f t="shared" si="783"/>
        <v>Hồ Chí Minh</v>
      </c>
      <c r="D8922" s="3" t="s">
        <v>625</v>
      </c>
      <c r="E8922" s="4" t="str">
        <f t="shared" si="786"/>
        <v>Quận Bình Tân</v>
      </c>
      <c r="F8922" s="3" t="s">
        <v>9681</v>
      </c>
      <c r="G8922" s="4" t="str">
        <f>HYPERLINK("https://diaocthongthai.com/phuong-binh-tri-dong-a-quan-binh-tan/","Phường Bình Trị Đông A")</f>
        <v>Phường Bình Trị Đông A</v>
      </c>
    </row>
    <row r="8923" spans="1:7" x14ac:dyDescent="0.25">
      <c r="A8923" s="2">
        <v>8922</v>
      </c>
      <c r="B8923" s="3" t="s">
        <v>52</v>
      </c>
      <c r="C8923" s="4" t="str">
        <f t="shared" si="783"/>
        <v>Hồ Chí Minh</v>
      </c>
      <c r="D8923" s="3" t="s">
        <v>625</v>
      </c>
      <c r="E8923" s="4" t="str">
        <f t="shared" si="786"/>
        <v>Quận Bình Tân</v>
      </c>
      <c r="F8923" s="3" t="s">
        <v>9682</v>
      </c>
      <c r="G8923" s="4" t="str">
        <f>HYPERLINK("https://diaocthongthai.com/phuong-binh-tri-dong-b-quan-binh-tan/","Phường Bình Trị Đông B")</f>
        <v>Phường Bình Trị Đông B</v>
      </c>
    </row>
    <row r="8924" spans="1:7" x14ac:dyDescent="0.25">
      <c r="A8924" s="2">
        <v>8923</v>
      </c>
      <c r="B8924" s="3" t="s">
        <v>52</v>
      </c>
      <c r="C8924" s="4" t="str">
        <f t="shared" si="783"/>
        <v>Hồ Chí Minh</v>
      </c>
      <c r="D8924" s="3" t="s">
        <v>625</v>
      </c>
      <c r="E8924" s="4" t="str">
        <f t="shared" si="786"/>
        <v>Quận Bình Tân</v>
      </c>
      <c r="F8924" s="3" t="s">
        <v>9683</v>
      </c>
      <c r="G8924" s="4" t="str">
        <f>HYPERLINK("https://diaocthongthai.com/phuong-tan-tao-quan-binh-tan/","Phường Tân Tạo")</f>
        <v>Phường Tân Tạo</v>
      </c>
    </row>
    <row r="8925" spans="1:7" x14ac:dyDescent="0.25">
      <c r="A8925" s="2">
        <v>8924</v>
      </c>
      <c r="B8925" s="3" t="s">
        <v>52</v>
      </c>
      <c r="C8925" s="4" t="str">
        <f t="shared" si="783"/>
        <v>Hồ Chí Minh</v>
      </c>
      <c r="D8925" s="3" t="s">
        <v>625</v>
      </c>
      <c r="E8925" s="4" t="str">
        <f t="shared" si="786"/>
        <v>Quận Bình Tân</v>
      </c>
      <c r="F8925" s="3" t="s">
        <v>9684</v>
      </c>
      <c r="G8925" s="4" t="str">
        <f>HYPERLINK("https://diaocthongthai.com/phuong-tan-tao-a-quan-binh-tan/","Phường Tân Tạo A")</f>
        <v>Phường Tân Tạo A</v>
      </c>
    </row>
    <row r="8926" spans="1:7" x14ac:dyDescent="0.25">
      <c r="A8926" s="2">
        <v>8925</v>
      </c>
      <c r="B8926" s="3" t="s">
        <v>52</v>
      </c>
      <c r="C8926" s="4" t="str">
        <f t="shared" si="783"/>
        <v>Hồ Chí Minh</v>
      </c>
      <c r="D8926" s="3" t="s">
        <v>625</v>
      </c>
      <c r="E8926" s="4" t="str">
        <f t="shared" si="786"/>
        <v>Quận Bình Tân</v>
      </c>
      <c r="F8926" s="3" t="s">
        <v>9685</v>
      </c>
      <c r="G8926" s="4" t="str">
        <f>HYPERLINK("https://diaocthongthai.com/phuong-an-lac-quan-binh-tan/","Phường An Lạc")</f>
        <v>Phường An Lạc</v>
      </c>
    </row>
    <row r="8927" spans="1:7" x14ac:dyDescent="0.25">
      <c r="A8927" s="2">
        <v>8926</v>
      </c>
      <c r="B8927" s="3" t="s">
        <v>52</v>
      </c>
      <c r="C8927" s="4" t="str">
        <f t="shared" si="783"/>
        <v>Hồ Chí Minh</v>
      </c>
      <c r="D8927" s="3" t="s">
        <v>625</v>
      </c>
      <c r="E8927" s="4" t="str">
        <f t="shared" si="786"/>
        <v>Quận Bình Tân</v>
      </c>
      <c r="F8927" s="3" t="s">
        <v>9686</v>
      </c>
      <c r="G8927" s="4" t="str">
        <f>HYPERLINK("https://diaocthongthai.com/phuong-an-lac-a-quan-binh-tan/","Phường An Lạc A")</f>
        <v>Phường An Lạc A</v>
      </c>
    </row>
    <row r="8928" spans="1:7" x14ac:dyDescent="0.25">
      <c r="A8928" s="2">
        <v>8927</v>
      </c>
      <c r="B8928" s="3" t="s">
        <v>52</v>
      </c>
      <c r="C8928" s="4" t="str">
        <f t="shared" si="783"/>
        <v>Hồ Chí Minh</v>
      </c>
      <c r="D8928" s="3" t="s">
        <v>626</v>
      </c>
      <c r="E8928" s="4" t="str">
        <f t="shared" ref="E8928:E8937" si="787">HYPERLINK("https://diaocthongthai.com/ban-do-quan-7/","Quận 7")</f>
        <v>Quận 7</v>
      </c>
      <c r="F8928" s="3" t="s">
        <v>9687</v>
      </c>
      <c r="G8928" s="4" t="str">
        <f>HYPERLINK("https://diaocthongthai.com/phuong-tan-thuan-dong-quan-7/","Phường Tân Thuận Đông")</f>
        <v>Phường Tân Thuận Đông</v>
      </c>
    </row>
    <row r="8929" spans="1:7" x14ac:dyDescent="0.25">
      <c r="A8929" s="2">
        <v>8928</v>
      </c>
      <c r="B8929" s="3" t="s">
        <v>52</v>
      </c>
      <c r="C8929" s="4" t="str">
        <f t="shared" si="783"/>
        <v>Hồ Chí Minh</v>
      </c>
      <c r="D8929" s="3" t="s">
        <v>626</v>
      </c>
      <c r="E8929" s="4" t="str">
        <f t="shared" si="787"/>
        <v>Quận 7</v>
      </c>
      <c r="F8929" s="3" t="s">
        <v>9688</v>
      </c>
      <c r="G8929" s="4" t="str">
        <f>HYPERLINK("https://diaocthongthai.com/phuong-tan-thuan-tay-quan-7/","Phường Tân Thuận Tây")</f>
        <v>Phường Tân Thuận Tây</v>
      </c>
    </row>
    <row r="8930" spans="1:7" x14ac:dyDescent="0.25">
      <c r="A8930" s="2">
        <v>8929</v>
      </c>
      <c r="B8930" s="3" t="s">
        <v>52</v>
      </c>
      <c r="C8930" s="4" t="str">
        <f t="shared" si="783"/>
        <v>Hồ Chí Minh</v>
      </c>
      <c r="D8930" s="3" t="s">
        <v>626</v>
      </c>
      <c r="E8930" s="4" t="str">
        <f t="shared" si="787"/>
        <v>Quận 7</v>
      </c>
      <c r="F8930" s="3" t="s">
        <v>9689</v>
      </c>
      <c r="G8930" s="4" t="str">
        <f>HYPERLINK("https://diaocthongthai.com/phuong-tan-kieng-quan-7/","Phường Tân Kiểng")</f>
        <v>Phường Tân Kiểng</v>
      </c>
    </row>
    <row r="8931" spans="1:7" x14ac:dyDescent="0.25">
      <c r="A8931" s="2">
        <v>8930</v>
      </c>
      <c r="B8931" s="3" t="s">
        <v>52</v>
      </c>
      <c r="C8931" s="4" t="str">
        <f t="shared" si="783"/>
        <v>Hồ Chí Minh</v>
      </c>
      <c r="D8931" s="3" t="s">
        <v>626</v>
      </c>
      <c r="E8931" s="4" t="str">
        <f t="shared" si="787"/>
        <v>Quận 7</v>
      </c>
      <c r="F8931" s="3" t="s">
        <v>9690</v>
      </c>
      <c r="G8931" s="4" t="str">
        <f>HYPERLINK("https://diaocthongthai.com/phuong-tan-hung-quan-7/","Phường Tân Hưng")</f>
        <v>Phường Tân Hưng</v>
      </c>
    </row>
    <row r="8932" spans="1:7" x14ac:dyDescent="0.25">
      <c r="A8932" s="2">
        <v>8931</v>
      </c>
      <c r="B8932" s="3" t="s">
        <v>52</v>
      </c>
      <c r="C8932" s="4" t="str">
        <f t="shared" si="783"/>
        <v>Hồ Chí Minh</v>
      </c>
      <c r="D8932" s="3" t="s">
        <v>626</v>
      </c>
      <c r="E8932" s="4" t="str">
        <f t="shared" si="787"/>
        <v>Quận 7</v>
      </c>
      <c r="F8932" s="3" t="s">
        <v>9691</v>
      </c>
      <c r="G8932" s="4" t="str">
        <f>HYPERLINK("https://diaocthongthai.com/phuong-binh-thuan-quan-7/","Phường Bình Thuận")</f>
        <v>Phường Bình Thuận</v>
      </c>
    </row>
    <row r="8933" spans="1:7" x14ac:dyDescent="0.25">
      <c r="A8933" s="2">
        <v>8932</v>
      </c>
      <c r="B8933" s="3" t="s">
        <v>52</v>
      </c>
      <c r="C8933" s="4" t="str">
        <f t="shared" si="783"/>
        <v>Hồ Chí Minh</v>
      </c>
      <c r="D8933" s="3" t="s">
        <v>626</v>
      </c>
      <c r="E8933" s="4" t="str">
        <f t="shared" si="787"/>
        <v>Quận 7</v>
      </c>
      <c r="F8933" s="3" t="s">
        <v>9692</v>
      </c>
      <c r="G8933" s="4" t="str">
        <f>HYPERLINK("https://diaocthongthai.com/phuong-tan-quy-quan-7/","Phường Tân Quy")</f>
        <v>Phường Tân Quy</v>
      </c>
    </row>
    <row r="8934" spans="1:7" x14ac:dyDescent="0.25">
      <c r="A8934" s="2">
        <v>8933</v>
      </c>
      <c r="B8934" s="3" t="s">
        <v>52</v>
      </c>
      <c r="C8934" s="4" t="str">
        <f t="shared" si="783"/>
        <v>Hồ Chí Minh</v>
      </c>
      <c r="D8934" s="3" t="s">
        <v>626</v>
      </c>
      <c r="E8934" s="4" t="str">
        <f t="shared" si="787"/>
        <v>Quận 7</v>
      </c>
      <c r="F8934" s="3" t="s">
        <v>9693</v>
      </c>
      <c r="G8934" s="4" t="str">
        <f>HYPERLINK("https://diaocthongthai.com/phuong-phu-thuan-quan-7/","Phường Phú Thuận")</f>
        <v>Phường Phú Thuận</v>
      </c>
    </row>
    <row r="8935" spans="1:7" x14ac:dyDescent="0.25">
      <c r="A8935" s="2">
        <v>8934</v>
      </c>
      <c r="B8935" s="3" t="s">
        <v>52</v>
      </c>
      <c r="C8935" s="4" t="str">
        <f t="shared" si="783"/>
        <v>Hồ Chí Minh</v>
      </c>
      <c r="D8935" s="3" t="s">
        <v>626</v>
      </c>
      <c r="E8935" s="4" t="str">
        <f t="shared" si="787"/>
        <v>Quận 7</v>
      </c>
      <c r="F8935" s="3" t="s">
        <v>9694</v>
      </c>
      <c r="G8935" s="4" t="str">
        <f>HYPERLINK("https://diaocthongthai.com/phuong-tan-phu-quan-7/","Phường Tân Phú")</f>
        <v>Phường Tân Phú</v>
      </c>
    </row>
    <row r="8936" spans="1:7" x14ac:dyDescent="0.25">
      <c r="A8936" s="2">
        <v>8935</v>
      </c>
      <c r="B8936" s="3" t="s">
        <v>52</v>
      </c>
      <c r="C8936" s="4" t="str">
        <f t="shared" si="783"/>
        <v>Hồ Chí Minh</v>
      </c>
      <c r="D8936" s="3" t="s">
        <v>626</v>
      </c>
      <c r="E8936" s="4" t="str">
        <f t="shared" si="787"/>
        <v>Quận 7</v>
      </c>
      <c r="F8936" s="3" t="s">
        <v>9695</v>
      </c>
      <c r="G8936" s="4" t="str">
        <f>HYPERLINK("https://diaocthongthai.com/phuong-tan-phong-quan-7/","Phường Tân Phong")</f>
        <v>Phường Tân Phong</v>
      </c>
    </row>
    <row r="8937" spans="1:7" x14ac:dyDescent="0.25">
      <c r="A8937" s="2">
        <v>8936</v>
      </c>
      <c r="B8937" s="3" t="s">
        <v>52</v>
      </c>
      <c r="C8937" s="4" t="str">
        <f t="shared" si="783"/>
        <v>Hồ Chí Minh</v>
      </c>
      <c r="D8937" s="3" t="s">
        <v>626</v>
      </c>
      <c r="E8937" s="4" t="str">
        <f t="shared" si="787"/>
        <v>Quận 7</v>
      </c>
      <c r="F8937" s="3" t="s">
        <v>9696</v>
      </c>
      <c r="G8937" s="4" t="str">
        <f>HYPERLINK("https://diaocthongthai.com/phuong-phu-my-quan-7/","Phường Phú Mỹ")</f>
        <v>Phường Phú Mỹ</v>
      </c>
    </row>
    <row r="8938" spans="1:7" x14ac:dyDescent="0.25">
      <c r="A8938" s="2">
        <v>8937</v>
      </c>
      <c r="B8938" s="3" t="s">
        <v>52</v>
      </c>
      <c r="C8938" s="4" t="str">
        <f t="shared" si="783"/>
        <v>Hồ Chí Minh</v>
      </c>
      <c r="D8938" s="3" t="s">
        <v>627</v>
      </c>
      <c r="E8938" s="4" t="str">
        <f t="shared" ref="E8938:E8958" si="788">HYPERLINK("https://diaocthongthai.com/ban-do-huyen-cu-chi/","Huyện Củ Chi")</f>
        <v>Huyện Củ Chi</v>
      </c>
      <c r="F8938" s="3" t="s">
        <v>9697</v>
      </c>
      <c r="G8938" s="4" t="str">
        <f>HYPERLINK("https://diaocthongthai.com/thi-tran-cu-chi-cu-chi/","Thị trấn Củ Chi")</f>
        <v>Thị trấn Củ Chi</v>
      </c>
    </row>
    <row r="8939" spans="1:7" x14ac:dyDescent="0.25">
      <c r="A8939" s="2">
        <v>8938</v>
      </c>
      <c r="B8939" s="3" t="s">
        <v>52</v>
      </c>
      <c r="C8939" s="4" t="str">
        <f t="shared" si="783"/>
        <v>Hồ Chí Minh</v>
      </c>
      <c r="D8939" s="3" t="s">
        <v>627</v>
      </c>
      <c r="E8939" s="4" t="str">
        <f t="shared" si="788"/>
        <v>Huyện Củ Chi</v>
      </c>
      <c r="F8939" s="3" t="s">
        <v>9698</v>
      </c>
      <c r="G8939" s="4" t="str">
        <f>HYPERLINK("https://diaocthongthai.com/xa-phu-my-hung-cu-chi/","Xã Phú Mỹ Hưng")</f>
        <v>Xã Phú Mỹ Hưng</v>
      </c>
    </row>
    <row r="8940" spans="1:7" x14ac:dyDescent="0.25">
      <c r="A8940" s="2">
        <v>8939</v>
      </c>
      <c r="B8940" s="3" t="s">
        <v>52</v>
      </c>
      <c r="C8940" s="4" t="str">
        <f t="shared" si="783"/>
        <v>Hồ Chí Minh</v>
      </c>
      <c r="D8940" s="3" t="s">
        <v>627</v>
      </c>
      <c r="E8940" s="4" t="str">
        <f t="shared" si="788"/>
        <v>Huyện Củ Chi</v>
      </c>
      <c r="F8940" s="3" t="s">
        <v>9699</v>
      </c>
      <c r="G8940" s="4" t="str">
        <f>HYPERLINK("https://diaocthongthai.com/xa-an-phu-cu-chi/","Xã An Phú")</f>
        <v>Xã An Phú</v>
      </c>
    </row>
    <row r="8941" spans="1:7" x14ac:dyDescent="0.25">
      <c r="A8941" s="2">
        <v>8940</v>
      </c>
      <c r="B8941" s="3" t="s">
        <v>52</v>
      </c>
      <c r="C8941" s="4" t="str">
        <f t="shared" si="783"/>
        <v>Hồ Chí Minh</v>
      </c>
      <c r="D8941" s="3" t="s">
        <v>627</v>
      </c>
      <c r="E8941" s="4" t="str">
        <f t="shared" si="788"/>
        <v>Huyện Củ Chi</v>
      </c>
      <c r="F8941" s="3" t="s">
        <v>9700</v>
      </c>
      <c r="G8941" s="4" t="str">
        <f>HYPERLINK("https://diaocthongthai.com/xa-trung-lap-thuong-cu-chi/","Xã Trung Lập Thượng")</f>
        <v>Xã Trung Lập Thượng</v>
      </c>
    </row>
    <row r="8942" spans="1:7" x14ac:dyDescent="0.25">
      <c r="A8942" s="2">
        <v>8941</v>
      </c>
      <c r="B8942" s="3" t="s">
        <v>52</v>
      </c>
      <c r="C8942" s="4" t="str">
        <f t="shared" si="783"/>
        <v>Hồ Chí Minh</v>
      </c>
      <c r="D8942" s="3" t="s">
        <v>627</v>
      </c>
      <c r="E8942" s="4" t="str">
        <f t="shared" si="788"/>
        <v>Huyện Củ Chi</v>
      </c>
      <c r="F8942" s="3" t="s">
        <v>9701</v>
      </c>
      <c r="G8942" s="4" t="str">
        <f>HYPERLINK("https://diaocthongthai.com/xa-an-nhon-tay-cu-chi/","Xã An Nhơn Tây")</f>
        <v>Xã An Nhơn Tây</v>
      </c>
    </row>
    <row r="8943" spans="1:7" x14ac:dyDescent="0.25">
      <c r="A8943" s="2">
        <v>8942</v>
      </c>
      <c r="B8943" s="3" t="s">
        <v>52</v>
      </c>
      <c r="C8943" s="4" t="str">
        <f t="shared" si="783"/>
        <v>Hồ Chí Minh</v>
      </c>
      <c r="D8943" s="3" t="s">
        <v>627</v>
      </c>
      <c r="E8943" s="4" t="str">
        <f t="shared" si="788"/>
        <v>Huyện Củ Chi</v>
      </c>
      <c r="F8943" s="3" t="s">
        <v>9702</v>
      </c>
      <c r="G8943" s="4" t="str">
        <f>HYPERLINK("https://diaocthongthai.com/xa-nhuan-duc-cu-chi/","Xã Nhuận Đức")</f>
        <v>Xã Nhuận Đức</v>
      </c>
    </row>
    <row r="8944" spans="1:7" x14ac:dyDescent="0.25">
      <c r="A8944" s="2">
        <v>8943</v>
      </c>
      <c r="B8944" s="3" t="s">
        <v>52</v>
      </c>
      <c r="C8944" s="4" t="str">
        <f t="shared" si="783"/>
        <v>Hồ Chí Minh</v>
      </c>
      <c r="D8944" s="3" t="s">
        <v>627</v>
      </c>
      <c r="E8944" s="4" t="str">
        <f t="shared" si="788"/>
        <v>Huyện Củ Chi</v>
      </c>
      <c r="F8944" s="3" t="s">
        <v>9703</v>
      </c>
      <c r="G8944" s="4" t="str">
        <f>HYPERLINK("https://diaocthongthai.com/xa-pham-van-coi-cu-chi/","Xã Phạm Văn Cội")</f>
        <v>Xã Phạm Văn Cội</v>
      </c>
    </row>
    <row r="8945" spans="1:7" x14ac:dyDescent="0.25">
      <c r="A8945" s="2">
        <v>8944</v>
      </c>
      <c r="B8945" s="3" t="s">
        <v>52</v>
      </c>
      <c r="C8945" s="4" t="str">
        <f t="shared" ref="C8945:C9000" si="789">HYPERLINK("https://diaocthongthai.com/ban-do-cac-quan-tp-hcm/","Hồ Chí Minh")</f>
        <v>Hồ Chí Minh</v>
      </c>
      <c r="D8945" s="3" t="s">
        <v>627</v>
      </c>
      <c r="E8945" s="4" t="str">
        <f t="shared" si="788"/>
        <v>Huyện Củ Chi</v>
      </c>
      <c r="F8945" s="3" t="s">
        <v>9704</v>
      </c>
      <c r="G8945" s="4" t="str">
        <f>HYPERLINK("https://diaocthongthai.com/xa-phu-hoa-dong-cu-chi/","Xã Phú Hòa Đông")</f>
        <v>Xã Phú Hòa Đông</v>
      </c>
    </row>
    <row r="8946" spans="1:7" x14ac:dyDescent="0.25">
      <c r="A8946" s="2">
        <v>8945</v>
      </c>
      <c r="B8946" s="3" t="s">
        <v>52</v>
      </c>
      <c r="C8946" s="4" t="str">
        <f t="shared" si="789"/>
        <v>Hồ Chí Minh</v>
      </c>
      <c r="D8946" s="3" t="s">
        <v>627</v>
      </c>
      <c r="E8946" s="4" t="str">
        <f t="shared" si="788"/>
        <v>Huyện Củ Chi</v>
      </c>
      <c r="F8946" s="3" t="s">
        <v>9705</v>
      </c>
      <c r="G8946" s="4" t="str">
        <f>HYPERLINK("https://diaocthongthai.com/xa-trung-lap-ha-cu-chi/","Xã Trung Lập Hạ")</f>
        <v>Xã Trung Lập Hạ</v>
      </c>
    </row>
    <row r="8947" spans="1:7" x14ac:dyDescent="0.25">
      <c r="A8947" s="2">
        <v>8946</v>
      </c>
      <c r="B8947" s="3" t="s">
        <v>52</v>
      </c>
      <c r="C8947" s="4" t="str">
        <f t="shared" si="789"/>
        <v>Hồ Chí Minh</v>
      </c>
      <c r="D8947" s="3" t="s">
        <v>627</v>
      </c>
      <c r="E8947" s="4" t="str">
        <f t="shared" si="788"/>
        <v>Huyện Củ Chi</v>
      </c>
      <c r="F8947" s="3" t="s">
        <v>9706</v>
      </c>
      <c r="G8947" s="4" t="str">
        <f>HYPERLINK("https://diaocthongthai.com/xa-trung-an-cu-chi/","Xã Trung An")</f>
        <v>Xã Trung An</v>
      </c>
    </row>
    <row r="8948" spans="1:7" x14ac:dyDescent="0.25">
      <c r="A8948" s="2">
        <v>8947</v>
      </c>
      <c r="B8948" s="3" t="s">
        <v>52</v>
      </c>
      <c r="C8948" s="4" t="str">
        <f t="shared" si="789"/>
        <v>Hồ Chí Minh</v>
      </c>
      <c r="D8948" s="3" t="s">
        <v>627</v>
      </c>
      <c r="E8948" s="4" t="str">
        <f t="shared" si="788"/>
        <v>Huyện Củ Chi</v>
      </c>
      <c r="F8948" s="3" t="s">
        <v>9707</v>
      </c>
      <c r="G8948" s="4" t="str">
        <f>HYPERLINK("https://diaocthongthai.com/xa-phuoc-thanh-cu-chi/","Xã Phước Thạnh")</f>
        <v>Xã Phước Thạnh</v>
      </c>
    </row>
    <row r="8949" spans="1:7" x14ac:dyDescent="0.25">
      <c r="A8949" s="2">
        <v>8948</v>
      </c>
      <c r="B8949" s="3" t="s">
        <v>52</v>
      </c>
      <c r="C8949" s="4" t="str">
        <f t="shared" si="789"/>
        <v>Hồ Chí Minh</v>
      </c>
      <c r="D8949" s="3" t="s">
        <v>627</v>
      </c>
      <c r="E8949" s="4" t="str">
        <f t="shared" si="788"/>
        <v>Huyện Củ Chi</v>
      </c>
      <c r="F8949" s="3" t="s">
        <v>9708</v>
      </c>
      <c r="G8949" s="4" t="str">
        <f>HYPERLINK("https://diaocthongthai.com/xa-phuoc-hiep-cu-chi/","Xã Phước Hiệp")</f>
        <v>Xã Phước Hiệp</v>
      </c>
    </row>
    <row r="8950" spans="1:7" x14ac:dyDescent="0.25">
      <c r="A8950" s="2">
        <v>8949</v>
      </c>
      <c r="B8950" s="3" t="s">
        <v>52</v>
      </c>
      <c r="C8950" s="4" t="str">
        <f t="shared" si="789"/>
        <v>Hồ Chí Minh</v>
      </c>
      <c r="D8950" s="3" t="s">
        <v>627</v>
      </c>
      <c r="E8950" s="4" t="str">
        <f t="shared" si="788"/>
        <v>Huyện Củ Chi</v>
      </c>
      <c r="F8950" s="3" t="s">
        <v>9709</v>
      </c>
      <c r="G8950" s="4" t="str">
        <f>HYPERLINK("https://diaocthongthai.com/xa-tan-an-hoi-cu-chi/","Xã Tân An Hội")</f>
        <v>Xã Tân An Hội</v>
      </c>
    </row>
    <row r="8951" spans="1:7" x14ac:dyDescent="0.25">
      <c r="A8951" s="2">
        <v>8950</v>
      </c>
      <c r="B8951" s="3" t="s">
        <v>52</v>
      </c>
      <c r="C8951" s="4" t="str">
        <f t="shared" si="789"/>
        <v>Hồ Chí Minh</v>
      </c>
      <c r="D8951" s="3" t="s">
        <v>627</v>
      </c>
      <c r="E8951" s="4" t="str">
        <f t="shared" si="788"/>
        <v>Huyện Củ Chi</v>
      </c>
      <c r="F8951" s="3" t="s">
        <v>9710</v>
      </c>
      <c r="G8951" s="4" t="str">
        <f>HYPERLINK("https://diaocthongthai.com/xa-phuoc-vinh-an-cu-chi/","Xã Phước Vĩnh An")</f>
        <v>Xã Phước Vĩnh An</v>
      </c>
    </row>
    <row r="8952" spans="1:7" x14ac:dyDescent="0.25">
      <c r="A8952" s="2">
        <v>8951</v>
      </c>
      <c r="B8952" s="3" t="s">
        <v>52</v>
      </c>
      <c r="C8952" s="4" t="str">
        <f t="shared" si="789"/>
        <v>Hồ Chí Minh</v>
      </c>
      <c r="D8952" s="3" t="s">
        <v>627</v>
      </c>
      <c r="E8952" s="4" t="str">
        <f t="shared" si="788"/>
        <v>Huyện Củ Chi</v>
      </c>
      <c r="F8952" s="3" t="s">
        <v>9711</v>
      </c>
      <c r="G8952" s="4" t="str">
        <f>HYPERLINK("https://diaocthongthai.com/xa-thai-my-cu-chi/","Xã Thái Mỹ")</f>
        <v>Xã Thái Mỹ</v>
      </c>
    </row>
    <row r="8953" spans="1:7" x14ac:dyDescent="0.25">
      <c r="A8953" s="2">
        <v>8952</v>
      </c>
      <c r="B8953" s="3" t="s">
        <v>52</v>
      </c>
      <c r="C8953" s="4" t="str">
        <f t="shared" si="789"/>
        <v>Hồ Chí Minh</v>
      </c>
      <c r="D8953" s="3" t="s">
        <v>627</v>
      </c>
      <c r="E8953" s="4" t="str">
        <f t="shared" si="788"/>
        <v>Huyện Củ Chi</v>
      </c>
      <c r="F8953" s="3" t="s">
        <v>9712</v>
      </c>
      <c r="G8953" s="4" t="str">
        <f>HYPERLINK("https://diaocthongthai.com/xa-tan-thanh-tay-cu-chi/","Xã Tân Thạnh Tây")</f>
        <v>Xã Tân Thạnh Tây</v>
      </c>
    </row>
    <row r="8954" spans="1:7" x14ac:dyDescent="0.25">
      <c r="A8954" s="2">
        <v>8953</v>
      </c>
      <c r="B8954" s="3" t="s">
        <v>52</v>
      </c>
      <c r="C8954" s="4" t="str">
        <f t="shared" si="789"/>
        <v>Hồ Chí Minh</v>
      </c>
      <c r="D8954" s="3" t="s">
        <v>627</v>
      </c>
      <c r="E8954" s="4" t="str">
        <f t="shared" si="788"/>
        <v>Huyện Củ Chi</v>
      </c>
      <c r="F8954" s="3" t="s">
        <v>9713</v>
      </c>
      <c r="G8954" s="4" t="str">
        <f>HYPERLINK("https://diaocthongthai.com/xa-hoa-phu-cu-chi/","Xã Hòa Phú")</f>
        <v>Xã Hòa Phú</v>
      </c>
    </row>
    <row r="8955" spans="1:7" x14ac:dyDescent="0.25">
      <c r="A8955" s="2">
        <v>8954</v>
      </c>
      <c r="B8955" s="3" t="s">
        <v>52</v>
      </c>
      <c r="C8955" s="4" t="str">
        <f t="shared" si="789"/>
        <v>Hồ Chí Minh</v>
      </c>
      <c r="D8955" s="3" t="s">
        <v>627</v>
      </c>
      <c r="E8955" s="4" t="str">
        <f t="shared" si="788"/>
        <v>Huyện Củ Chi</v>
      </c>
      <c r="F8955" s="3" t="s">
        <v>9714</v>
      </c>
      <c r="G8955" s="4" t="str">
        <f>HYPERLINK("https://diaocthongthai.com/xa-tan-thanh-dong-cu-chi/","Xã Tân Thạnh Đông")</f>
        <v>Xã Tân Thạnh Đông</v>
      </c>
    </row>
    <row r="8956" spans="1:7" x14ac:dyDescent="0.25">
      <c r="A8956" s="2">
        <v>8955</v>
      </c>
      <c r="B8956" s="3" t="s">
        <v>52</v>
      </c>
      <c r="C8956" s="4" t="str">
        <f t="shared" si="789"/>
        <v>Hồ Chí Minh</v>
      </c>
      <c r="D8956" s="3" t="s">
        <v>627</v>
      </c>
      <c r="E8956" s="4" t="str">
        <f t="shared" si="788"/>
        <v>Huyện Củ Chi</v>
      </c>
      <c r="F8956" s="3" t="s">
        <v>9715</v>
      </c>
      <c r="G8956" s="4" t="str">
        <f>HYPERLINK("https://diaocthongthai.com/xa-binh-my-cu-chi/","Xã Bình Mỹ")</f>
        <v>Xã Bình Mỹ</v>
      </c>
    </row>
    <row r="8957" spans="1:7" x14ac:dyDescent="0.25">
      <c r="A8957" s="2">
        <v>8956</v>
      </c>
      <c r="B8957" s="3" t="s">
        <v>52</v>
      </c>
      <c r="C8957" s="4" t="str">
        <f t="shared" si="789"/>
        <v>Hồ Chí Minh</v>
      </c>
      <c r="D8957" s="3" t="s">
        <v>627</v>
      </c>
      <c r="E8957" s="4" t="str">
        <f t="shared" si="788"/>
        <v>Huyện Củ Chi</v>
      </c>
      <c r="F8957" s="3" t="s">
        <v>9716</v>
      </c>
      <c r="G8957" s="4" t="str">
        <f>HYPERLINK("https://diaocthongthai.com/xa-tan-phu-trung-cu-chi/","Xã Tân Phú Trung")</f>
        <v>Xã Tân Phú Trung</v>
      </c>
    </row>
    <row r="8958" spans="1:7" x14ac:dyDescent="0.25">
      <c r="A8958" s="2">
        <v>8957</v>
      </c>
      <c r="B8958" s="3" t="s">
        <v>52</v>
      </c>
      <c r="C8958" s="4" t="str">
        <f t="shared" si="789"/>
        <v>Hồ Chí Minh</v>
      </c>
      <c r="D8958" s="3" t="s">
        <v>627</v>
      </c>
      <c r="E8958" s="4" t="str">
        <f t="shared" si="788"/>
        <v>Huyện Củ Chi</v>
      </c>
      <c r="F8958" s="3" t="s">
        <v>9717</v>
      </c>
      <c r="G8958" s="4" t="str">
        <f>HYPERLINK("https://diaocthongthai.com/xa-tan-thong-hoi-cu-chi/","Xã Tân Thông Hội")</f>
        <v>Xã Tân Thông Hội</v>
      </c>
    </row>
    <row r="8959" spans="1:7" x14ac:dyDescent="0.25">
      <c r="A8959" s="2">
        <v>8958</v>
      </c>
      <c r="B8959" s="3" t="s">
        <v>52</v>
      </c>
      <c r="C8959" s="4" t="str">
        <f t="shared" si="789"/>
        <v>Hồ Chí Minh</v>
      </c>
      <c r="D8959" s="3" t="s">
        <v>628</v>
      </c>
      <c r="E8959" s="4" t="str">
        <f t="shared" ref="E8959:E8970" si="790">HYPERLINK("https://diaocthongthai.com/ban-do-huyen-hoc-mon/","Huyện Hóc Môn")</f>
        <v>Huyện Hóc Môn</v>
      </c>
      <c r="F8959" s="3" t="s">
        <v>9718</v>
      </c>
      <c r="G8959" s="4" t="str">
        <f>HYPERLINK("https://diaocthongthai.com/thi-tran-hoc-mon-hoc-mon/","Thị trấn Hóc Môn")</f>
        <v>Thị trấn Hóc Môn</v>
      </c>
    </row>
    <row r="8960" spans="1:7" x14ac:dyDescent="0.25">
      <c r="A8960" s="2">
        <v>8959</v>
      </c>
      <c r="B8960" s="3" t="s">
        <v>52</v>
      </c>
      <c r="C8960" s="4" t="str">
        <f t="shared" si="789"/>
        <v>Hồ Chí Minh</v>
      </c>
      <c r="D8960" s="3" t="s">
        <v>628</v>
      </c>
      <c r="E8960" s="4" t="str">
        <f t="shared" si="790"/>
        <v>Huyện Hóc Môn</v>
      </c>
      <c r="F8960" s="3" t="s">
        <v>9719</v>
      </c>
      <c r="G8960" s="4" t="str">
        <f>HYPERLINK("https://diaocthongthai.com/xa-tan-hiep-hoc-mon/","Xã Tân Hiệp")</f>
        <v>Xã Tân Hiệp</v>
      </c>
    </row>
    <row r="8961" spans="1:7" x14ac:dyDescent="0.25">
      <c r="A8961" s="2">
        <v>8960</v>
      </c>
      <c r="B8961" s="3" t="s">
        <v>52</v>
      </c>
      <c r="C8961" s="4" t="str">
        <f t="shared" si="789"/>
        <v>Hồ Chí Minh</v>
      </c>
      <c r="D8961" s="3" t="s">
        <v>628</v>
      </c>
      <c r="E8961" s="4" t="str">
        <f t="shared" si="790"/>
        <v>Huyện Hóc Môn</v>
      </c>
      <c r="F8961" s="3" t="s">
        <v>9720</v>
      </c>
      <c r="G8961" s="4" t="str">
        <f>HYPERLINK("https://diaocthongthai.com/xa-nhi-binh-hoc-mon/","Xã Nhị Bình")</f>
        <v>Xã Nhị Bình</v>
      </c>
    </row>
    <row r="8962" spans="1:7" x14ac:dyDescent="0.25">
      <c r="A8962" s="2">
        <v>8961</v>
      </c>
      <c r="B8962" s="3" t="s">
        <v>52</v>
      </c>
      <c r="C8962" s="4" t="str">
        <f t="shared" si="789"/>
        <v>Hồ Chí Minh</v>
      </c>
      <c r="D8962" s="3" t="s">
        <v>628</v>
      </c>
      <c r="E8962" s="4" t="str">
        <f t="shared" si="790"/>
        <v>Huyện Hóc Môn</v>
      </c>
      <c r="F8962" s="3" t="s">
        <v>9721</v>
      </c>
      <c r="G8962" s="4" t="str">
        <f>HYPERLINK("https://diaocthongthai.com/xa-dong-thanh-hoc-mon/","Xã Đông Thạnh")</f>
        <v>Xã Đông Thạnh</v>
      </c>
    </row>
    <row r="8963" spans="1:7" x14ac:dyDescent="0.25">
      <c r="A8963" s="2">
        <v>8962</v>
      </c>
      <c r="B8963" s="3" t="s">
        <v>52</v>
      </c>
      <c r="C8963" s="4" t="str">
        <f t="shared" si="789"/>
        <v>Hồ Chí Minh</v>
      </c>
      <c r="D8963" s="3" t="s">
        <v>628</v>
      </c>
      <c r="E8963" s="4" t="str">
        <f t="shared" si="790"/>
        <v>Huyện Hóc Môn</v>
      </c>
      <c r="F8963" s="3" t="s">
        <v>9722</v>
      </c>
      <c r="G8963" s="4" t="str">
        <f>HYPERLINK("https://diaocthongthai.com/xa-tan-thoi-nhi-hoc-mon/","Xã Tân Thới Nhì")</f>
        <v>Xã Tân Thới Nhì</v>
      </c>
    </row>
    <row r="8964" spans="1:7" x14ac:dyDescent="0.25">
      <c r="A8964" s="2">
        <v>8963</v>
      </c>
      <c r="B8964" s="3" t="s">
        <v>52</v>
      </c>
      <c r="C8964" s="4" t="str">
        <f t="shared" si="789"/>
        <v>Hồ Chí Minh</v>
      </c>
      <c r="D8964" s="3" t="s">
        <v>628</v>
      </c>
      <c r="E8964" s="4" t="str">
        <f t="shared" si="790"/>
        <v>Huyện Hóc Môn</v>
      </c>
      <c r="F8964" s="3" t="s">
        <v>9723</v>
      </c>
      <c r="G8964" s="4" t="str">
        <f>HYPERLINK("https://diaocthongthai.com/xa-thoi-tam-thon-hoc-mon/","Xã Thới Tam Thôn")</f>
        <v>Xã Thới Tam Thôn</v>
      </c>
    </row>
    <row r="8965" spans="1:7" x14ac:dyDescent="0.25">
      <c r="A8965" s="2">
        <v>8964</v>
      </c>
      <c r="B8965" s="3" t="s">
        <v>52</v>
      </c>
      <c r="C8965" s="4" t="str">
        <f t="shared" si="789"/>
        <v>Hồ Chí Minh</v>
      </c>
      <c r="D8965" s="3" t="s">
        <v>628</v>
      </c>
      <c r="E8965" s="4" t="str">
        <f t="shared" si="790"/>
        <v>Huyện Hóc Môn</v>
      </c>
      <c r="F8965" s="3" t="s">
        <v>9724</v>
      </c>
      <c r="G8965" s="4" t="str">
        <f>HYPERLINK("https://diaocthongthai.com/xa-xuan-thoi-son-hoc-mon/","Xã Xuân Thới Sơn")</f>
        <v>Xã Xuân Thới Sơn</v>
      </c>
    </row>
    <row r="8966" spans="1:7" x14ac:dyDescent="0.25">
      <c r="A8966" s="2">
        <v>8965</v>
      </c>
      <c r="B8966" s="3" t="s">
        <v>52</v>
      </c>
      <c r="C8966" s="4" t="str">
        <f t="shared" si="789"/>
        <v>Hồ Chí Minh</v>
      </c>
      <c r="D8966" s="3" t="s">
        <v>628</v>
      </c>
      <c r="E8966" s="4" t="str">
        <f t="shared" si="790"/>
        <v>Huyện Hóc Môn</v>
      </c>
      <c r="F8966" s="3" t="s">
        <v>9725</v>
      </c>
      <c r="G8966" s="4" t="str">
        <f>HYPERLINK("https://diaocthongthai.com/xa-tan-xuan-hoc-mon/","Xã Tân Xuân")</f>
        <v>Xã Tân Xuân</v>
      </c>
    </row>
    <row r="8967" spans="1:7" x14ac:dyDescent="0.25">
      <c r="A8967" s="2">
        <v>8966</v>
      </c>
      <c r="B8967" s="3" t="s">
        <v>52</v>
      </c>
      <c r="C8967" s="4" t="str">
        <f t="shared" si="789"/>
        <v>Hồ Chí Minh</v>
      </c>
      <c r="D8967" s="3" t="s">
        <v>628</v>
      </c>
      <c r="E8967" s="4" t="str">
        <f t="shared" si="790"/>
        <v>Huyện Hóc Môn</v>
      </c>
      <c r="F8967" s="3" t="s">
        <v>9726</v>
      </c>
      <c r="G8967" s="4" t="str">
        <f>HYPERLINK("https://diaocthongthai.com/xa-xuan-thoi-dong-hoc-mon/","Xã Xuân Thới Đông")</f>
        <v>Xã Xuân Thới Đông</v>
      </c>
    </row>
    <row r="8968" spans="1:7" x14ac:dyDescent="0.25">
      <c r="A8968" s="2">
        <v>8967</v>
      </c>
      <c r="B8968" s="3" t="s">
        <v>52</v>
      </c>
      <c r="C8968" s="4" t="str">
        <f t="shared" si="789"/>
        <v>Hồ Chí Minh</v>
      </c>
      <c r="D8968" s="3" t="s">
        <v>628</v>
      </c>
      <c r="E8968" s="4" t="str">
        <f t="shared" si="790"/>
        <v>Huyện Hóc Môn</v>
      </c>
      <c r="F8968" s="3" t="s">
        <v>9727</v>
      </c>
      <c r="G8968" s="4" t="str">
        <f>HYPERLINK("https://diaocthongthai.com/xa-trung-chanh-hoc-mon/","Xã Trung Chánh")</f>
        <v>Xã Trung Chánh</v>
      </c>
    </row>
    <row r="8969" spans="1:7" x14ac:dyDescent="0.25">
      <c r="A8969" s="2">
        <v>8968</v>
      </c>
      <c r="B8969" s="3" t="s">
        <v>52</v>
      </c>
      <c r="C8969" s="4" t="str">
        <f t="shared" si="789"/>
        <v>Hồ Chí Minh</v>
      </c>
      <c r="D8969" s="3" t="s">
        <v>628</v>
      </c>
      <c r="E8969" s="4" t="str">
        <f t="shared" si="790"/>
        <v>Huyện Hóc Môn</v>
      </c>
      <c r="F8969" s="3" t="s">
        <v>9728</v>
      </c>
      <c r="G8969" s="4" t="str">
        <f>HYPERLINK("https://diaocthongthai.com/xa-xuan-thoi-thuong-hoc-mon/","Xã Xuân Thới Thượng")</f>
        <v>Xã Xuân Thới Thượng</v>
      </c>
    </row>
    <row r="8970" spans="1:7" x14ac:dyDescent="0.25">
      <c r="A8970" s="2">
        <v>8969</v>
      </c>
      <c r="B8970" s="3" t="s">
        <v>52</v>
      </c>
      <c r="C8970" s="4" t="str">
        <f t="shared" si="789"/>
        <v>Hồ Chí Minh</v>
      </c>
      <c r="D8970" s="3" t="s">
        <v>628</v>
      </c>
      <c r="E8970" s="4" t="str">
        <f t="shared" si="790"/>
        <v>Huyện Hóc Môn</v>
      </c>
      <c r="F8970" s="3" t="s">
        <v>9729</v>
      </c>
      <c r="G8970" s="4" t="str">
        <f>HYPERLINK("https://diaocthongthai.com/xa-ba-diem-hoc-mon/","Xã Bà Điểm")</f>
        <v>Xã Bà Điểm</v>
      </c>
    </row>
    <row r="8971" spans="1:7" x14ac:dyDescent="0.25">
      <c r="A8971" s="2">
        <v>8970</v>
      </c>
      <c r="B8971" s="3" t="s">
        <v>52</v>
      </c>
      <c r="C8971" s="4" t="str">
        <f t="shared" si="789"/>
        <v>Hồ Chí Minh</v>
      </c>
      <c r="D8971" s="3" t="s">
        <v>629</v>
      </c>
      <c r="E8971" s="4" t="str">
        <f t="shared" ref="E8971:E8986" si="791">HYPERLINK("https://diaocthongthai.com/ban-do-huyen-binh-chanh/","Huyện Bình Chánh")</f>
        <v>Huyện Bình Chánh</v>
      </c>
      <c r="F8971" s="3" t="s">
        <v>9730</v>
      </c>
      <c r="G8971" s="4" t="str">
        <f>HYPERLINK("https://diaocthongthai.com/thi-tran-tan-tuc-binh-chanh/","Thị trấn Tân Túc")</f>
        <v>Thị trấn Tân Túc</v>
      </c>
    </row>
    <row r="8972" spans="1:7" x14ac:dyDescent="0.25">
      <c r="A8972" s="2">
        <v>8971</v>
      </c>
      <c r="B8972" s="3" t="s">
        <v>52</v>
      </c>
      <c r="C8972" s="4" t="str">
        <f t="shared" si="789"/>
        <v>Hồ Chí Minh</v>
      </c>
      <c r="D8972" s="3" t="s">
        <v>629</v>
      </c>
      <c r="E8972" s="4" t="str">
        <f t="shared" si="791"/>
        <v>Huyện Bình Chánh</v>
      </c>
      <c r="F8972" s="3" t="s">
        <v>9731</v>
      </c>
      <c r="G8972" s="4" t="str">
        <f>HYPERLINK("https://diaocthongthai.com/xa-pham-van-hai-binh-chanh/","Xã Phạm Văn Hai")</f>
        <v>Xã Phạm Văn Hai</v>
      </c>
    </row>
    <row r="8973" spans="1:7" x14ac:dyDescent="0.25">
      <c r="A8973" s="2">
        <v>8972</v>
      </c>
      <c r="B8973" s="3" t="s">
        <v>52</v>
      </c>
      <c r="C8973" s="4" t="str">
        <f t="shared" si="789"/>
        <v>Hồ Chí Minh</v>
      </c>
      <c r="D8973" s="3" t="s">
        <v>629</v>
      </c>
      <c r="E8973" s="4" t="str">
        <f t="shared" si="791"/>
        <v>Huyện Bình Chánh</v>
      </c>
      <c r="F8973" s="3" t="s">
        <v>9732</v>
      </c>
      <c r="G8973" s="4" t="str">
        <f>HYPERLINK("https://diaocthongthai.com/xa-vinh-loc-a-binh-chanh/","Xã Vĩnh Lộc A")</f>
        <v>Xã Vĩnh Lộc A</v>
      </c>
    </row>
    <row r="8974" spans="1:7" x14ac:dyDescent="0.25">
      <c r="A8974" s="2">
        <v>8973</v>
      </c>
      <c r="B8974" s="3" t="s">
        <v>52</v>
      </c>
      <c r="C8974" s="4" t="str">
        <f t="shared" si="789"/>
        <v>Hồ Chí Minh</v>
      </c>
      <c r="D8974" s="3" t="s">
        <v>629</v>
      </c>
      <c r="E8974" s="4" t="str">
        <f t="shared" si="791"/>
        <v>Huyện Bình Chánh</v>
      </c>
      <c r="F8974" s="3" t="s">
        <v>9733</v>
      </c>
      <c r="G8974" s="4" t="str">
        <f>HYPERLINK("https://diaocthongthai.com/xa-vinh-loc-b-binh-chanh/","Xã Vĩnh Lộc B")</f>
        <v>Xã Vĩnh Lộc B</v>
      </c>
    </row>
    <row r="8975" spans="1:7" x14ac:dyDescent="0.25">
      <c r="A8975" s="2">
        <v>8974</v>
      </c>
      <c r="B8975" s="3" t="s">
        <v>52</v>
      </c>
      <c r="C8975" s="4" t="str">
        <f t="shared" si="789"/>
        <v>Hồ Chí Minh</v>
      </c>
      <c r="D8975" s="3" t="s">
        <v>629</v>
      </c>
      <c r="E8975" s="4" t="str">
        <f t="shared" si="791"/>
        <v>Huyện Bình Chánh</v>
      </c>
      <c r="F8975" s="3" t="s">
        <v>9734</v>
      </c>
      <c r="G8975" s="4" t="str">
        <f>HYPERLINK("https://diaocthongthai.com/xa-binh-loi-binh-chanh/","Xã Bình Lợi")</f>
        <v>Xã Bình Lợi</v>
      </c>
    </row>
    <row r="8976" spans="1:7" x14ac:dyDescent="0.25">
      <c r="A8976" s="2">
        <v>8975</v>
      </c>
      <c r="B8976" s="3" t="s">
        <v>52</v>
      </c>
      <c r="C8976" s="4" t="str">
        <f t="shared" si="789"/>
        <v>Hồ Chí Minh</v>
      </c>
      <c r="D8976" s="3" t="s">
        <v>629</v>
      </c>
      <c r="E8976" s="4" t="str">
        <f t="shared" si="791"/>
        <v>Huyện Bình Chánh</v>
      </c>
      <c r="F8976" s="3" t="s">
        <v>9735</v>
      </c>
      <c r="G8976" s="4" t="str">
        <f>HYPERLINK("https://diaocthongthai.com/xa-le-minh-xuan-binh-chanh/","Xã Lê Minh Xuân")</f>
        <v>Xã Lê Minh Xuân</v>
      </c>
    </row>
    <row r="8977" spans="1:7" x14ac:dyDescent="0.25">
      <c r="A8977" s="2">
        <v>8976</v>
      </c>
      <c r="B8977" s="3" t="s">
        <v>52</v>
      </c>
      <c r="C8977" s="4" t="str">
        <f t="shared" si="789"/>
        <v>Hồ Chí Minh</v>
      </c>
      <c r="D8977" s="3" t="s">
        <v>629</v>
      </c>
      <c r="E8977" s="4" t="str">
        <f t="shared" si="791"/>
        <v>Huyện Bình Chánh</v>
      </c>
      <c r="F8977" s="3" t="s">
        <v>9736</v>
      </c>
      <c r="G8977" s="4" t="str">
        <f>HYPERLINK("https://diaocthongthai.com/xa-tan-nhut-binh-chanh/","Xã Tân Nhựt")</f>
        <v>Xã Tân Nhựt</v>
      </c>
    </row>
    <row r="8978" spans="1:7" x14ac:dyDescent="0.25">
      <c r="A8978" s="2">
        <v>8977</v>
      </c>
      <c r="B8978" s="3" t="s">
        <v>52</v>
      </c>
      <c r="C8978" s="4" t="str">
        <f t="shared" si="789"/>
        <v>Hồ Chí Minh</v>
      </c>
      <c r="D8978" s="3" t="s">
        <v>629</v>
      </c>
      <c r="E8978" s="4" t="str">
        <f t="shared" si="791"/>
        <v>Huyện Bình Chánh</v>
      </c>
      <c r="F8978" s="3" t="s">
        <v>9737</v>
      </c>
      <c r="G8978" s="4" t="str">
        <f>HYPERLINK("https://diaocthongthai.com/xa-tan-kien-binh-chanh/","Xã Tân Kiên")</f>
        <v>Xã Tân Kiên</v>
      </c>
    </row>
    <row r="8979" spans="1:7" x14ac:dyDescent="0.25">
      <c r="A8979" s="2">
        <v>8978</v>
      </c>
      <c r="B8979" s="3" t="s">
        <v>52</v>
      </c>
      <c r="C8979" s="4" t="str">
        <f t="shared" si="789"/>
        <v>Hồ Chí Minh</v>
      </c>
      <c r="D8979" s="3" t="s">
        <v>629</v>
      </c>
      <c r="E8979" s="4" t="str">
        <f t="shared" si="791"/>
        <v>Huyện Bình Chánh</v>
      </c>
      <c r="F8979" s="3" t="s">
        <v>9738</v>
      </c>
      <c r="G8979" s="4" t="str">
        <f>HYPERLINK("https://diaocthongthai.com/xa-binh-hung-binh-chanh/","Xã Bình Hưng")</f>
        <v>Xã Bình Hưng</v>
      </c>
    </row>
    <row r="8980" spans="1:7" x14ac:dyDescent="0.25">
      <c r="A8980" s="2">
        <v>8979</v>
      </c>
      <c r="B8980" s="3" t="s">
        <v>52</v>
      </c>
      <c r="C8980" s="4" t="str">
        <f t="shared" si="789"/>
        <v>Hồ Chí Minh</v>
      </c>
      <c r="D8980" s="3" t="s">
        <v>629</v>
      </c>
      <c r="E8980" s="4" t="str">
        <f t="shared" si="791"/>
        <v>Huyện Bình Chánh</v>
      </c>
      <c r="F8980" s="3" t="s">
        <v>9739</v>
      </c>
      <c r="G8980" s="4" t="str">
        <f>HYPERLINK("https://diaocthongthai.com/xa-phong-phu-binh-chanh/","Xã Phong Phú")</f>
        <v>Xã Phong Phú</v>
      </c>
    </row>
    <row r="8981" spans="1:7" x14ac:dyDescent="0.25">
      <c r="A8981" s="2">
        <v>8980</v>
      </c>
      <c r="B8981" s="3" t="s">
        <v>52</v>
      </c>
      <c r="C8981" s="4" t="str">
        <f t="shared" si="789"/>
        <v>Hồ Chí Minh</v>
      </c>
      <c r="D8981" s="3" t="s">
        <v>629</v>
      </c>
      <c r="E8981" s="4" t="str">
        <f t="shared" si="791"/>
        <v>Huyện Bình Chánh</v>
      </c>
      <c r="F8981" s="3" t="s">
        <v>9740</v>
      </c>
      <c r="G8981" s="4" t="str">
        <f>HYPERLINK("https://diaocthongthai.com/xa-an-phu-tay-binh-chanh/","Xã An Phú Tây")</f>
        <v>Xã An Phú Tây</v>
      </c>
    </row>
    <row r="8982" spans="1:7" x14ac:dyDescent="0.25">
      <c r="A8982" s="2">
        <v>8981</v>
      </c>
      <c r="B8982" s="3" t="s">
        <v>52</v>
      </c>
      <c r="C8982" s="4" t="str">
        <f t="shared" si="789"/>
        <v>Hồ Chí Minh</v>
      </c>
      <c r="D8982" s="3" t="s">
        <v>629</v>
      </c>
      <c r="E8982" s="4" t="str">
        <f t="shared" si="791"/>
        <v>Huyện Bình Chánh</v>
      </c>
      <c r="F8982" s="3" t="s">
        <v>9741</v>
      </c>
      <c r="G8982" s="4" t="str">
        <f>HYPERLINK("https://diaocthongthai.com/xa-hung-long-binh-chanh/","Xã Hưng Long")</f>
        <v>Xã Hưng Long</v>
      </c>
    </row>
    <row r="8983" spans="1:7" x14ac:dyDescent="0.25">
      <c r="A8983" s="2">
        <v>8982</v>
      </c>
      <c r="B8983" s="3" t="s">
        <v>52</v>
      </c>
      <c r="C8983" s="4" t="str">
        <f t="shared" si="789"/>
        <v>Hồ Chí Minh</v>
      </c>
      <c r="D8983" s="3" t="s">
        <v>629</v>
      </c>
      <c r="E8983" s="4" t="str">
        <f t="shared" si="791"/>
        <v>Huyện Bình Chánh</v>
      </c>
      <c r="F8983" s="3" t="s">
        <v>9742</v>
      </c>
      <c r="G8983" s="4" t="str">
        <f>HYPERLINK("https://diaocthongthai.com/xa-da-phuoc-binh-chanh/","Xã Đa Phước")</f>
        <v>Xã Đa Phước</v>
      </c>
    </row>
    <row r="8984" spans="1:7" x14ac:dyDescent="0.25">
      <c r="A8984" s="2">
        <v>8983</v>
      </c>
      <c r="B8984" s="3" t="s">
        <v>52</v>
      </c>
      <c r="C8984" s="4" t="str">
        <f t="shared" si="789"/>
        <v>Hồ Chí Minh</v>
      </c>
      <c r="D8984" s="3" t="s">
        <v>629</v>
      </c>
      <c r="E8984" s="4" t="str">
        <f t="shared" si="791"/>
        <v>Huyện Bình Chánh</v>
      </c>
      <c r="F8984" s="3" t="s">
        <v>9743</v>
      </c>
      <c r="G8984" s="4" t="str">
        <f>HYPERLINK("https://diaocthongthai.com/xa-tan-quy-tay-binh-chanh/","Xã Tân Quý Tây")</f>
        <v>Xã Tân Quý Tây</v>
      </c>
    </row>
    <row r="8985" spans="1:7" x14ac:dyDescent="0.25">
      <c r="A8985" s="2">
        <v>8984</v>
      </c>
      <c r="B8985" s="3" t="s">
        <v>52</v>
      </c>
      <c r="C8985" s="4" t="str">
        <f t="shared" si="789"/>
        <v>Hồ Chí Minh</v>
      </c>
      <c r="D8985" s="3" t="s">
        <v>629</v>
      </c>
      <c r="E8985" s="4" t="str">
        <f t="shared" si="791"/>
        <v>Huyện Bình Chánh</v>
      </c>
      <c r="F8985" s="3" t="s">
        <v>9744</v>
      </c>
      <c r="G8985" s="4" t="str">
        <f>HYPERLINK("https://diaocthongthai.com/xa-binh-chanh-binh-chanh/","Xã Bình Chánh")</f>
        <v>Xã Bình Chánh</v>
      </c>
    </row>
    <row r="8986" spans="1:7" x14ac:dyDescent="0.25">
      <c r="A8986" s="2">
        <v>8985</v>
      </c>
      <c r="B8986" s="3" t="s">
        <v>52</v>
      </c>
      <c r="C8986" s="4" t="str">
        <f t="shared" si="789"/>
        <v>Hồ Chí Minh</v>
      </c>
      <c r="D8986" s="3" t="s">
        <v>629</v>
      </c>
      <c r="E8986" s="4" t="str">
        <f t="shared" si="791"/>
        <v>Huyện Bình Chánh</v>
      </c>
      <c r="F8986" s="3" t="s">
        <v>9745</v>
      </c>
      <c r="G8986" s="4" t="str">
        <f>HYPERLINK("https://diaocthongthai.com/xa-quy-duc-binh-chanh/","Xã Quy Đức")</f>
        <v>Xã Quy Đức</v>
      </c>
    </row>
    <row r="8987" spans="1:7" x14ac:dyDescent="0.25">
      <c r="A8987" s="2">
        <v>8986</v>
      </c>
      <c r="B8987" s="3" t="s">
        <v>52</v>
      </c>
      <c r="C8987" s="4" t="str">
        <f t="shared" si="789"/>
        <v>Hồ Chí Minh</v>
      </c>
      <c r="D8987" s="3" t="s">
        <v>630</v>
      </c>
      <c r="E8987" s="4" t="str">
        <f t="shared" ref="E8987:E8993" si="792">HYPERLINK("https://diaocthongthai.com/ban-do-huyen-nha-be/","Huyện Nhà Bè")</f>
        <v>Huyện Nhà Bè</v>
      </c>
      <c r="F8987" s="3" t="s">
        <v>9746</v>
      </c>
      <c r="G8987" s="4" t="str">
        <f>HYPERLINK("https://diaocthongthai.com/thi-tran-nha-be-nha-be/","Thị trấn Nhà Bè")</f>
        <v>Thị trấn Nhà Bè</v>
      </c>
    </row>
    <row r="8988" spans="1:7" x14ac:dyDescent="0.25">
      <c r="A8988" s="2">
        <v>8987</v>
      </c>
      <c r="B8988" s="3" t="s">
        <v>52</v>
      </c>
      <c r="C8988" s="4" t="str">
        <f t="shared" si="789"/>
        <v>Hồ Chí Minh</v>
      </c>
      <c r="D8988" s="3" t="s">
        <v>630</v>
      </c>
      <c r="E8988" s="4" t="str">
        <f t="shared" si="792"/>
        <v>Huyện Nhà Bè</v>
      </c>
      <c r="F8988" s="3" t="s">
        <v>9747</v>
      </c>
      <c r="G8988" s="4" t="str">
        <f>HYPERLINK("https://diaocthongthai.com/xa-phuoc-kien-nha-be/","Xã Phước Kiển")</f>
        <v>Xã Phước Kiển</v>
      </c>
    </row>
    <row r="8989" spans="1:7" x14ac:dyDescent="0.25">
      <c r="A8989" s="2">
        <v>8988</v>
      </c>
      <c r="B8989" s="3" t="s">
        <v>52</v>
      </c>
      <c r="C8989" s="4" t="str">
        <f t="shared" si="789"/>
        <v>Hồ Chí Minh</v>
      </c>
      <c r="D8989" s="3" t="s">
        <v>630</v>
      </c>
      <c r="E8989" s="4" t="str">
        <f t="shared" si="792"/>
        <v>Huyện Nhà Bè</v>
      </c>
      <c r="F8989" s="3" t="s">
        <v>9748</v>
      </c>
      <c r="G8989" s="4" t="str">
        <f>HYPERLINK("https://diaocthongthai.com/xa-phuoc-loc-nha-be/","Xã Phước Lộc")</f>
        <v>Xã Phước Lộc</v>
      </c>
    </row>
    <row r="8990" spans="1:7" x14ac:dyDescent="0.25">
      <c r="A8990" s="2">
        <v>8989</v>
      </c>
      <c r="B8990" s="3" t="s">
        <v>52</v>
      </c>
      <c r="C8990" s="4" t="str">
        <f t="shared" si="789"/>
        <v>Hồ Chí Minh</v>
      </c>
      <c r="D8990" s="3" t="s">
        <v>630</v>
      </c>
      <c r="E8990" s="4" t="str">
        <f t="shared" si="792"/>
        <v>Huyện Nhà Bè</v>
      </c>
      <c r="F8990" s="3" t="s">
        <v>9749</v>
      </c>
      <c r="G8990" s="4" t="str">
        <f>HYPERLINK("https://diaocthongthai.com/xa-nhon-duc-nha-be/","Xã Nhơn Đức")</f>
        <v>Xã Nhơn Đức</v>
      </c>
    </row>
    <row r="8991" spans="1:7" x14ac:dyDescent="0.25">
      <c r="A8991" s="2">
        <v>8990</v>
      </c>
      <c r="B8991" s="3" t="s">
        <v>52</v>
      </c>
      <c r="C8991" s="4" t="str">
        <f t="shared" si="789"/>
        <v>Hồ Chí Minh</v>
      </c>
      <c r="D8991" s="3" t="s">
        <v>630</v>
      </c>
      <c r="E8991" s="4" t="str">
        <f t="shared" si="792"/>
        <v>Huyện Nhà Bè</v>
      </c>
      <c r="F8991" s="3" t="s">
        <v>9750</v>
      </c>
      <c r="G8991" s="4" t="str">
        <f>HYPERLINK("https://diaocthongthai.com/xa-phu-xuan-nha-be/","Xã Phú Xuân")</f>
        <v>Xã Phú Xuân</v>
      </c>
    </row>
    <row r="8992" spans="1:7" x14ac:dyDescent="0.25">
      <c r="A8992" s="2">
        <v>8991</v>
      </c>
      <c r="B8992" s="3" t="s">
        <v>52</v>
      </c>
      <c r="C8992" s="4" t="str">
        <f t="shared" si="789"/>
        <v>Hồ Chí Minh</v>
      </c>
      <c r="D8992" s="3" t="s">
        <v>630</v>
      </c>
      <c r="E8992" s="4" t="str">
        <f t="shared" si="792"/>
        <v>Huyện Nhà Bè</v>
      </c>
      <c r="F8992" s="3" t="s">
        <v>9751</v>
      </c>
      <c r="G8992" s="4" t="str">
        <f>HYPERLINK("https://diaocthongthai.com/xa-long-thoi-nha-be/","Xã Long Thới")</f>
        <v>Xã Long Thới</v>
      </c>
    </row>
    <row r="8993" spans="1:7" x14ac:dyDescent="0.25">
      <c r="A8993" s="2">
        <v>8992</v>
      </c>
      <c r="B8993" s="3" t="s">
        <v>52</v>
      </c>
      <c r="C8993" s="4" t="str">
        <f t="shared" si="789"/>
        <v>Hồ Chí Minh</v>
      </c>
      <c r="D8993" s="3" t="s">
        <v>630</v>
      </c>
      <c r="E8993" s="4" t="str">
        <f t="shared" si="792"/>
        <v>Huyện Nhà Bè</v>
      </c>
      <c r="F8993" s="3" t="s">
        <v>9752</v>
      </c>
      <c r="G8993" s="4" t="str">
        <f>HYPERLINK("https://diaocthongthai.com/xa-hiep-phuoc-nha-be/","Xã Hiệp Phước")</f>
        <v>Xã Hiệp Phước</v>
      </c>
    </row>
    <row r="8994" spans="1:7" x14ac:dyDescent="0.25">
      <c r="A8994" s="2">
        <v>8993</v>
      </c>
      <c r="B8994" s="3" t="s">
        <v>52</v>
      </c>
      <c r="C8994" s="4" t="str">
        <f t="shared" si="789"/>
        <v>Hồ Chí Minh</v>
      </c>
      <c r="D8994" s="3" t="s">
        <v>631</v>
      </c>
      <c r="E8994" s="4" t="str">
        <f t="shared" ref="E8994:E9000" si="793">HYPERLINK("https://diaocthongthai.com/ban-do-huyen-can-gio/","Huyện Cần Giờ")</f>
        <v>Huyện Cần Giờ</v>
      </c>
      <c r="F8994" s="3" t="s">
        <v>9753</v>
      </c>
      <c r="G8994" s="4" t="str">
        <f>HYPERLINK("https://diaocthongthai.com/thi-tran-can-thanh-can-gio/","Thị trấn Cần Thạnh")</f>
        <v>Thị trấn Cần Thạnh</v>
      </c>
    </row>
    <row r="8995" spans="1:7" x14ac:dyDescent="0.25">
      <c r="A8995" s="2">
        <v>8994</v>
      </c>
      <c r="B8995" s="3" t="s">
        <v>52</v>
      </c>
      <c r="C8995" s="4" t="str">
        <f t="shared" si="789"/>
        <v>Hồ Chí Minh</v>
      </c>
      <c r="D8995" s="3" t="s">
        <v>631</v>
      </c>
      <c r="E8995" s="4" t="str">
        <f t="shared" si="793"/>
        <v>Huyện Cần Giờ</v>
      </c>
      <c r="F8995" s="3" t="s">
        <v>9754</v>
      </c>
      <c r="G8995" s="4" t="str">
        <f>HYPERLINK("https://diaocthongthai.com/xa-binh-khanh-can-gio/","Xã Bình Khánh")</f>
        <v>Xã Bình Khánh</v>
      </c>
    </row>
    <row r="8996" spans="1:7" x14ac:dyDescent="0.25">
      <c r="A8996" s="2">
        <v>8995</v>
      </c>
      <c r="B8996" s="3" t="s">
        <v>52</v>
      </c>
      <c r="C8996" s="4" t="str">
        <f t="shared" si="789"/>
        <v>Hồ Chí Minh</v>
      </c>
      <c r="D8996" s="3" t="s">
        <v>631</v>
      </c>
      <c r="E8996" s="4" t="str">
        <f t="shared" si="793"/>
        <v>Huyện Cần Giờ</v>
      </c>
      <c r="F8996" s="3" t="s">
        <v>9755</v>
      </c>
      <c r="G8996" s="4" t="str">
        <f>HYPERLINK("https://diaocthongthai.com/xa-tam-thon-hiep-can-gio/","Xã Tam Thôn Hiệp")</f>
        <v>Xã Tam Thôn Hiệp</v>
      </c>
    </row>
    <row r="8997" spans="1:7" x14ac:dyDescent="0.25">
      <c r="A8997" s="2">
        <v>8996</v>
      </c>
      <c r="B8997" s="3" t="s">
        <v>52</v>
      </c>
      <c r="C8997" s="4" t="str">
        <f t="shared" si="789"/>
        <v>Hồ Chí Minh</v>
      </c>
      <c r="D8997" s="3" t="s">
        <v>631</v>
      </c>
      <c r="E8997" s="4" t="str">
        <f t="shared" si="793"/>
        <v>Huyện Cần Giờ</v>
      </c>
      <c r="F8997" s="3" t="s">
        <v>9756</v>
      </c>
      <c r="G8997" s="4" t="str">
        <f>HYPERLINK("https://diaocthongthai.com/xa-an-thoi-dong-can-gio/","Xã An Thới Đông")</f>
        <v>Xã An Thới Đông</v>
      </c>
    </row>
    <row r="8998" spans="1:7" x14ac:dyDescent="0.25">
      <c r="A8998" s="2">
        <v>8997</v>
      </c>
      <c r="B8998" s="3" t="s">
        <v>52</v>
      </c>
      <c r="C8998" s="4" t="str">
        <f t="shared" si="789"/>
        <v>Hồ Chí Minh</v>
      </c>
      <c r="D8998" s="3" t="s">
        <v>631</v>
      </c>
      <c r="E8998" s="4" t="str">
        <f t="shared" si="793"/>
        <v>Huyện Cần Giờ</v>
      </c>
      <c r="F8998" s="3" t="s">
        <v>9757</v>
      </c>
      <c r="G8998" s="4" t="str">
        <f>HYPERLINK("https://diaocthongthai.com/xa-thanh-an-can-gio/","Xã Thạnh An")</f>
        <v>Xã Thạnh An</v>
      </c>
    </row>
    <row r="8999" spans="1:7" x14ac:dyDescent="0.25">
      <c r="A8999" s="2">
        <v>8998</v>
      </c>
      <c r="B8999" s="3" t="s">
        <v>52</v>
      </c>
      <c r="C8999" s="4" t="str">
        <f t="shared" si="789"/>
        <v>Hồ Chí Minh</v>
      </c>
      <c r="D8999" s="3" t="s">
        <v>631</v>
      </c>
      <c r="E8999" s="4" t="str">
        <f t="shared" si="793"/>
        <v>Huyện Cần Giờ</v>
      </c>
      <c r="F8999" s="3" t="s">
        <v>9758</v>
      </c>
      <c r="G8999" s="4" t="str">
        <f>HYPERLINK("https://diaocthongthai.com/xa-long-hoa-can-gio/","Xã Long Hòa")</f>
        <v>Xã Long Hòa</v>
      </c>
    </row>
    <row r="9000" spans="1:7" x14ac:dyDescent="0.25">
      <c r="A9000" s="2">
        <v>8999</v>
      </c>
      <c r="B9000" s="3" t="s">
        <v>52</v>
      </c>
      <c r="C9000" s="4" t="str">
        <f t="shared" si="789"/>
        <v>Hồ Chí Minh</v>
      </c>
      <c r="D9000" s="3" t="s">
        <v>631</v>
      </c>
      <c r="E9000" s="4" t="str">
        <f t="shared" si="793"/>
        <v>Huyện Cần Giờ</v>
      </c>
      <c r="F9000" s="3" t="s">
        <v>9759</v>
      </c>
      <c r="G9000" s="4" t="str">
        <f>HYPERLINK("https://diaocthongthai.com/xa-ly-nhon-can-gio/","Xã Lý Nhơn")</f>
        <v>Xã Lý Nhơn</v>
      </c>
    </row>
    <row r="9001" spans="1:7" x14ac:dyDescent="0.25">
      <c r="A9001" s="2">
        <v>9000</v>
      </c>
      <c r="B9001" s="3" t="s">
        <v>53</v>
      </c>
      <c r="C9001" s="4" t="str">
        <f t="shared" ref="C9001:C9032" si="794">HYPERLINK("https://diaocthongthai.com/ban-do-long-an/","Long An")</f>
        <v>Long An</v>
      </c>
      <c r="D9001" s="3" t="s">
        <v>632</v>
      </c>
      <c r="E9001" s="4" t="str">
        <f t="shared" ref="E9001:E9014" si="795">HYPERLINK("https://diaocthongthai.com/ban-do-tp-tan-an-long-an/","Thành phố Tân An")</f>
        <v>Thành phố Tân An</v>
      </c>
      <c r="F9001" s="3" t="s">
        <v>9760</v>
      </c>
      <c r="G9001" s="4" t="str">
        <f>HYPERLINK("https://diaocthongthai.com/phuong-5-tp-tan-an/","Phường 5")</f>
        <v>Phường 5</v>
      </c>
    </row>
    <row r="9002" spans="1:7" x14ac:dyDescent="0.25">
      <c r="A9002" s="2">
        <v>9001</v>
      </c>
      <c r="B9002" s="3" t="s">
        <v>53</v>
      </c>
      <c r="C9002" s="4" t="str">
        <f t="shared" si="794"/>
        <v>Long An</v>
      </c>
      <c r="D9002" s="3" t="s">
        <v>632</v>
      </c>
      <c r="E9002" s="4" t="str">
        <f t="shared" si="795"/>
        <v>Thành phố Tân An</v>
      </c>
      <c r="F9002" s="3" t="s">
        <v>9761</v>
      </c>
      <c r="G9002" s="4" t="str">
        <f>HYPERLINK("https://diaocthongthai.com/phuong-2-tp-tan-an/","Phường 2")</f>
        <v>Phường 2</v>
      </c>
    </row>
    <row r="9003" spans="1:7" x14ac:dyDescent="0.25">
      <c r="A9003" s="2">
        <v>9002</v>
      </c>
      <c r="B9003" s="3" t="s">
        <v>53</v>
      </c>
      <c r="C9003" s="4" t="str">
        <f t="shared" si="794"/>
        <v>Long An</v>
      </c>
      <c r="D9003" s="3" t="s">
        <v>632</v>
      </c>
      <c r="E9003" s="4" t="str">
        <f t="shared" si="795"/>
        <v>Thành phố Tân An</v>
      </c>
      <c r="F9003" s="3" t="s">
        <v>9762</v>
      </c>
      <c r="G9003" s="4" t="str">
        <f>HYPERLINK("https://diaocthongthai.com/phuong-4-tp-tan-an/","Phường 4")</f>
        <v>Phường 4</v>
      </c>
    </row>
    <row r="9004" spans="1:7" x14ac:dyDescent="0.25">
      <c r="A9004" s="2">
        <v>9003</v>
      </c>
      <c r="B9004" s="3" t="s">
        <v>53</v>
      </c>
      <c r="C9004" s="4" t="str">
        <f t="shared" si="794"/>
        <v>Long An</v>
      </c>
      <c r="D9004" s="3" t="s">
        <v>632</v>
      </c>
      <c r="E9004" s="4" t="str">
        <f t="shared" si="795"/>
        <v>Thành phố Tân An</v>
      </c>
      <c r="F9004" s="3" t="s">
        <v>9763</v>
      </c>
      <c r="G9004" s="4" t="str">
        <f>HYPERLINK("https://diaocthongthai.com/phuong-tan-khanh-tp-tan-an/","Phường Tân Khánh")</f>
        <v>Phường Tân Khánh</v>
      </c>
    </row>
    <row r="9005" spans="1:7" x14ac:dyDescent="0.25">
      <c r="A9005" s="2">
        <v>9004</v>
      </c>
      <c r="B9005" s="3" t="s">
        <v>53</v>
      </c>
      <c r="C9005" s="4" t="str">
        <f t="shared" si="794"/>
        <v>Long An</v>
      </c>
      <c r="D9005" s="3" t="s">
        <v>632</v>
      </c>
      <c r="E9005" s="4" t="str">
        <f t="shared" si="795"/>
        <v>Thành phố Tân An</v>
      </c>
      <c r="F9005" s="3" t="s">
        <v>9764</v>
      </c>
      <c r="G9005" s="4" t="str">
        <f>HYPERLINK("https://diaocthongthai.com/phuong-1-tp-tan-an/","Phường 1")</f>
        <v>Phường 1</v>
      </c>
    </row>
    <row r="9006" spans="1:7" x14ac:dyDescent="0.25">
      <c r="A9006" s="2">
        <v>9005</v>
      </c>
      <c r="B9006" s="3" t="s">
        <v>53</v>
      </c>
      <c r="C9006" s="4" t="str">
        <f t="shared" si="794"/>
        <v>Long An</v>
      </c>
      <c r="D9006" s="3" t="s">
        <v>632</v>
      </c>
      <c r="E9006" s="4" t="str">
        <f t="shared" si="795"/>
        <v>Thành phố Tân An</v>
      </c>
      <c r="F9006" s="3" t="s">
        <v>9765</v>
      </c>
      <c r="G9006" s="4" t="str">
        <f>HYPERLINK("https://diaocthongthai.com/phuong-3-tp-tan-an/","Phường 3")</f>
        <v>Phường 3</v>
      </c>
    </row>
    <row r="9007" spans="1:7" x14ac:dyDescent="0.25">
      <c r="A9007" s="2">
        <v>9006</v>
      </c>
      <c r="B9007" s="3" t="s">
        <v>53</v>
      </c>
      <c r="C9007" s="4" t="str">
        <f t="shared" si="794"/>
        <v>Long An</v>
      </c>
      <c r="D9007" s="3" t="s">
        <v>632</v>
      </c>
      <c r="E9007" s="4" t="str">
        <f t="shared" si="795"/>
        <v>Thành phố Tân An</v>
      </c>
      <c r="F9007" s="3" t="s">
        <v>9766</v>
      </c>
      <c r="G9007" s="4" t="str">
        <f>HYPERLINK("https://diaocthongthai.com/phuong-7-tp-tan-an/","Phường 7")</f>
        <v>Phường 7</v>
      </c>
    </row>
    <row r="9008" spans="1:7" x14ac:dyDescent="0.25">
      <c r="A9008" s="2">
        <v>9007</v>
      </c>
      <c r="B9008" s="3" t="s">
        <v>53</v>
      </c>
      <c r="C9008" s="4" t="str">
        <f t="shared" si="794"/>
        <v>Long An</v>
      </c>
      <c r="D9008" s="3" t="s">
        <v>632</v>
      </c>
      <c r="E9008" s="4" t="str">
        <f t="shared" si="795"/>
        <v>Thành phố Tân An</v>
      </c>
      <c r="F9008" s="3" t="s">
        <v>9767</v>
      </c>
      <c r="G9008" s="4" t="str">
        <f>HYPERLINK("https://diaocthongthai.com/phuong-6-tp-tan-an/","Phường 6")</f>
        <v>Phường 6</v>
      </c>
    </row>
    <row r="9009" spans="1:7" x14ac:dyDescent="0.25">
      <c r="A9009" s="2">
        <v>9008</v>
      </c>
      <c r="B9009" s="3" t="s">
        <v>53</v>
      </c>
      <c r="C9009" s="4" t="str">
        <f t="shared" si="794"/>
        <v>Long An</v>
      </c>
      <c r="D9009" s="3" t="s">
        <v>632</v>
      </c>
      <c r="E9009" s="4" t="str">
        <f t="shared" si="795"/>
        <v>Thành phố Tân An</v>
      </c>
      <c r="F9009" s="3" t="s">
        <v>9768</v>
      </c>
      <c r="G9009" s="4" t="str">
        <f>HYPERLINK("https://diaocthongthai.com/xa-huong-tho-phu-tp-tan-an/","Xã Hướng Thọ Phú")</f>
        <v>Xã Hướng Thọ Phú</v>
      </c>
    </row>
    <row r="9010" spans="1:7" x14ac:dyDescent="0.25">
      <c r="A9010" s="2">
        <v>9009</v>
      </c>
      <c r="B9010" s="3" t="s">
        <v>53</v>
      </c>
      <c r="C9010" s="4" t="str">
        <f t="shared" si="794"/>
        <v>Long An</v>
      </c>
      <c r="D9010" s="3" t="s">
        <v>632</v>
      </c>
      <c r="E9010" s="4" t="str">
        <f t="shared" si="795"/>
        <v>Thành phố Tân An</v>
      </c>
      <c r="F9010" s="3" t="s">
        <v>9769</v>
      </c>
      <c r="G9010" s="4" t="str">
        <f>HYPERLINK("https://diaocthongthai.com/xa-nhon-thanh-trung-tp-tan-an/","Xã Nhơn Thạnh Trung")</f>
        <v>Xã Nhơn Thạnh Trung</v>
      </c>
    </row>
    <row r="9011" spans="1:7" x14ac:dyDescent="0.25">
      <c r="A9011" s="2">
        <v>9010</v>
      </c>
      <c r="B9011" s="3" t="s">
        <v>53</v>
      </c>
      <c r="C9011" s="4" t="str">
        <f t="shared" si="794"/>
        <v>Long An</v>
      </c>
      <c r="D9011" s="3" t="s">
        <v>632</v>
      </c>
      <c r="E9011" s="4" t="str">
        <f t="shared" si="795"/>
        <v>Thành phố Tân An</v>
      </c>
      <c r="F9011" s="3" t="s">
        <v>9770</v>
      </c>
      <c r="G9011" s="4" t="str">
        <f>HYPERLINK("https://diaocthongthai.com/xa-loi-binh-nhon-tp-tan-an/","Xã Lợi Bình Nhơn")</f>
        <v>Xã Lợi Bình Nhơn</v>
      </c>
    </row>
    <row r="9012" spans="1:7" x14ac:dyDescent="0.25">
      <c r="A9012" s="2">
        <v>9011</v>
      </c>
      <c r="B9012" s="3" t="s">
        <v>53</v>
      </c>
      <c r="C9012" s="4" t="str">
        <f t="shared" si="794"/>
        <v>Long An</v>
      </c>
      <c r="D9012" s="3" t="s">
        <v>632</v>
      </c>
      <c r="E9012" s="4" t="str">
        <f t="shared" si="795"/>
        <v>Thành phố Tân An</v>
      </c>
      <c r="F9012" s="3" t="s">
        <v>9771</v>
      </c>
      <c r="G9012" s="4" t="str">
        <f>HYPERLINK("https://diaocthongthai.com/xa-binh-tam-tp-tan-an/","Xã Bình Tâm")</f>
        <v>Xã Bình Tâm</v>
      </c>
    </row>
    <row r="9013" spans="1:7" x14ac:dyDescent="0.25">
      <c r="A9013" s="2">
        <v>9012</v>
      </c>
      <c r="B9013" s="3" t="s">
        <v>53</v>
      </c>
      <c r="C9013" s="4" t="str">
        <f t="shared" si="794"/>
        <v>Long An</v>
      </c>
      <c r="D9013" s="3" t="s">
        <v>632</v>
      </c>
      <c r="E9013" s="4" t="str">
        <f t="shared" si="795"/>
        <v>Thành phố Tân An</v>
      </c>
      <c r="F9013" s="3" t="s">
        <v>9772</v>
      </c>
      <c r="G9013" s="4" t="str">
        <f>HYPERLINK("https://diaocthongthai.com/phuong-khanh-hau-tp-tan-an/","Phường Khánh Hậu")</f>
        <v>Phường Khánh Hậu</v>
      </c>
    </row>
    <row r="9014" spans="1:7" x14ac:dyDescent="0.25">
      <c r="A9014" s="2">
        <v>9013</v>
      </c>
      <c r="B9014" s="3" t="s">
        <v>53</v>
      </c>
      <c r="C9014" s="4" t="str">
        <f t="shared" si="794"/>
        <v>Long An</v>
      </c>
      <c r="D9014" s="3" t="s">
        <v>632</v>
      </c>
      <c r="E9014" s="4" t="str">
        <f t="shared" si="795"/>
        <v>Thành phố Tân An</v>
      </c>
      <c r="F9014" s="3" t="s">
        <v>9773</v>
      </c>
      <c r="G9014" s="4" t="str">
        <f>HYPERLINK("https://diaocthongthai.com/xa-an-vinh-ngai-tp-tan-an/","Xã An Vĩnh Ngãi")</f>
        <v>Xã An Vĩnh Ngãi</v>
      </c>
    </row>
    <row r="9015" spans="1:7" x14ac:dyDescent="0.25">
      <c r="A9015" s="2">
        <v>9014</v>
      </c>
      <c r="B9015" s="3" t="s">
        <v>53</v>
      </c>
      <c r="C9015" s="4" t="str">
        <f t="shared" si="794"/>
        <v>Long An</v>
      </c>
      <c r="D9015" s="3" t="s">
        <v>633</v>
      </c>
      <c r="E9015" s="4" t="str">
        <f t="shared" ref="E9015:E9022" si="796">HYPERLINK("https://diaocthongthai.com/ban-do-thi-xa-kien-tuong-long-an/","Thị xã Kiến Tường")</f>
        <v>Thị xã Kiến Tường</v>
      </c>
      <c r="F9015" s="3" t="s">
        <v>9774</v>
      </c>
      <c r="G9015" s="4" t="str">
        <f>HYPERLINK("https://diaocthongthai.com/phuong-1-kien-tuong/","Phường 1")</f>
        <v>Phường 1</v>
      </c>
    </row>
    <row r="9016" spans="1:7" x14ac:dyDescent="0.25">
      <c r="A9016" s="2">
        <v>9015</v>
      </c>
      <c r="B9016" s="3" t="s">
        <v>53</v>
      </c>
      <c r="C9016" s="4" t="str">
        <f t="shared" si="794"/>
        <v>Long An</v>
      </c>
      <c r="D9016" s="3" t="s">
        <v>633</v>
      </c>
      <c r="E9016" s="4" t="str">
        <f t="shared" si="796"/>
        <v>Thị xã Kiến Tường</v>
      </c>
      <c r="F9016" s="3" t="s">
        <v>9775</v>
      </c>
      <c r="G9016" s="4" t="str">
        <f>HYPERLINK("https://diaocthongthai.com/phuong-2-kien-tuong/","Phường 2")</f>
        <v>Phường 2</v>
      </c>
    </row>
    <row r="9017" spans="1:7" x14ac:dyDescent="0.25">
      <c r="A9017" s="2">
        <v>9016</v>
      </c>
      <c r="B9017" s="3" t="s">
        <v>53</v>
      </c>
      <c r="C9017" s="4" t="str">
        <f t="shared" si="794"/>
        <v>Long An</v>
      </c>
      <c r="D9017" s="3" t="s">
        <v>633</v>
      </c>
      <c r="E9017" s="4" t="str">
        <f t="shared" si="796"/>
        <v>Thị xã Kiến Tường</v>
      </c>
      <c r="F9017" s="3" t="s">
        <v>9776</v>
      </c>
      <c r="G9017" s="4" t="str">
        <f>HYPERLINK("https://diaocthongthai.com/xa-thanh-tri-kien-tuong/","Xã Thạnh Trị")</f>
        <v>Xã Thạnh Trị</v>
      </c>
    </row>
    <row r="9018" spans="1:7" x14ac:dyDescent="0.25">
      <c r="A9018" s="2">
        <v>9017</v>
      </c>
      <c r="B9018" s="3" t="s">
        <v>53</v>
      </c>
      <c r="C9018" s="4" t="str">
        <f t="shared" si="794"/>
        <v>Long An</v>
      </c>
      <c r="D9018" s="3" t="s">
        <v>633</v>
      </c>
      <c r="E9018" s="4" t="str">
        <f t="shared" si="796"/>
        <v>Thị xã Kiến Tường</v>
      </c>
      <c r="F9018" s="3" t="s">
        <v>9777</v>
      </c>
      <c r="G9018" s="4" t="str">
        <f>HYPERLINK("https://diaocthongthai.com/xa-binh-hiep-kien-tuong/","Xã Bình Hiệp")</f>
        <v>Xã Bình Hiệp</v>
      </c>
    </row>
    <row r="9019" spans="1:7" x14ac:dyDescent="0.25">
      <c r="A9019" s="2">
        <v>9018</v>
      </c>
      <c r="B9019" s="3" t="s">
        <v>53</v>
      </c>
      <c r="C9019" s="4" t="str">
        <f t="shared" si="794"/>
        <v>Long An</v>
      </c>
      <c r="D9019" s="3" t="s">
        <v>633</v>
      </c>
      <c r="E9019" s="4" t="str">
        <f t="shared" si="796"/>
        <v>Thị xã Kiến Tường</v>
      </c>
      <c r="F9019" s="3" t="s">
        <v>9778</v>
      </c>
      <c r="G9019" s="4" t="str">
        <f>HYPERLINK("https://diaocthongthai.com/xa-binh-tan-kien-tuong/","Xã Bình Tân")</f>
        <v>Xã Bình Tân</v>
      </c>
    </row>
    <row r="9020" spans="1:7" x14ac:dyDescent="0.25">
      <c r="A9020" s="2">
        <v>9019</v>
      </c>
      <c r="B9020" s="3" t="s">
        <v>53</v>
      </c>
      <c r="C9020" s="4" t="str">
        <f t="shared" si="794"/>
        <v>Long An</v>
      </c>
      <c r="D9020" s="3" t="s">
        <v>633</v>
      </c>
      <c r="E9020" s="4" t="str">
        <f t="shared" si="796"/>
        <v>Thị xã Kiến Tường</v>
      </c>
      <c r="F9020" s="3" t="s">
        <v>9779</v>
      </c>
      <c r="G9020" s="4" t="str">
        <f>HYPERLINK("https://diaocthongthai.com/xa-tuyen-thanh-kien-tuong/","Xã Tuyên Thạnh")</f>
        <v>Xã Tuyên Thạnh</v>
      </c>
    </row>
    <row r="9021" spans="1:7" x14ac:dyDescent="0.25">
      <c r="A9021" s="2">
        <v>9020</v>
      </c>
      <c r="B9021" s="3" t="s">
        <v>53</v>
      </c>
      <c r="C9021" s="4" t="str">
        <f t="shared" si="794"/>
        <v>Long An</v>
      </c>
      <c r="D9021" s="3" t="s">
        <v>633</v>
      </c>
      <c r="E9021" s="4" t="str">
        <f t="shared" si="796"/>
        <v>Thị xã Kiến Tường</v>
      </c>
      <c r="F9021" s="3" t="s">
        <v>9780</v>
      </c>
      <c r="G9021" s="4" t="str">
        <f>HYPERLINK("https://diaocthongthai.com/phuong-3-kien-tuong/","Phường 3")</f>
        <v>Phường 3</v>
      </c>
    </row>
    <row r="9022" spans="1:7" x14ac:dyDescent="0.25">
      <c r="A9022" s="2">
        <v>9021</v>
      </c>
      <c r="B9022" s="3" t="s">
        <v>53</v>
      </c>
      <c r="C9022" s="4" t="str">
        <f t="shared" si="794"/>
        <v>Long An</v>
      </c>
      <c r="D9022" s="3" t="s">
        <v>633</v>
      </c>
      <c r="E9022" s="4" t="str">
        <f t="shared" si="796"/>
        <v>Thị xã Kiến Tường</v>
      </c>
      <c r="F9022" s="3" t="s">
        <v>9781</v>
      </c>
      <c r="G9022" s="4" t="str">
        <f>HYPERLINK("https://diaocthongthai.com/xa-thanh-hung-kien-tuong/","Xã Thạnh Hưng")</f>
        <v>Xã Thạnh Hưng</v>
      </c>
    </row>
    <row r="9023" spans="1:7" x14ac:dyDescent="0.25">
      <c r="A9023" s="2">
        <v>9022</v>
      </c>
      <c r="B9023" s="3" t="s">
        <v>53</v>
      </c>
      <c r="C9023" s="4" t="str">
        <f t="shared" si="794"/>
        <v>Long An</v>
      </c>
      <c r="D9023" s="3" t="s">
        <v>634</v>
      </c>
      <c r="E9023" s="4" t="str">
        <f t="shared" ref="E9023:E9034" si="797">HYPERLINK("https://diaocthongthai.com/ban-do-huyen-tan-hung-long-an/","Huyện Tân Hưng")</f>
        <v>Huyện Tân Hưng</v>
      </c>
      <c r="F9023" s="3" t="s">
        <v>9782</v>
      </c>
      <c r="G9023" s="4" t="str">
        <f>HYPERLINK("https://diaocthongthai.com/thi-tran-tan-hung-tan-hung/","Thị trấn Tân Hưng")</f>
        <v>Thị trấn Tân Hưng</v>
      </c>
    </row>
    <row r="9024" spans="1:7" x14ac:dyDescent="0.25">
      <c r="A9024" s="2">
        <v>9023</v>
      </c>
      <c r="B9024" s="3" t="s">
        <v>53</v>
      </c>
      <c r="C9024" s="4" t="str">
        <f t="shared" si="794"/>
        <v>Long An</v>
      </c>
      <c r="D9024" s="3" t="s">
        <v>634</v>
      </c>
      <c r="E9024" s="4" t="str">
        <f t="shared" si="797"/>
        <v>Huyện Tân Hưng</v>
      </c>
      <c r="F9024" s="3" t="s">
        <v>9783</v>
      </c>
      <c r="G9024" s="4" t="str">
        <f>HYPERLINK("https://diaocthongthai.com/xa-hung-ha-tan-hung/","Xã Hưng Hà")</f>
        <v>Xã Hưng Hà</v>
      </c>
    </row>
    <row r="9025" spans="1:7" x14ac:dyDescent="0.25">
      <c r="A9025" s="2">
        <v>9024</v>
      </c>
      <c r="B9025" s="3" t="s">
        <v>53</v>
      </c>
      <c r="C9025" s="4" t="str">
        <f t="shared" si="794"/>
        <v>Long An</v>
      </c>
      <c r="D9025" s="3" t="s">
        <v>634</v>
      </c>
      <c r="E9025" s="4" t="str">
        <f t="shared" si="797"/>
        <v>Huyện Tân Hưng</v>
      </c>
      <c r="F9025" s="3" t="s">
        <v>9784</v>
      </c>
      <c r="G9025" s="4" t="str">
        <f>HYPERLINK("https://diaocthongthai.com/xa-hung-dien-b-tan-hung/","Xã Hưng Điền B")</f>
        <v>Xã Hưng Điền B</v>
      </c>
    </row>
    <row r="9026" spans="1:7" x14ac:dyDescent="0.25">
      <c r="A9026" s="2">
        <v>9025</v>
      </c>
      <c r="B9026" s="3" t="s">
        <v>53</v>
      </c>
      <c r="C9026" s="4" t="str">
        <f t="shared" si="794"/>
        <v>Long An</v>
      </c>
      <c r="D9026" s="3" t="s">
        <v>634</v>
      </c>
      <c r="E9026" s="4" t="str">
        <f t="shared" si="797"/>
        <v>Huyện Tân Hưng</v>
      </c>
      <c r="F9026" s="3" t="s">
        <v>9785</v>
      </c>
      <c r="G9026" s="4" t="str">
        <f>HYPERLINK("https://diaocthongthai.com/xa-hung-dien-tan-hung/","Xã Hưng Điền")</f>
        <v>Xã Hưng Điền</v>
      </c>
    </row>
    <row r="9027" spans="1:7" x14ac:dyDescent="0.25">
      <c r="A9027" s="2">
        <v>9026</v>
      </c>
      <c r="B9027" s="3" t="s">
        <v>53</v>
      </c>
      <c r="C9027" s="4" t="str">
        <f t="shared" si="794"/>
        <v>Long An</v>
      </c>
      <c r="D9027" s="3" t="s">
        <v>634</v>
      </c>
      <c r="E9027" s="4" t="str">
        <f t="shared" si="797"/>
        <v>Huyện Tân Hưng</v>
      </c>
      <c r="F9027" s="3" t="s">
        <v>9786</v>
      </c>
      <c r="G9027" s="4" t="str">
        <f>HYPERLINK("https://diaocthongthai.com/xa-thanh-hung-tan-hung/","Xã Thạnh Hưng")</f>
        <v>Xã Thạnh Hưng</v>
      </c>
    </row>
    <row r="9028" spans="1:7" x14ac:dyDescent="0.25">
      <c r="A9028" s="2">
        <v>9027</v>
      </c>
      <c r="B9028" s="3" t="s">
        <v>53</v>
      </c>
      <c r="C9028" s="4" t="str">
        <f t="shared" si="794"/>
        <v>Long An</v>
      </c>
      <c r="D9028" s="3" t="s">
        <v>634</v>
      </c>
      <c r="E9028" s="4" t="str">
        <f t="shared" si="797"/>
        <v>Huyện Tân Hưng</v>
      </c>
      <c r="F9028" s="3" t="s">
        <v>9787</v>
      </c>
      <c r="G9028" s="4" t="str">
        <f>HYPERLINK("https://diaocthongthai.com/xa-hung-thanh-tan-hung/","Xã Hưng Thạnh")</f>
        <v>Xã Hưng Thạnh</v>
      </c>
    </row>
    <row r="9029" spans="1:7" x14ac:dyDescent="0.25">
      <c r="A9029" s="2">
        <v>9028</v>
      </c>
      <c r="B9029" s="3" t="s">
        <v>53</v>
      </c>
      <c r="C9029" s="4" t="str">
        <f t="shared" si="794"/>
        <v>Long An</v>
      </c>
      <c r="D9029" s="3" t="s">
        <v>634</v>
      </c>
      <c r="E9029" s="4" t="str">
        <f t="shared" si="797"/>
        <v>Huyện Tân Hưng</v>
      </c>
      <c r="F9029" s="3" t="s">
        <v>9788</v>
      </c>
      <c r="G9029" s="4" t="str">
        <f>HYPERLINK("https://diaocthongthai.com/xa-vinh-thanh-tan-hung/","Xã Vĩnh Thạnh")</f>
        <v>Xã Vĩnh Thạnh</v>
      </c>
    </row>
    <row r="9030" spans="1:7" x14ac:dyDescent="0.25">
      <c r="A9030" s="2">
        <v>9029</v>
      </c>
      <c r="B9030" s="3" t="s">
        <v>53</v>
      </c>
      <c r="C9030" s="4" t="str">
        <f t="shared" si="794"/>
        <v>Long An</v>
      </c>
      <c r="D9030" s="3" t="s">
        <v>634</v>
      </c>
      <c r="E9030" s="4" t="str">
        <f t="shared" si="797"/>
        <v>Huyện Tân Hưng</v>
      </c>
      <c r="F9030" s="3" t="s">
        <v>9789</v>
      </c>
      <c r="G9030" s="4" t="str">
        <f>HYPERLINK("https://diaocthongthai.com/xa-vinh-chau-b-tan-hung/","Xã Vĩnh Châu B")</f>
        <v>Xã Vĩnh Châu B</v>
      </c>
    </row>
    <row r="9031" spans="1:7" x14ac:dyDescent="0.25">
      <c r="A9031" s="2">
        <v>9030</v>
      </c>
      <c r="B9031" s="3" t="s">
        <v>53</v>
      </c>
      <c r="C9031" s="4" t="str">
        <f t="shared" si="794"/>
        <v>Long An</v>
      </c>
      <c r="D9031" s="3" t="s">
        <v>634</v>
      </c>
      <c r="E9031" s="4" t="str">
        <f t="shared" si="797"/>
        <v>Huyện Tân Hưng</v>
      </c>
      <c r="F9031" s="3" t="s">
        <v>9790</v>
      </c>
      <c r="G9031" s="4" t="str">
        <f>HYPERLINK("https://diaocthongthai.com/xa-vinh-loi-tan-hung/","Xã Vĩnh Lợi")</f>
        <v>Xã Vĩnh Lợi</v>
      </c>
    </row>
    <row r="9032" spans="1:7" x14ac:dyDescent="0.25">
      <c r="A9032" s="2">
        <v>9031</v>
      </c>
      <c r="B9032" s="3" t="s">
        <v>53</v>
      </c>
      <c r="C9032" s="4" t="str">
        <f t="shared" si="794"/>
        <v>Long An</v>
      </c>
      <c r="D9032" s="3" t="s">
        <v>634</v>
      </c>
      <c r="E9032" s="4" t="str">
        <f t="shared" si="797"/>
        <v>Huyện Tân Hưng</v>
      </c>
      <c r="F9032" s="3" t="s">
        <v>9791</v>
      </c>
      <c r="G9032" s="4" t="str">
        <f>HYPERLINK("https://diaocthongthai.com/xa-vinh-dai-tan-hung/","Xã Vĩnh Đại")</f>
        <v>Xã Vĩnh Đại</v>
      </c>
    </row>
    <row r="9033" spans="1:7" x14ac:dyDescent="0.25">
      <c r="A9033" s="2">
        <v>9032</v>
      </c>
      <c r="B9033" s="3" t="s">
        <v>53</v>
      </c>
      <c r="C9033" s="4" t="str">
        <f t="shared" ref="C9033:C9064" si="798">HYPERLINK("https://diaocthongthai.com/ban-do-long-an/","Long An")</f>
        <v>Long An</v>
      </c>
      <c r="D9033" s="3" t="s">
        <v>634</v>
      </c>
      <c r="E9033" s="4" t="str">
        <f t="shared" si="797"/>
        <v>Huyện Tân Hưng</v>
      </c>
      <c r="F9033" s="3" t="s">
        <v>9792</v>
      </c>
      <c r="G9033" s="4" t="str">
        <f>HYPERLINK("https://diaocthongthai.com/xa-vinh-chau-a-tan-hung/","Xã Vĩnh Châu A")</f>
        <v>Xã Vĩnh Châu A</v>
      </c>
    </row>
    <row r="9034" spans="1:7" x14ac:dyDescent="0.25">
      <c r="A9034" s="2">
        <v>9033</v>
      </c>
      <c r="B9034" s="3" t="s">
        <v>53</v>
      </c>
      <c r="C9034" s="4" t="str">
        <f t="shared" si="798"/>
        <v>Long An</v>
      </c>
      <c r="D9034" s="3" t="s">
        <v>634</v>
      </c>
      <c r="E9034" s="4" t="str">
        <f t="shared" si="797"/>
        <v>Huyện Tân Hưng</v>
      </c>
      <c r="F9034" s="3" t="s">
        <v>9793</v>
      </c>
      <c r="G9034" s="4" t="str">
        <f>HYPERLINK("https://diaocthongthai.com/xa-vinh-buu-tan-hung/","Xã Vĩnh Bửu")</f>
        <v>Xã Vĩnh Bửu</v>
      </c>
    </row>
    <row r="9035" spans="1:7" x14ac:dyDescent="0.25">
      <c r="A9035" s="2">
        <v>9034</v>
      </c>
      <c r="B9035" s="3" t="s">
        <v>53</v>
      </c>
      <c r="C9035" s="4" t="str">
        <f t="shared" si="798"/>
        <v>Long An</v>
      </c>
      <c r="D9035" s="3" t="s">
        <v>635</v>
      </c>
      <c r="E9035" s="4" t="str">
        <f t="shared" ref="E9035:E9044" si="799">HYPERLINK("https://diaocthongthai.com/ban-do-huyen-vinh-hung-long-an/","Huyện Vĩnh Hưng")</f>
        <v>Huyện Vĩnh Hưng</v>
      </c>
      <c r="F9035" s="3" t="s">
        <v>9794</v>
      </c>
      <c r="G9035" s="4" t="str">
        <f>HYPERLINK("https://diaocthongthai.com/thi-tran-vinh-hung-vinh-hung/","Thị trấn Vĩnh Hưng")</f>
        <v>Thị trấn Vĩnh Hưng</v>
      </c>
    </row>
    <row r="9036" spans="1:7" x14ac:dyDescent="0.25">
      <c r="A9036" s="2">
        <v>9035</v>
      </c>
      <c r="B9036" s="3" t="s">
        <v>53</v>
      </c>
      <c r="C9036" s="4" t="str">
        <f t="shared" si="798"/>
        <v>Long An</v>
      </c>
      <c r="D9036" s="3" t="s">
        <v>635</v>
      </c>
      <c r="E9036" s="4" t="str">
        <f t="shared" si="799"/>
        <v>Huyện Vĩnh Hưng</v>
      </c>
      <c r="F9036" s="3" t="s">
        <v>9795</v>
      </c>
      <c r="G9036" s="4" t="str">
        <f>HYPERLINK("https://diaocthongthai.com/xa-hung-dien-a-vinh-hung/","Xã Hưng Điền A")</f>
        <v>Xã Hưng Điền A</v>
      </c>
    </row>
    <row r="9037" spans="1:7" x14ac:dyDescent="0.25">
      <c r="A9037" s="2">
        <v>9036</v>
      </c>
      <c r="B9037" s="3" t="s">
        <v>53</v>
      </c>
      <c r="C9037" s="4" t="str">
        <f t="shared" si="798"/>
        <v>Long An</v>
      </c>
      <c r="D9037" s="3" t="s">
        <v>635</v>
      </c>
      <c r="E9037" s="4" t="str">
        <f t="shared" si="799"/>
        <v>Huyện Vĩnh Hưng</v>
      </c>
      <c r="F9037" s="3" t="s">
        <v>9796</v>
      </c>
      <c r="G9037" s="4" t="str">
        <f>HYPERLINK("https://diaocthongthai.com/xa-khanh-hung-vinh-hung/","Xã Khánh Hưng")</f>
        <v>Xã Khánh Hưng</v>
      </c>
    </row>
    <row r="9038" spans="1:7" x14ac:dyDescent="0.25">
      <c r="A9038" s="2">
        <v>9037</v>
      </c>
      <c r="B9038" s="3" t="s">
        <v>53</v>
      </c>
      <c r="C9038" s="4" t="str">
        <f t="shared" si="798"/>
        <v>Long An</v>
      </c>
      <c r="D9038" s="3" t="s">
        <v>635</v>
      </c>
      <c r="E9038" s="4" t="str">
        <f t="shared" si="799"/>
        <v>Huyện Vĩnh Hưng</v>
      </c>
      <c r="F9038" s="3" t="s">
        <v>9797</v>
      </c>
      <c r="G9038" s="4" t="str">
        <f>HYPERLINK("https://diaocthongthai.com/xa-thai-tri-vinh-hung/","Xã Thái Trị")</f>
        <v>Xã Thái Trị</v>
      </c>
    </row>
    <row r="9039" spans="1:7" x14ac:dyDescent="0.25">
      <c r="A9039" s="2">
        <v>9038</v>
      </c>
      <c r="B9039" s="3" t="s">
        <v>53</v>
      </c>
      <c r="C9039" s="4" t="str">
        <f t="shared" si="798"/>
        <v>Long An</v>
      </c>
      <c r="D9039" s="3" t="s">
        <v>635</v>
      </c>
      <c r="E9039" s="4" t="str">
        <f t="shared" si="799"/>
        <v>Huyện Vĩnh Hưng</v>
      </c>
      <c r="F9039" s="3" t="s">
        <v>9798</v>
      </c>
      <c r="G9039" s="4" t="str">
        <f>HYPERLINK("https://diaocthongthai.com/xa-vinh-tri-vinh-hung/","Xã Vĩnh Trị")</f>
        <v>Xã Vĩnh Trị</v>
      </c>
    </row>
    <row r="9040" spans="1:7" x14ac:dyDescent="0.25">
      <c r="A9040" s="2">
        <v>9039</v>
      </c>
      <c r="B9040" s="3" t="s">
        <v>53</v>
      </c>
      <c r="C9040" s="4" t="str">
        <f t="shared" si="798"/>
        <v>Long An</v>
      </c>
      <c r="D9040" s="3" t="s">
        <v>635</v>
      </c>
      <c r="E9040" s="4" t="str">
        <f t="shared" si="799"/>
        <v>Huyện Vĩnh Hưng</v>
      </c>
      <c r="F9040" s="3" t="s">
        <v>9799</v>
      </c>
      <c r="G9040" s="4" t="str">
        <f>HYPERLINK("https://diaocthongthai.com/xa-thai-binh-trung-vinh-hung/","Xã Thái Bình Trung")</f>
        <v>Xã Thái Bình Trung</v>
      </c>
    </row>
    <row r="9041" spans="1:7" x14ac:dyDescent="0.25">
      <c r="A9041" s="2">
        <v>9040</v>
      </c>
      <c r="B9041" s="3" t="s">
        <v>53</v>
      </c>
      <c r="C9041" s="4" t="str">
        <f t="shared" si="798"/>
        <v>Long An</v>
      </c>
      <c r="D9041" s="3" t="s">
        <v>635</v>
      </c>
      <c r="E9041" s="4" t="str">
        <f t="shared" si="799"/>
        <v>Huyện Vĩnh Hưng</v>
      </c>
      <c r="F9041" s="3" t="s">
        <v>9800</v>
      </c>
      <c r="G9041" s="4" t="str">
        <f>HYPERLINK("https://diaocthongthai.com/xa-vinh-binh-vinh-hung/","Xã Vĩnh Bình")</f>
        <v>Xã Vĩnh Bình</v>
      </c>
    </row>
    <row r="9042" spans="1:7" x14ac:dyDescent="0.25">
      <c r="A9042" s="2">
        <v>9041</v>
      </c>
      <c r="B9042" s="3" t="s">
        <v>53</v>
      </c>
      <c r="C9042" s="4" t="str">
        <f t="shared" si="798"/>
        <v>Long An</v>
      </c>
      <c r="D9042" s="3" t="s">
        <v>635</v>
      </c>
      <c r="E9042" s="4" t="str">
        <f t="shared" si="799"/>
        <v>Huyện Vĩnh Hưng</v>
      </c>
      <c r="F9042" s="3" t="s">
        <v>9801</v>
      </c>
      <c r="G9042" s="4" t="str">
        <f>HYPERLINK("https://diaocthongthai.com/xa-vinh-thuan-vinh-hung/","Xã Vĩnh Thuận")</f>
        <v>Xã Vĩnh Thuận</v>
      </c>
    </row>
    <row r="9043" spans="1:7" x14ac:dyDescent="0.25">
      <c r="A9043" s="2">
        <v>9042</v>
      </c>
      <c r="B9043" s="3" t="s">
        <v>53</v>
      </c>
      <c r="C9043" s="4" t="str">
        <f t="shared" si="798"/>
        <v>Long An</v>
      </c>
      <c r="D9043" s="3" t="s">
        <v>635</v>
      </c>
      <c r="E9043" s="4" t="str">
        <f t="shared" si="799"/>
        <v>Huyện Vĩnh Hưng</v>
      </c>
      <c r="F9043" s="3" t="s">
        <v>9802</v>
      </c>
      <c r="G9043" s="4" t="str">
        <f>HYPERLINK("https://diaocthongthai.com/xa-tuyen-binh-vinh-hung/","Xã Tuyên Bình")</f>
        <v>Xã Tuyên Bình</v>
      </c>
    </row>
    <row r="9044" spans="1:7" x14ac:dyDescent="0.25">
      <c r="A9044" s="2">
        <v>9043</v>
      </c>
      <c r="B9044" s="3" t="s">
        <v>53</v>
      </c>
      <c r="C9044" s="4" t="str">
        <f t="shared" si="798"/>
        <v>Long An</v>
      </c>
      <c r="D9044" s="3" t="s">
        <v>635</v>
      </c>
      <c r="E9044" s="4" t="str">
        <f t="shared" si="799"/>
        <v>Huyện Vĩnh Hưng</v>
      </c>
      <c r="F9044" s="3" t="s">
        <v>9803</v>
      </c>
      <c r="G9044" s="4" t="str">
        <f>HYPERLINK("https://diaocthongthai.com/xa-tuyen-binh-tay-vinh-hung/","Xã Tuyên Bình Tây")</f>
        <v>Xã Tuyên Bình Tây</v>
      </c>
    </row>
    <row r="9045" spans="1:7" x14ac:dyDescent="0.25">
      <c r="A9045" s="2">
        <v>9044</v>
      </c>
      <c r="B9045" s="3" t="s">
        <v>53</v>
      </c>
      <c r="C9045" s="4" t="str">
        <f t="shared" si="798"/>
        <v>Long An</v>
      </c>
      <c r="D9045" s="3" t="s">
        <v>636</v>
      </c>
      <c r="E9045" s="4" t="str">
        <f t="shared" ref="E9045:E9051" si="800">HYPERLINK("https://diaocthongthai.com/ban-do-huyen-moc-hoa-long-an/","Huyện Mộc Hóa")</f>
        <v>Huyện Mộc Hóa</v>
      </c>
      <c r="F9045" s="3" t="s">
        <v>9804</v>
      </c>
      <c r="G9045" s="4" t="str">
        <f>HYPERLINK("https://diaocthongthai.com/xa-binh-hoa-tay-moc-hoa/","Xã Bình Hòa Tây")</f>
        <v>Xã Bình Hòa Tây</v>
      </c>
    </row>
    <row r="9046" spans="1:7" x14ac:dyDescent="0.25">
      <c r="A9046" s="2">
        <v>9045</v>
      </c>
      <c r="B9046" s="3" t="s">
        <v>53</v>
      </c>
      <c r="C9046" s="4" t="str">
        <f t="shared" si="798"/>
        <v>Long An</v>
      </c>
      <c r="D9046" s="3" t="s">
        <v>636</v>
      </c>
      <c r="E9046" s="4" t="str">
        <f t="shared" si="800"/>
        <v>Huyện Mộc Hóa</v>
      </c>
      <c r="F9046" s="3" t="s">
        <v>9805</v>
      </c>
      <c r="G9046" s="4" t="str">
        <f>HYPERLINK("https://diaocthongthai.com/xa-binh-thanh-moc-hoa/","Xã Bình Thạnh")</f>
        <v>Xã Bình Thạnh</v>
      </c>
    </row>
    <row r="9047" spans="1:7" x14ac:dyDescent="0.25">
      <c r="A9047" s="2">
        <v>9046</v>
      </c>
      <c r="B9047" s="3" t="s">
        <v>53</v>
      </c>
      <c r="C9047" s="4" t="str">
        <f t="shared" si="798"/>
        <v>Long An</v>
      </c>
      <c r="D9047" s="3" t="s">
        <v>636</v>
      </c>
      <c r="E9047" s="4" t="str">
        <f t="shared" si="800"/>
        <v>Huyện Mộc Hóa</v>
      </c>
      <c r="F9047" s="3" t="s">
        <v>9806</v>
      </c>
      <c r="G9047" s="4" t="str">
        <f>HYPERLINK("https://diaocthongthai.com/xa-binh-hoa-trung-moc-hoa/","Xã Bình Hòa Trung")</f>
        <v>Xã Bình Hòa Trung</v>
      </c>
    </row>
    <row r="9048" spans="1:7" x14ac:dyDescent="0.25">
      <c r="A9048" s="2">
        <v>9047</v>
      </c>
      <c r="B9048" s="3" t="s">
        <v>53</v>
      </c>
      <c r="C9048" s="4" t="str">
        <f t="shared" si="798"/>
        <v>Long An</v>
      </c>
      <c r="D9048" s="3" t="s">
        <v>636</v>
      </c>
      <c r="E9048" s="4" t="str">
        <f t="shared" si="800"/>
        <v>Huyện Mộc Hóa</v>
      </c>
      <c r="F9048" s="3" t="s">
        <v>9807</v>
      </c>
      <c r="G9048" s="4" t="str">
        <f>HYPERLINK("https://diaocthongthai.com/xa-binh-hoa-dong-moc-hoa/","Xã Bình Hòa Đông")</f>
        <v>Xã Bình Hòa Đông</v>
      </c>
    </row>
    <row r="9049" spans="1:7" x14ac:dyDescent="0.25">
      <c r="A9049" s="2">
        <v>9048</v>
      </c>
      <c r="B9049" s="3" t="s">
        <v>53</v>
      </c>
      <c r="C9049" s="4" t="str">
        <f t="shared" si="798"/>
        <v>Long An</v>
      </c>
      <c r="D9049" s="3" t="s">
        <v>636</v>
      </c>
      <c r="E9049" s="4" t="str">
        <f t="shared" si="800"/>
        <v>Huyện Mộc Hóa</v>
      </c>
      <c r="F9049" s="3" t="s">
        <v>9808</v>
      </c>
      <c r="G9049" s="4" t="str">
        <f>HYPERLINK("https://diaocthongthai.com/thi-tran-binh-phong-thanh-moc-hoa/","Thị trấn Bình Phong Thạnh")</f>
        <v>Thị trấn Bình Phong Thạnh</v>
      </c>
    </row>
    <row r="9050" spans="1:7" x14ac:dyDescent="0.25">
      <c r="A9050" s="2">
        <v>9049</v>
      </c>
      <c r="B9050" s="3" t="s">
        <v>53</v>
      </c>
      <c r="C9050" s="4" t="str">
        <f t="shared" si="798"/>
        <v>Long An</v>
      </c>
      <c r="D9050" s="3" t="s">
        <v>636</v>
      </c>
      <c r="E9050" s="4" t="str">
        <f t="shared" si="800"/>
        <v>Huyện Mộc Hóa</v>
      </c>
      <c r="F9050" s="3" t="s">
        <v>9809</v>
      </c>
      <c r="G9050" s="4" t="str">
        <f>HYPERLINK("https://diaocthongthai.com/xa-tan-lap-moc-hoa/","Xã Tân Lập")</f>
        <v>Xã Tân Lập</v>
      </c>
    </row>
    <row r="9051" spans="1:7" x14ac:dyDescent="0.25">
      <c r="A9051" s="2">
        <v>9050</v>
      </c>
      <c r="B9051" s="3" t="s">
        <v>53</v>
      </c>
      <c r="C9051" s="4" t="str">
        <f t="shared" si="798"/>
        <v>Long An</v>
      </c>
      <c r="D9051" s="3" t="s">
        <v>636</v>
      </c>
      <c r="E9051" s="4" t="str">
        <f t="shared" si="800"/>
        <v>Huyện Mộc Hóa</v>
      </c>
      <c r="F9051" s="3" t="s">
        <v>9810</v>
      </c>
      <c r="G9051" s="4" t="str">
        <f>HYPERLINK("https://diaocthongthai.com/xa-tan-thanh-moc-hoa/","Xã Tân Thành")</f>
        <v>Xã Tân Thành</v>
      </c>
    </row>
    <row r="9052" spans="1:7" x14ac:dyDescent="0.25">
      <c r="A9052" s="2">
        <v>9051</v>
      </c>
      <c r="B9052" s="3" t="s">
        <v>53</v>
      </c>
      <c r="C9052" s="4" t="str">
        <f t="shared" si="798"/>
        <v>Long An</v>
      </c>
      <c r="D9052" s="3" t="s">
        <v>637</v>
      </c>
      <c r="E9052" s="4" t="str">
        <f t="shared" ref="E9052:E9064" si="801">HYPERLINK("https://diaocthongthai.com/ban-do-huyen-tan-thanh-long-an/","Huyện Tân Thạnh")</f>
        <v>Huyện Tân Thạnh</v>
      </c>
      <c r="F9052" s="3" t="s">
        <v>9811</v>
      </c>
      <c r="G9052" s="4" t="str">
        <f>HYPERLINK("https://diaocthongthai.com/thi-tran-tan-thanh-tan-thanh/","Thị trấn Tân Thạnh")</f>
        <v>Thị trấn Tân Thạnh</v>
      </c>
    </row>
    <row r="9053" spans="1:7" x14ac:dyDescent="0.25">
      <c r="A9053" s="2">
        <v>9052</v>
      </c>
      <c r="B9053" s="3" t="s">
        <v>53</v>
      </c>
      <c r="C9053" s="4" t="str">
        <f t="shared" si="798"/>
        <v>Long An</v>
      </c>
      <c r="D9053" s="3" t="s">
        <v>637</v>
      </c>
      <c r="E9053" s="4" t="str">
        <f t="shared" si="801"/>
        <v>Huyện Tân Thạnh</v>
      </c>
      <c r="F9053" s="3" t="s">
        <v>9812</v>
      </c>
      <c r="G9053" s="4" t="str">
        <f>HYPERLINK("https://diaocthongthai.com/xa-bac-hoa-tan-thanh/","Xã Bắc Hòa")</f>
        <v>Xã Bắc Hòa</v>
      </c>
    </row>
    <row r="9054" spans="1:7" x14ac:dyDescent="0.25">
      <c r="A9054" s="2">
        <v>9053</v>
      </c>
      <c r="B9054" s="3" t="s">
        <v>53</v>
      </c>
      <c r="C9054" s="4" t="str">
        <f t="shared" si="798"/>
        <v>Long An</v>
      </c>
      <c r="D9054" s="3" t="s">
        <v>637</v>
      </c>
      <c r="E9054" s="4" t="str">
        <f t="shared" si="801"/>
        <v>Huyện Tân Thạnh</v>
      </c>
      <c r="F9054" s="3" t="s">
        <v>9813</v>
      </c>
      <c r="G9054" s="4" t="str">
        <f>HYPERLINK("https://diaocthongthai.com/xa-hau-thanh-tay-tan-thanh/","Xã Hậu Thạnh Tây")</f>
        <v>Xã Hậu Thạnh Tây</v>
      </c>
    </row>
    <row r="9055" spans="1:7" x14ac:dyDescent="0.25">
      <c r="A9055" s="2">
        <v>9054</v>
      </c>
      <c r="B9055" s="3" t="s">
        <v>53</v>
      </c>
      <c r="C9055" s="4" t="str">
        <f t="shared" si="798"/>
        <v>Long An</v>
      </c>
      <c r="D9055" s="3" t="s">
        <v>637</v>
      </c>
      <c r="E9055" s="4" t="str">
        <f t="shared" si="801"/>
        <v>Huyện Tân Thạnh</v>
      </c>
      <c r="F9055" s="3" t="s">
        <v>9814</v>
      </c>
      <c r="G9055" s="4" t="str">
        <f>HYPERLINK("https://diaocthongthai.com/xa-nhon-hoa-lap-tan-thanh/","Xã Nhơn Hòa Lập")</f>
        <v>Xã Nhơn Hòa Lập</v>
      </c>
    </row>
    <row r="9056" spans="1:7" x14ac:dyDescent="0.25">
      <c r="A9056" s="2">
        <v>9055</v>
      </c>
      <c r="B9056" s="3" t="s">
        <v>53</v>
      </c>
      <c r="C9056" s="4" t="str">
        <f t="shared" si="798"/>
        <v>Long An</v>
      </c>
      <c r="D9056" s="3" t="s">
        <v>637</v>
      </c>
      <c r="E9056" s="4" t="str">
        <f t="shared" si="801"/>
        <v>Huyện Tân Thạnh</v>
      </c>
      <c r="F9056" s="3" t="s">
        <v>9815</v>
      </c>
      <c r="G9056" s="4" t="str">
        <f>HYPERLINK("https://diaocthongthai.com/xa-tan-lap-tan-thanh/","Xã Tân Lập")</f>
        <v>Xã Tân Lập</v>
      </c>
    </row>
    <row r="9057" spans="1:7" x14ac:dyDescent="0.25">
      <c r="A9057" s="2">
        <v>9056</v>
      </c>
      <c r="B9057" s="3" t="s">
        <v>53</v>
      </c>
      <c r="C9057" s="4" t="str">
        <f t="shared" si="798"/>
        <v>Long An</v>
      </c>
      <c r="D9057" s="3" t="s">
        <v>637</v>
      </c>
      <c r="E9057" s="4" t="str">
        <f t="shared" si="801"/>
        <v>Huyện Tân Thạnh</v>
      </c>
      <c r="F9057" s="3" t="s">
        <v>9816</v>
      </c>
      <c r="G9057" s="4" t="str">
        <f>HYPERLINK("https://diaocthongthai.com/xa-hau-thanh-dong-tan-thanh/","Xã Hậu Thạnh Đông")</f>
        <v>Xã Hậu Thạnh Đông</v>
      </c>
    </row>
    <row r="9058" spans="1:7" x14ac:dyDescent="0.25">
      <c r="A9058" s="2">
        <v>9057</v>
      </c>
      <c r="B9058" s="3" t="s">
        <v>53</v>
      </c>
      <c r="C9058" s="4" t="str">
        <f t="shared" si="798"/>
        <v>Long An</v>
      </c>
      <c r="D9058" s="3" t="s">
        <v>637</v>
      </c>
      <c r="E9058" s="4" t="str">
        <f t="shared" si="801"/>
        <v>Huyện Tân Thạnh</v>
      </c>
      <c r="F9058" s="3" t="s">
        <v>9817</v>
      </c>
      <c r="G9058" s="4" t="str">
        <f>HYPERLINK("https://diaocthongthai.com/xa-nhon-hoa-tan-thanh/","Xã Nhơn Hoà")</f>
        <v>Xã Nhơn Hoà</v>
      </c>
    </row>
    <row r="9059" spans="1:7" x14ac:dyDescent="0.25">
      <c r="A9059" s="2">
        <v>9058</v>
      </c>
      <c r="B9059" s="3" t="s">
        <v>53</v>
      </c>
      <c r="C9059" s="4" t="str">
        <f t="shared" si="798"/>
        <v>Long An</v>
      </c>
      <c r="D9059" s="3" t="s">
        <v>637</v>
      </c>
      <c r="E9059" s="4" t="str">
        <f t="shared" si="801"/>
        <v>Huyện Tân Thạnh</v>
      </c>
      <c r="F9059" s="3" t="s">
        <v>9818</v>
      </c>
      <c r="G9059" s="4" t="str">
        <f>HYPERLINK("https://diaocthongthai.com/xa-kien-binh-tan-thanh/","Xã Kiến Bình")</f>
        <v>Xã Kiến Bình</v>
      </c>
    </row>
    <row r="9060" spans="1:7" x14ac:dyDescent="0.25">
      <c r="A9060" s="2">
        <v>9059</v>
      </c>
      <c r="B9060" s="3" t="s">
        <v>53</v>
      </c>
      <c r="C9060" s="4" t="str">
        <f t="shared" si="798"/>
        <v>Long An</v>
      </c>
      <c r="D9060" s="3" t="s">
        <v>637</v>
      </c>
      <c r="E9060" s="4" t="str">
        <f t="shared" si="801"/>
        <v>Huyện Tân Thạnh</v>
      </c>
      <c r="F9060" s="3" t="s">
        <v>9819</v>
      </c>
      <c r="G9060" s="4" t="str">
        <f>HYPERLINK("https://diaocthongthai.com/xa-tan-thanh-tan-thanh/","Xã Tân Thành")</f>
        <v>Xã Tân Thành</v>
      </c>
    </row>
    <row r="9061" spans="1:7" x14ac:dyDescent="0.25">
      <c r="A9061" s="2">
        <v>9060</v>
      </c>
      <c r="B9061" s="3" t="s">
        <v>53</v>
      </c>
      <c r="C9061" s="4" t="str">
        <f t="shared" si="798"/>
        <v>Long An</v>
      </c>
      <c r="D9061" s="3" t="s">
        <v>637</v>
      </c>
      <c r="E9061" s="4" t="str">
        <f t="shared" si="801"/>
        <v>Huyện Tân Thạnh</v>
      </c>
      <c r="F9061" s="3" t="s">
        <v>9820</v>
      </c>
      <c r="G9061" s="4" t="str">
        <f>HYPERLINK("https://diaocthongthai.com/xa-tan-binh-tan-thanh/","Xã Tân Bình")</f>
        <v>Xã Tân Bình</v>
      </c>
    </row>
    <row r="9062" spans="1:7" x14ac:dyDescent="0.25">
      <c r="A9062" s="2">
        <v>9061</v>
      </c>
      <c r="B9062" s="3" t="s">
        <v>53</v>
      </c>
      <c r="C9062" s="4" t="str">
        <f t="shared" si="798"/>
        <v>Long An</v>
      </c>
      <c r="D9062" s="3" t="s">
        <v>637</v>
      </c>
      <c r="E9062" s="4" t="str">
        <f t="shared" si="801"/>
        <v>Huyện Tân Thạnh</v>
      </c>
      <c r="F9062" s="3" t="s">
        <v>9821</v>
      </c>
      <c r="G9062" s="4" t="str">
        <f>HYPERLINK("https://diaocthongthai.com/xa-tan-ninh-tan-thanh/","Xã Tân Ninh")</f>
        <v>Xã Tân Ninh</v>
      </c>
    </row>
    <row r="9063" spans="1:7" x14ac:dyDescent="0.25">
      <c r="A9063" s="2">
        <v>9062</v>
      </c>
      <c r="B9063" s="3" t="s">
        <v>53</v>
      </c>
      <c r="C9063" s="4" t="str">
        <f t="shared" si="798"/>
        <v>Long An</v>
      </c>
      <c r="D9063" s="3" t="s">
        <v>637</v>
      </c>
      <c r="E9063" s="4" t="str">
        <f t="shared" si="801"/>
        <v>Huyện Tân Thạnh</v>
      </c>
      <c r="F9063" s="3" t="s">
        <v>9822</v>
      </c>
      <c r="G9063" s="4" t="str">
        <f>HYPERLINK("https://diaocthongthai.com/xa-nhon-ninh-tan-thanh/","Xã Nhơn Ninh")</f>
        <v>Xã Nhơn Ninh</v>
      </c>
    </row>
    <row r="9064" spans="1:7" x14ac:dyDescent="0.25">
      <c r="A9064" s="2">
        <v>9063</v>
      </c>
      <c r="B9064" s="3" t="s">
        <v>53</v>
      </c>
      <c r="C9064" s="4" t="str">
        <f t="shared" si="798"/>
        <v>Long An</v>
      </c>
      <c r="D9064" s="3" t="s">
        <v>637</v>
      </c>
      <c r="E9064" s="4" t="str">
        <f t="shared" si="801"/>
        <v>Huyện Tân Thạnh</v>
      </c>
      <c r="F9064" s="3" t="s">
        <v>9823</v>
      </c>
      <c r="G9064" s="4" t="str">
        <f>HYPERLINK("https://diaocthongthai.com/xa-tan-hoa-tan-thanh/","Xã Tân Hòa")</f>
        <v>Xã Tân Hòa</v>
      </c>
    </row>
    <row r="9065" spans="1:7" x14ac:dyDescent="0.25">
      <c r="A9065" s="2">
        <v>9064</v>
      </c>
      <c r="B9065" s="3" t="s">
        <v>53</v>
      </c>
      <c r="C9065" s="4" t="str">
        <f t="shared" ref="C9065:C9096" si="802">HYPERLINK("https://diaocthongthai.com/ban-do-long-an/","Long An")</f>
        <v>Long An</v>
      </c>
      <c r="D9065" s="3" t="s">
        <v>638</v>
      </c>
      <c r="E9065" s="4" t="str">
        <f t="shared" ref="E9065:E9075" si="803">HYPERLINK("https://diaocthongthai.com/ban-do-huyen-thanh-hoa-long-an/","Huyện Thạnh Hóa")</f>
        <v>Huyện Thạnh Hóa</v>
      </c>
      <c r="F9065" s="3" t="s">
        <v>9824</v>
      </c>
      <c r="G9065" s="4" t="str">
        <f>HYPERLINK("https://diaocthongthai.com/thi-tran-thanh-hoa-thanh-hoa/","Thị trấn Thạnh Hóa")</f>
        <v>Thị trấn Thạnh Hóa</v>
      </c>
    </row>
    <row r="9066" spans="1:7" x14ac:dyDescent="0.25">
      <c r="A9066" s="2">
        <v>9065</v>
      </c>
      <c r="B9066" s="3" t="s">
        <v>53</v>
      </c>
      <c r="C9066" s="4" t="str">
        <f t="shared" si="802"/>
        <v>Long An</v>
      </c>
      <c r="D9066" s="3" t="s">
        <v>638</v>
      </c>
      <c r="E9066" s="4" t="str">
        <f t="shared" si="803"/>
        <v>Huyện Thạnh Hóa</v>
      </c>
      <c r="F9066" s="3" t="s">
        <v>9825</v>
      </c>
      <c r="G9066" s="4" t="str">
        <f>HYPERLINK("https://diaocthongthai.com/xa-tan-hiep-thanh-hoa/","Xã Tân Hiệp")</f>
        <v>Xã Tân Hiệp</v>
      </c>
    </row>
    <row r="9067" spans="1:7" x14ac:dyDescent="0.25">
      <c r="A9067" s="2">
        <v>9066</v>
      </c>
      <c r="B9067" s="3" t="s">
        <v>53</v>
      </c>
      <c r="C9067" s="4" t="str">
        <f t="shared" si="802"/>
        <v>Long An</v>
      </c>
      <c r="D9067" s="3" t="s">
        <v>638</v>
      </c>
      <c r="E9067" s="4" t="str">
        <f t="shared" si="803"/>
        <v>Huyện Thạnh Hóa</v>
      </c>
      <c r="F9067" s="3" t="s">
        <v>9826</v>
      </c>
      <c r="G9067" s="4" t="str">
        <f>HYPERLINK("https://diaocthongthai.com/xa-thuan-binh-thanh-hoa/","Xã Thuận Bình")</f>
        <v>Xã Thuận Bình</v>
      </c>
    </row>
    <row r="9068" spans="1:7" x14ac:dyDescent="0.25">
      <c r="A9068" s="2">
        <v>9067</v>
      </c>
      <c r="B9068" s="3" t="s">
        <v>53</v>
      </c>
      <c r="C9068" s="4" t="str">
        <f t="shared" si="802"/>
        <v>Long An</v>
      </c>
      <c r="D9068" s="3" t="s">
        <v>638</v>
      </c>
      <c r="E9068" s="4" t="str">
        <f t="shared" si="803"/>
        <v>Huyện Thạnh Hóa</v>
      </c>
      <c r="F9068" s="3" t="s">
        <v>9827</v>
      </c>
      <c r="G9068" s="4" t="str">
        <f>HYPERLINK("https://diaocthongthai.com/xa-thanh-phuoc-thanh-hoa/","Xã Thạnh Phước")</f>
        <v>Xã Thạnh Phước</v>
      </c>
    </row>
    <row r="9069" spans="1:7" x14ac:dyDescent="0.25">
      <c r="A9069" s="2">
        <v>9068</v>
      </c>
      <c r="B9069" s="3" t="s">
        <v>53</v>
      </c>
      <c r="C9069" s="4" t="str">
        <f t="shared" si="802"/>
        <v>Long An</v>
      </c>
      <c r="D9069" s="3" t="s">
        <v>638</v>
      </c>
      <c r="E9069" s="4" t="str">
        <f t="shared" si="803"/>
        <v>Huyện Thạnh Hóa</v>
      </c>
      <c r="F9069" s="3" t="s">
        <v>9828</v>
      </c>
      <c r="G9069" s="4" t="str">
        <f>HYPERLINK("https://diaocthongthai.com/xa-thanh-phu-thanh-hoa/","Xã Thạnh Phú")</f>
        <v>Xã Thạnh Phú</v>
      </c>
    </row>
    <row r="9070" spans="1:7" x14ac:dyDescent="0.25">
      <c r="A9070" s="2">
        <v>9069</v>
      </c>
      <c r="B9070" s="3" t="s">
        <v>53</v>
      </c>
      <c r="C9070" s="4" t="str">
        <f t="shared" si="802"/>
        <v>Long An</v>
      </c>
      <c r="D9070" s="3" t="s">
        <v>638</v>
      </c>
      <c r="E9070" s="4" t="str">
        <f t="shared" si="803"/>
        <v>Huyện Thạnh Hóa</v>
      </c>
      <c r="F9070" s="3" t="s">
        <v>9829</v>
      </c>
      <c r="G9070" s="4" t="str">
        <f>HYPERLINK("https://diaocthongthai.com/xa-thuan-nghia-hoa-thanh-hoa/","Xã Thuận Nghĩa Hòa")</f>
        <v>Xã Thuận Nghĩa Hòa</v>
      </c>
    </row>
    <row r="9071" spans="1:7" x14ac:dyDescent="0.25">
      <c r="A9071" s="2">
        <v>9070</v>
      </c>
      <c r="B9071" s="3" t="s">
        <v>53</v>
      </c>
      <c r="C9071" s="4" t="str">
        <f t="shared" si="802"/>
        <v>Long An</v>
      </c>
      <c r="D9071" s="3" t="s">
        <v>638</v>
      </c>
      <c r="E9071" s="4" t="str">
        <f t="shared" si="803"/>
        <v>Huyện Thạnh Hóa</v>
      </c>
      <c r="F9071" s="3" t="s">
        <v>9830</v>
      </c>
      <c r="G9071" s="4" t="str">
        <f>HYPERLINK("https://diaocthongthai.com/xa-thuy-dong-thanh-hoa/","Xã Thủy Đông")</f>
        <v>Xã Thủy Đông</v>
      </c>
    </row>
    <row r="9072" spans="1:7" x14ac:dyDescent="0.25">
      <c r="A9072" s="2">
        <v>9071</v>
      </c>
      <c r="B9072" s="3" t="s">
        <v>53</v>
      </c>
      <c r="C9072" s="4" t="str">
        <f t="shared" si="802"/>
        <v>Long An</v>
      </c>
      <c r="D9072" s="3" t="s">
        <v>638</v>
      </c>
      <c r="E9072" s="4" t="str">
        <f t="shared" si="803"/>
        <v>Huyện Thạnh Hóa</v>
      </c>
      <c r="F9072" s="3" t="s">
        <v>9831</v>
      </c>
      <c r="G9072" s="4" t="str">
        <f>HYPERLINK("https://diaocthongthai.com/xa-thuy-tay-thanh-hoa/","Xã Thủy Tây")</f>
        <v>Xã Thủy Tây</v>
      </c>
    </row>
    <row r="9073" spans="1:7" x14ac:dyDescent="0.25">
      <c r="A9073" s="2">
        <v>9072</v>
      </c>
      <c r="B9073" s="3" t="s">
        <v>53</v>
      </c>
      <c r="C9073" s="4" t="str">
        <f t="shared" si="802"/>
        <v>Long An</v>
      </c>
      <c r="D9073" s="3" t="s">
        <v>638</v>
      </c>
      <c r="E9073" s="4" t="str">
        <f t="shared" si="803"/>
        <v>Huyện Thạnh Hóa</v>
      </c>
      <c r="F9073" s="3" t="s">
        <v>9832</v>
      </c>
      <c r="G9073" s="4" t="str">
        <f>HYPERLINK("https://diaocthongthai.com/xa-tan-tay-thanh-hoa/","Xã Tân Tây")</f>
        <v>Xã Tân Tây</v>
      </c>
    </row>
    <row r="9074" spans="1:7" x14ac:dyDescent="0.25">
      <c r="A9074" s="2">
        <v>9073</v>
      </c>
      <c r="B9074" s="3" t="s">
        <v>53</v>
      </c>
      <c r="C9074" s="4" t="str">
        <f t="shared" si="802"/>
        <v>Long An</v>
      </c>
      <c r="D9074" s="3" t="s">
        <v>638</v>
      </c>
      <c r="E9074" s="4" t="str">
        <f t="shared" si="803"/>
        <v>Huyện Thạnh Hóa</v>
      </c>
      <c r="F9074" s="3" t="s">
        <v>9833</v>
      </c>
      <c r="G9074" s="4" t="str">
        <f>HYPERLINK("https://diaocthongthai.com/xa-tan-dong-thanh-hoa/","Xã Tân Đông")</f>
        <v>Xã Tân Đông</v>
      </c>
    </row>
    <row r="9075" spans="1:7" x14ac:dyDescent="0.25">
      <c r="A9075" s="2">
        <v>9074</v>
      </c>
      <c r="B9075" s="3" t="s">
        <v>53</v>
      </c>
      <c r="C9075" s="4" t="str">
        <f t="shared" si="802"/>
        <v>Long An</v>
      </c>
      <c r="D9075" s="3" t="s">
        <v>638</v>
      </c>
      <c r="E9075" s="4" t="str">
        <f t="shared" si="803"/>
        <v>Huyện Thạnh Hóa</v>
      </c>
      <c r="F9075" s="3" t="s">
        <v>9834</v>
      </c>
      <c r="G9075" s="4" t="str">
        <f>HYPERLINK("https://diaocthongthai.com/xa-thanh-an-thanh-hoa/","Xã Thạnh An")</f>
        <v>Xã Thạnh An</v>
      </c>
    </row>
    <row r="9076" spans="1:7" x14ac:dyDescent="0.25">
      <c r="A9076" s="2">
        <v>9075</v>
      </c>
      <c r="B9076" s="3" t="s">
        <v>53</v>
      </c>
      <c r="C9076" s="4" t="str">
        <f t="shared" si="802"/>
        <v>Long An</v>
      </c>
      <c r="D9076" s="3" t="s">
        <v>639</v>
      </c>
      <c r="E9076" s="4" t="str">
        <f t="shared" ref="E9076:E9086" si="804">HYPERLINK("https://diaocthongthai.com/ban-do-huyen-duc-hue-long-an/","Huyện Đức Huệ")</f>
        <v>Huyện Đức Huệ</v>
      </c>
      <c r="F9076" s="3" t="s">
        <v>9835</v>
      </c>
      <c r="G9076" s="4" t="str">
        <f>HYPERLINK("https://diaocthongthai.com/thi-tran-dong-thanh-duc-hue/","Thị trấn Đông Thành")</f>
        <v>Thị trấn Đông Thành</v>
      </c>
    </row>
    <row r="9077" spans="1:7" x14ac:dyDescent="0.25">
      <c r="A9077" s="2">
        <v>9076</v>
      </c>
      <c r="B9077" s="3" t="s">
        <v>53</v>
      </c>
      <c r="C9077" s="4" t="str">
        <f t="shared" si="802"/>
        <v>Long An</v>
      </c>
      <c r="D9077" s="3" t="s">
        <v>639</v>
      </c>
      <c r="E9077" s="4" t="str">
        <f t="shared" si="804"/>
        <v>Huyện Đức Huệ</v>
      </c>
      <c r="F9077" s="3" t="s">
        <v>9836</v>
      </c>
      <c r="G9077" s="4" t="str">
        <f>HYPERLINK("https://diaocthongthai.com/xa-my-quy-dong-duc-hue/","Xã Mỹ Quý Đông")</f>
        <v>Xã Mỹ Quý Đông</v>
      </c>
    </row>
    <row r="9078" spans="1:7" x14ac:dyDescent="0.25">
      <c r="A9078" s="2">
        <v>9077</v>
      </c>
      <c r="B9078" s="3" t="s">
        <v>53</v>
      </c>
      <c r="C9078" s="4" t="str">
        <f t="shared" si="802"/>
        <v>Long An</v>
      </c>
      <c r="D9078" s="3" t="s">
        <v>639</v>
      </c>
      <c r="E9078" s="4" t="str">
        <f t="shared" si="804"/>
        <v>Huyện Đức Huệ</v>
      </c>
      <c r="F9078" s="3" t="s">
        <v>9837</v>
      </c>
      <c r="G9078" s="4" t="str">
        <f>HYPERLINK("https://diaocthongthai.com/xa-my-thanh-bac-duc-hue/","Xã Mỹ Thạnh Bắc")</f>
        <v>Xã Mỹ Thạnh Bắc</v>
      </c>
    </row>
    <row r="9079" spans="1:7" x14ac:dyDescent="0.25">
      <c r="A9079" s="2">
        <v>9078</v>
      </c>
      <c r="B9079" s="3" t="s">
        <v>53</v>
      </c>
      <c r="C9079" s="4" t="str">
        <f t="shared" si="802"/>
        <v>Long An</v>
      </c>
      <c r="D9079" s="3" t="s">
        <v>639</v>
      </c>
      <c r="E9079" s="4" t="str">
        <f t="shared" si="804"/>
        <v>Huyện Đức Huệ</v>
      </c>
      <c r="F9079" s="3" t="s">
        <v>9838</v>
      </c>
      <c r="G9079" s="4" t="str">
        <f>HYPERLINK("https://diaocthongthai.com/xa-my-quy-tay-duc-hue/","Xã Mỹ Quý Tây")</f>
        <v>Xã Mỹ Quý Tây</v>
      </c>
    </row>
    <row r="9080" spans="1:7" x14ac:dyDescent="0.25">
      <c r="A9080" s="2">
        <v>9079</v>
      </c>
      <c r="B9080" s="3" t="s">
        <v>53</v>
      </c>
      <c r="C9080" s="4" t="str">
        <f t="shared" si="802"/>
        <v>Long An</v>
      </c>
      <c r="D9080" s="3" t="s">
        <v>639</v>
      </c>
      <c r="E9080" s="4" t="str">
        <f t="shared" si="804"/>
        <v>Huyện Đức Huệ</v>
      </c>
      <c r="F9080" s="3" t="s">
        <v>9839</v>
      </c>
      <c r="G9080" s="4" t="str">
        <f>HYPERLINK("https://diaocthongthai.com/xa-my-thanh-tay-duc-hue/","Xã Mỹ Thạnh Tây")</f>
        <v>Xã Mỹ Thạnh Tây</v>
      </c>
    </row>
    <row r="9081" spans="1:7" x14ac:dyDescent="0.25">
      <c r="A9081" s="2">
        <v>9080</v>
      </c>
      <c r="B9081" s="3" t="s">
        <v>53</v>
      </c>
      <c r="C9081" s="4" t="str">
        <f t="shared" si="802"/>
        <v>Long An</v>
      </c>
      <c r="D9081" s="3" t="s">
        <v>639</v>
      </c>
      <c r="E9081" s="4" t="str">
        <f t="shared" si="804"/>
        <v>Huyện Đức Huệ</v>
      </c>
      <c r="F9081" s="3" t="s">
        <v>9840</v>
      </c>
      <c r="G9081" s="4" t="str">
        <f>HYPERLINK("https://diaocthongthai.com/xa-my-thanh-dong-duc-hue/","Xã Mỹ Thạnh Đông")</f>
        <v>Xã Mỹ Thạnh Đông</v>
      </c>
    </row>
    <row r="9082" spans="1:7" x14ac:dyDescent="0.25">
      <c r="A9082" s="2">
        <v>9081</v>
      </c>
      <c r="B9082" s="3" t="s">
        <v>53</v>
      </c>
      <c r="C9082" s="4" t="str">
        <f t="shared" si="802"/>
        <v>Long An</v>
      </c>
      <c r="D9082" s="3" t="s">
        <v>639</v>
      </c>
      <c r="E9082" s="4" t="str">
        <f t="shared" si="804"/>
        <v>Huyện Đức Huệ</v>
      </c>
      <c r="F9082" s="3" t="s">
        <v>9841</v>
      </c>
      <c r="G9082" s="4" t="str">
        <f>HYPERLINK("https://diaocthongthai.com/xa-binh-thanh-duc-hue/","Xã Bình Thành")</f>
        <v>Xã Bình Thành</v>
      </c>
    </row>
    <row r="9083" spans="1:7" x14ac:dyDescent="0.25">
      <c r="A9083" s="2">
        <v>9082</v>
      </c>
      <c r="B9083" s="3" t="s">
        <v>53</v>
      </c>
      <c r="C9083" s="4" t="str">
        <f t="shared" si="802"/>
        <v>Long An</v>
      </c>
      <c r="D9083" s="3" t="s">
        <v>639</v>
      </c>
      <c r="E9083" s="4" t="str">
        <f t="shared" si="804"/>
        <v>Huyện Đức Huệ</v>
      </c>
      <c r="F9083" s="3" t="s">
        <v>9842</v>
      </c>
      <c r="G9083" s="4" t="str">
        <f>HYPERLINK("https://diaocthongthai.com/xa-binh-hoa-bac-duc-hue/","Xã Bình Hòa Bắc")</f>
        <v>Xã Bình Hòa Bắc</v>
      </c>
    </row>
    <row r="9084" spans="1:7" x14ac:dyDescent="0.25">
      <c r="A9084" s="2">
        <v>9083</v>
      </c>
      <c r="B9084" s="3" t="s">
        <v>53</v>
      </c>
      <c r="C9084" s="4" t="str">
        <f t="shared" si="802"/>
        <v>Long An</v>
      </c>
      <c r="D9084" s="3" t="s">
        <v>639</v>
      </c>
      <c r="E9084" s="4" t="str">
        <f t="shared" si="804"/>
        <v>Huyện Đức Huệ</v>
      </c>
      <c r="F9084" s="3" t="s">
        <v>9843</v>
      </c>
      <c r="G9084" s="4" t="str">
        <f>HYPERLINK("https://diaocthongthai.com/xa-binh-hoa-hung-duc-hue/","Xã Bình Hòa Hưng")</f>
        <v>Xã Bình Hòa Hưng</v>
      </c>
    </row>
    <row r="9085" spans="1:7" x14ac:dyDescent="0.25">
      <c r="A9085" s="2">
        <v>9084</v>
      </c>
      <c r="B9085" s="3" t="s">
        <v>53</v>
      </c>
      <c r="C9085" s="4" t="str">
        <f t="shared" si="802"/>
        <v>Long An</v>
      </c>
      <c r="D9085" s="3" t="s">
        <v>639</v>
      </c>
      <c r="E9085" s="4" t="str">
        <f t="shared" si="804"/>
        <v>Huyện Đức Huệ</v>
      </c>
      <c r="F9085" s="3" t="s">
        <v>9844</v>
      </c>
      <c r="G9085" s="4" t="str">
        <f>HYPERLINK("https://diaocthongthai.com/xa-binh-hoa-nam-duc-hue/","Xã Bình Hòa Nam")</f>
        <v>Xã Bình Hòa Nam</v>
      </c>
    </row>
    <row r="9086" spans="1:7" x14ac:dyDescent="0.25">
      <c r="A9086" s="2">
        <v>9085</v>
      </c>
      <c r="B9086" s="3" t="s">
        <v>53</v>
      </c>
      <c r="C9086" s="4" t="str">
        <f t="shared" si="802"/>
        <v>Long An</v>
      </c>
      <c r="D9086" s="3" t="s">
        <v>639</v>
      </c>
      <c r="E9086" s="4" t="str">
        <f t="shared" si="804"/>
        <v>Huyện Đức Huệ</v>
      </c>
      <c r="F9086" s="3" t="s">
        <v>9845</v>
      </c>
      <c r="G9086" s="4" t="str">
        <f>HYPERLINK("https://diaocthongthai.com/xa-my-binh-duc-hue/","Xã Mỹ Bình")</f>
        <v>Xã Mỹ Bình</v>
      </c>
    </row>
    <row r="9087" spans="1:7" x14ac:dyDescent="0.25">
      <c r="A9087" s="2">
        <v>9086</v>
      </c>
      <c r="B9087" s="3" t="s">
        <v>53</v>
      </c>
      <c r="C9087" s="4" t="str">
        <f t="shared" si="802"/>
        <v>Long An</v>
      </c>
      <c r="D9087" s="3" t="s">
        <v>640</v>
      </c>
      <c r="E9087" s="4" t="str">
        <f t="shared" ref="E9087:E9106" si="805">HYPERLINK("https://diaocthongthai.com/ban-do-huyen-duc-hoa-long-an/","Huyện Đức Hòa")</f>
        <v>Huyện Đức Hòa</v>
      </c>
      <c r="F9087" s="3" t="s">
        <v>9846</v>
      </c>
      <c r="G9087" s="4" t="str">
        <f>HYPERLINK("https://diaocthongthai.com/thi-tran-hau-nghia-duc-hoa/","Thị trấn Hậu Nghĩa")</f>
        <v>Thị trấn Hậu Nghĩa</v>
      </c>
    </row>
    <row r="9088" spans="1:7" x14ac:dyDescent="0.25">
      <c r="A9088" s="2">
        <v>9087</v>
      </c>
      <c r="B9088" s="3" t="s">
        <v>53</v>
      </c>
      <c r="C9088" s="4" t="str">
        <f t="shared" si="802"/>
        <v>Long An</v>
      </c>
      <c r="D9088" s="3" t="s">
        <v>640</v>
      </c>
      <c r="E9088" s="4" t="str">
        <f t="shared" si="805"/>
        <v>Huyện Đức Hòa</v>
      </c>
      <c r="F9088" s="3" t="s">
        <v>9847</v>
      </c>
      <c r="G9088" s="4" t="str">
        <f>HYPERLINK("https://diaocthongthai.com/thi-tran-hiep-hoa-duc-hoa/","Thị trấn Hiệp Hòa")</f>
        <v>Thị trấn Hiệp Hòa</v>
      </c>
    </row>
    <row r="9089" spans="1:7" x14ac:dyDescent="0.25">
      <c r="A9089" s="2">
        <v>9088</v>
      </c>
      <c r="B9089" s="3" t="s">
        <v>53</v>
      </c>
      <c r="C9089" s="4" t="str">
        <f t="shared" si="802"/>
        <v>Long An</v>
      </c>
      <c r="D9089" s="3" t="s">
        <v>640</v>
      </c>
      <c r="E9089" s="4" t="str">
        <f t="shared" si="805"/>
        <v>Huyện Đức Hòa</v>
      </c>
      <c r="F9089" s="3" t="s">
        <v>9848</v>
      </c>
      <c r="G9089" s="4" t="str">
        <f>HYPERLINK("https://diaocthongthai.com/thi-tran-duc-hoa-duc-hoa/","Thị trấn Đức Hòa")</f>
        <v>Thị trấn Đức Hòa</v>
      </c>
    </row>
    <row r="9090" spans="1:7" x14ac:dyDescent="0.25">
      <c r="A9090" s="2">
        <v>9089</v>
      </c>
      <c r="B9090" s="3" t="s">
        <v>53</v>
      </c>
      <c r="C9090" s="4" t="str">
        <f t="shared" si="802"/>
        <v>Long An</v>
      </c>
      <c r="D9090" s="3" t="s">
        <v>640</v>
      </c>
      <c r="E9090" s="4" t="str">
        <f t="shared" si="805"/>
        <v>Huyện Đức Hòa</v>
      </c>
      <c r="F9090" s="3" t="s">
        <v>9849</v>
      </c>
      <c r="G9090" s="4" t="str">
        <f>HYPERLINK("https://diaocthongthai.com/xa-loc-giang-duc-hoa/","Xã Lộc Giang")</f>
        <v>Xã Lộc Giang</v>
      </c>
    </row>
    <row r="9091" spans="1:7" x14ac:dyDescent="0.25">
      <c r="A9091" s="2">
        <v>9090</v>
      </c>
      <c r="B9091" s="3" t="s">
        <v>53</v>
      </c>
      <c r="C9091" s="4" t="str">
        <f t="shared" si="802"/>
        <v>Long An</v>
      </c>
      <c r="D9091" s="3" t="s">
        <v>640</v>
      </c>
      <c r="E9091" s="4" t="str">
        <f t="shared" si="805"/>
        <v>Huyện Đức Hòa</v>
      </c>
      <c r="F9091" s="3" t="s">
        <v>9850</v>
      </c>
      <c r="G9091" s="4" t="str">
        <f>HYPERLINK("https://diaocthongthai.com/xa-an-ninh-dong-duc-hoa/","Xã An Ninh Đông")</f>
        <v>Xã An Ninh Đông</v>
      </c>
    </row>
    <row r="9092" spans="1:7" x14ac:dyDescent="0.25">
      <c r="A9092" s="2">
        <v>9091</v>
      </c>
      <c r="B9092" s="3" t="s">
        <v>53</v>
      </c>
      <c r="C9092" s="4" t="str">
        <f t="shared" si="802"/>
        <v>Long An</v>
      </c>
      <c r="D9092" s="3" t="s">
        <v>640</v>
      </c>
      <c r="E9092" s="4" t="str">
        <f t="shared" si="805"/>
        <v>Huyện Đức Hòa</v>
      </c>
      <c r="F9092" s="3" t="s">
        <v>9851</v>
      </c>
      <c r="G9092" s="4" t="str">
        <f>HYPERLINK("https://diaocthongthai.com/xa-an-ninh-tay-duc-hoa/","Xã An Ninh Tây")</f>
        <v>Xã An Ninh Tây</v>
      </c>
    </row>
    <row r="9093" spans="1:7" x14ac:dyDescent="0.25">
      <c r="A9093" s="2">
        <v>9092</v>
      </c>
      <c r="B9093" s="3" t="s">
        <v>53</v>
      </c>
      <c r="C9093" s="4" t="str">
        <f t="shared" si="802"/>
        <v>Long An</v>
      </c>
      <c r="D9093" s="3" t="s">
        <v>640</v>
      </c>
      <c r="E9093" s="4" t="str">
        <f t="shared" si="805"/>
        <v>Huyện Đức Hòa</v>
      </c>
      <c r="F9093" s="3" t="s">
        <v>9852</v>
      </c>
      <c r="G9093" s="4" t="str">
        <f>HYPERLINK("https://diaocthongthai.com/xa-tan-my-duc-hoa/","Xã Tân Mỹ")</f>
        <v>Xã Tân Mỹ</v>
      </c>
    </row>
    <row r="9094" spans="1:7" x14ac:dyDescent="0.25">
      <c r="A9094" s="2">
        <v>9093</v>
      </c>
      <c r="B9094" s="3" t="s">
        <v>53</v>
      </c>
      <c r="C9094" s="4" t="str">
        <f t="shared" si="802"/>
        <v>Long An</v>
      </c>
      <c r="D9094" s="3" t="s">
        <v>640</v>
      </c>
      <c r="E9094" s="4" t="str">
        <f t="shared" si="805"/>
        <v>Huyện Đức Hòa</v>
      </c>
      <c r="F9094" s="3" t="s">
        <v>9853</v>
      </c>
      <c r="G9094" s="4" t="str">
        <f>HYPERLINK("https://diaocthongthai.com/xa-hiep-hoa-duc-hoa/","Xã Hiệp Hòa")</f>
        <v>Xã Hiệp Hòa</v>
      </c>
    </row>
    <row r="9095" spans="1:7" x14ac:dyDescent="0.25">
      <c r="A9095" s="2">
        <v>9094</v>
      </c>
      <c r="B9095" s="3" t="s">
        <v>53</v>
      </c>
      <c r="C9095" s="4" t="str">
        <f t="shared" si="802"/>
        <v>Long An</v>
      </c>
      <c r="D9095" s="3" t="s">
        <v>640</v>
      </c>
      <c r="E9095" s="4" t="str">
        <f t="shared" si="805"/>
        <v>Huyện Đức Hòa</v>
      </c>
      <c r="F9095" s="3" t="s">
        <v>9854</v>
      </c>
      <c r="G9095" s="4" t="str">
        <f>HYPERLINK("https://diaocthongthai.com/xa-duc-lap-thuong-duc-hoa/","Xã Đức Lập Thượng")</f>
        <v>Xã Đức Lập Thượng</v>
      </c>
    </row>
    <row r="9096" spans="1:7" x14ac:dyDescent="0.25">
      <c r="A9096" s="2">
        <v>9095</v>
      </c>
      <c r="B9096" s="3" t="s">
        <v>53</v>
      </c>
      <c r="C9096" s="4" t="str">
        <f t="shared" si="802"/>
        <v>Long An</v>
      </c>
      <c r="D9096" s="3" t="s">
        <v>640</v>
      </c>
      <c r="E9096" s="4" t="str">
        <f t="shared" si="805"/>
        <v>Huyện Đức Hòa</v>
      </c>
      <c r="F9096" s="3" t="s">
        <v>9855</v>
      </c>
      <c r="G9096" s="4" t="str">
        <f>HYPERLINK("https://diaocthongthai.com/xa-duc-lap-ha-duc-hoa/","Xã Đức Lập Hạ")</f>
        <v>Xã Đức Lập Hạ</v>
      </c>
    </row>
    <row r="9097" spans="1:7" x14ac:dyDescent="0.25">
      <c r="A9097" s="2">
        <v>9096</v>
      </c>
      <c r="B9097" s="3" t="s">
        <v>53</v>
      </c>
      <c r="C9097" s="4" t="str">
        <f t="shared" ref="C9097:C9128" si="806">HYPERLINK("https://diaocthongthai.com/ban-do-long-an/","Long An")</f>
        <v>Long An</v>
      </c>
      <c r="D9097" s="3" t="s">
        <v>640</v>
      </c>
      <c r="E9097" s="4" t="str">
        <f t="shared" si="805"/>
        <v>Huyện Đức Hòa</v>
      </c>
      <c r="F9097" s="3" t="s">
        <v>9856</v>
      </c>
      <c r="G9097" s="4" t="str">
        <f>HYPERLINK("https://diaocthongthai.com/xa-tan-phu-duc-hoa/","Xã Tân Phú")</f>
        <v>Xã Tân Phú</v>
      </c>
    </row>
    <row r="9098" spans="1:7" x14ac:dyDescent="0.25">
      <c r="A9098" s="2">
        <v>9097</v>
      </c>
      <c r="B9098" s="3" t="s">
        <v>53</v>
      </c>
      <c r="C9098" s="4" t="str">
        <f t="shared" si="806"/>
        <v>Long An</v>
      </c>
      <c r="D9098" s="3" t="s">
        <v>640</v>
      </c>
      <c r="E9098" s="4" t="str">
        <f t="shared" si="805"/>
        <v>Huyện Đức Hòa</v>
      </c>
      <c r="F9098" s="3" t="s">
        <v>9857</v>
      </c>
      <c r="G9098" s="4" t="str">
        <f>HYPERLINK("https://diaocthongthai.com/xa-my-hanh-bac-duc-hoa/","Xã Mỹ Hạnh Bắc")</f>
        <v>Xã Mỹ Hạnh Bắc</v>
      </c>
    </row>
    <row r="9099" spans="1:7" x14ac:dyDescent="0.25">
      <c r="A9099" s="2">
        <v>9098</v>
      </c>
      <c r="B9099" s="3" t="s">
        <v>53</v>
      </c>
      <c r="C9099" s="4" t="str">
        <f t="shared" si="806"/>
        <v>Long An</v>
      </c>
      <c r="D9099" s="3" t="s">
        <v>640</v>
      </c>
      <c r="E9099" s="4" t="str">
        <f t="shared" si="805"/>
        <v>Huyện Đức Hòa</v>
      </c>
      <c r="F9099" s="3" t="s">
        <v>9858</v>
      </c>
      <c r="G9099" s="4" t="str">
        <f>HYPERLINK("https://diaocthongthai.com/xa-duc-hoa-thuong-duc-hoa/","Xã Đức Hòa Thượng")</f>
        <v>Xã Đức Hòa Thượng</v>
      </c>
    </row>
    <row r="9100" spans="1:7" x14ac:dyDescent="0.25">
      <c r="A9100" s="2">
        <v>9099</v>
      </c>
      <c r="B9100" s="3" t="s">
        <v>53</v>
      </c>
      <c r="C9100" s="4" t="str">
        <f t="shared" si="806"/>
        <v>Long An</v>
      </c>
      <c r="D9100" s="3" t="s">
        <v>640</v>
      </c>
      <c r="E9100" s="4" t="str">
        <f t="shared" si="805"/>
        <v>Huyện Đức Hòa</v>
      </c>
      <c r="F9100" s="3" t="s">
        <v>9859</v>
      </c>
      <c r="G9100" s="4" t="str">
        <f>HYPERLINK("https://diaocthongthai.com/xa-hoa-khanh-tay-duc-hoa/","Xã Hòa Khánh Tây")</f>
        <v>Xã Hòa Khánh Tây</v>
      </c>
    </row>
    <row r="9101" spans="1:7" x14ac:dyDescent="0.25">
      <c r="A9101" s="2">
        <v>9100</v>
      </c>
      <c r="B9101" s="3" t="s">
        <v>53</v>
      </c>
      <c r="C9101" s="4" t="str">
        <f t="shared" si="806"/>
        <v>Long An</v>
      </c>
      <c r="D9101" s="3" t="s">
        <v>640</v>
      </c>
      <c r="E9101" s="4" t="str">
        <f t="shared" si="805"/>
        <v>Huyện Đức Hòa</v>
      </c>
      <c r="F9101" s="3" t="s">
        <v>9860</v>
      </c>
      <c r="G9101" s="4" t="str">
        <f>HYPERLINK("https://diaocthongthai.com/xa-hoa-khanh-dong-duc-hoa/","Xã Hòa Khánh Đông")</f>
        <v>Xã Hòa Khánh Đông</v>
      </c>
    </row>
    <row r="9102" spans="1:7" x14ac:dyDescent="0.25">
      <c r="A9102" s="2">
        <v>9101</v>
      </c>
      <c r="B9102" s="3" t="s">
        <v>53</v>
      </c>
      <c r="C9102" s="4" t="str">
        <f t="shared" si="806"/>
        <v>Long An</v>
      </c>
      <c r="D9102" s="3" t="s">
        <v>640</v>
      </c>
      <c r="E9102" s="4" t="str">
        <f t="shared" si="805"/>
        <v>Huyện Đức Hòa</v>
      </c>
      <c r="F9102" s="3" t="s">
        <v>9861</v>
      </c>
      <c r="G9102" s="4" t="str">
        <f>HYPERLINK("https://diaocthongthai.com/xa-my-hanh-nam-duc-hoa/","Xã Mỹ Hạnh Nam")</f>
        <v>Xã Mỹ Hạnh Nam</v>
      </c>
    </row>
    <row r="9103" spans="1:7" x14ac:dyDescent="0.25">
      <c r="A9103" s="2">
        <v>9102</v>
      </c>
      <c r="B9103" s="3" t="s">
        <v>53</v>
      </c>
      <c r="C9103" s="4" t="str">
        <f t="shared" si="806"/>
        <v>Long An</v>
      </c>
      <c r="D9103" s="3" t="s">
        <v>640</v>
      </c>
      <c r="E9103" s="4" t="str">
        <f t="shared" si="805"/>
        <v>Huyện Đức Hòa</v>
      </c>
      <c r="F9103" s="3" t="s">
        <v>9862</v>
      </c>
      <c r="G9103" s="4" t="str">
        <f>HYPERLINK("https://diaocthongthai.com/xa-hoa-khanh-nam-duc-hoa/","Xã Hòa Khánh Nam")</f>
        <v>Xã Hòa Khánh Nam</v>
      </c>
    </row>
    <row r="9104" spans="1:7" x14ac:dyDescent="0.25">
      <c r="A9104" s="2">
        <v>9103</v>
      </c>
      <c r="B9104" s="3" t="s">
        <v>53</v>
      </c>
      <c r="C9104" s="4" t="str">
        <f t="shared" si="806"/>
        <v>Long An</v>
      </c>
      <c r="D9104" s="3" t="s">
        <v>640</v>
      </c>
      <c r="E9104" s="4" t="str">
        <f t="shared" si="805"/>
        <v>Huyện Đức Hòa</v>
      </c>
      <c r="F9104" s="3" t="s">
        <v>9863</v>
      </c>
      <c r="G9104" s="4" t="str">
        <f>HYPERLINK("https://diaocthongthai.com/xa-duc-hoa-dong-duc-hoa/","Xã Đức Hòa Đông")</f>
        <v>Xã Đức Hòa Đông</v>
      </c>
    </row>
    <row r="9105" spans="1:7" x14ac:dyDescent="0.25">
      <c r="A9105" s="2">
        <v>9104</v>
      </c>
      <c r="B9105" s="3" t="s">
        <v>53</v>
      </c>
      <c r="C9105" s="4" t="str">
        <f t="shared" si="806"/>
        <v>Long An</v>
      </c>
      <c r="D9105" s="3" t="s">
        <v>640</v>
      </c>
      <c r="E9105" s="4" t="str">
        <f t="shared" si="805"/>
        <v>Huyện Đức Hòa</v>
      </c>
      <c r="F9105" s="3" t="s">
        <v>9864</v>
      </c>
      <c r="G9105" s="4" t="str">
        <f>HYPERLINK("https://diaocthongthai.com/xa-duc-hoa-ha-duc-hoa/","Xã Đức Hòa Hạ")</f>
        <v>Xã Đức Hòa Hạ</v>
      </c>
    </row>
    <row r="9106" spans="1:7" x14ac:dyDescent="0.25">
      <c r="A9106" s="2">
        <v>9105</v>
      </c>
      <c r="B9106" s="3" t="s">
        <v>53</v>
      </c>
      <c r="C9106" s="4" t="str">
        <f t="shared" si="806"/>
        <v>Long An</v>
      </c>
      <c r="D9106" s="3" t="s">
        <v>640</v>
      </c>
      <c r="E9106" s="4" t="str">
        <f t="shared" si="805"/>
        <v>Huyện Đức Hòa</v>
      </c>
      <c r="F9106" s="3" t="s">
        <v>9865</v>
      </c>
      <c r="G9106" s="4" t="str">
        <f>HYPERLINK("https://diaocthongthai.com/xa-huu-thanh-duc-hoa/","Xã Hựu Thạnh")</f>
        <v>Xã Hựu Thạnh</v>
      </c>
    </row>
    <row r="9107" spans="1:7" x14ac:dyDescent="0.25">
      <c r="A9107" s="2">
        <v>9106</v>
      </c>
      <c r="B9107" s="3" t="s">
        <v>53</v>
      </c>
      <c r="C9107" s="4" t="str">
        <f t="shared" si="806"/>
        <v>Long An</v>
      </c>
      <c r="D9107" s="3" t="s">
        <v>641</v>
      </c>
      <c r="E9107" s="4" t="str">
        <f t="shared" ref="E9107:E9121" si="807">HYPERLINK("https://diaocthongthai.com/ban-do-huyen-ben-luc-long-an/","Huyện Bến Lức")</f>
        <v>Huyện Bến Lức</v>
      </c>
      <c r="F9107" s="3" t="s">
        <v>9866</v>
      </c>
      <c r="G9107" s="4" t="str">
        <f>HYPERLINK("https://diaocthongthai.com/thi-tran-ben-luc-ben-luc/","Thị trấn Bến Lức")</f>
        <v>Thị trấn Bến Lức</v>
      </c>
    </row>
    <row r="9108" spans="1:7" x14ac:dyDescent="0.25">
      <c r="A9108" s="2">
        <v>9107</v>
      </c>
      <c r="B9108" s="3" t="s">
        <v>53</v>
      </c>
      <c r="C9108" s="4" t="str">
        <f t="shared" si="806"/>
        <v>Long An</v>
      </c>
      <c r="D9108" s="3" t="s">
        <v>641</v>
      </c>
      <c r="E9108" s="4" t="str">
        <f t="shared" si="807"/>
        <v>Huyện Bến Lức</v>
      </c>
      <c r="F9108" s="3" t="s">
        <v>9867</v>
      </c>
      <c r="G9108" s="4" t="str">
        <f>HYPERLINK("https://diaocthongthai.com/xa-thanh-loi-ben-luc/","Xã Thạnh Lợi")</f>
        <v>Xã Thạnh Lợi</v>
      </c>
    </row>
    <row r="9109" spans="1:7" x14ac:dyDescent="0.25">
      <c r="A9109" s="2">
        <v>9108</v>
      </c>
      <c r="B9109" s="3" t="s">
        <v>53</v>
      </c>
      <c r="C9109" s="4" t="str">
        <f t="shared" si="806"/>
        <v>Long An</v>
      </c>
      <c r="D9109" s="3" t="s">
        <v>641</v>
      </c>
      <c r="E9109" s="4" t="str">
        <f t="shared" si="807"/>
        <v>Huyện Bến Lức</v>
      </c>
      <c r="F9109" s="3" t="s">
        <v>9868</v>
      </c>
      <c r="G9109" s="4" t="str">
        <f>HYPERLINK("https://diaocthongthai.com/xa-luong-binh-ben-luc/","Xã Lương Bình")</f>
        <v>Xã Lương Bình</v>
      </c>
    </row>
    <row r="9110" spans="1:7" x14ac:dyDescent="0.25">
      <c r="A9110" s="2">
        <v>9109</v>
      </c>
      <c r="B9110" s="3" t="s">
        <v>53</v>
      </c>
      <c r="C9110" s="4" t="str">
        <f t="shared" si="806"/>
        <v>Long An</v>
      </c>
      <c r="D9110" s="3" t="s">
        <v>641</v>
      </c>
      <c r="E9110" s="4" t="str">
        <f t="shared" si="807"/>
        <v>Huyện Bến Lức</v>
      </c>
      <c r="F9110" s="3" t="s">
        <v>9869</v>
      </c>
      <c r="G9110" s="4" t="str">
        <f>HYPERLINK("https://diaocthongthai.com/xa-thanh-hoa-ben-luc/","Xã Thạnh Hòa")</f>
        <v>Xã Thạnh Hòa</v>
      </c>
    </row>
    <row r="9111" spans="1:7" x14ac:dyDescent="0.25">
      <c r="A9111" s="2">
        <v>9110</v>
      </c>
      <c r="B9111" s="3" t="s">
        <v>53</v>
      </c>
      <c r="C9111" s="4" t="str">
        <f t="shared" si="806"/>
        <v>Long An</v>
      </c>
      <c r="D9111" s="3" t="s">
        <v>641</v>
      </c>
      <c r="E9111" s="4" t="str">
        <f t="shared" si="807"/>
        <v>Huyện Bến Lức</v>
      </c>
      <c r="F9111" s="3" t="s">
        <v>9870</v>
      </c>
      <c r="G9111" s="4" t="str">
        <f>HYPERLINK("https://diaocthongthai.com/xa-luong-hoa-ben-luc/","Xã Lương Hòa")</f>
        <v>Xã Lương Hòa</v>
      </c>
    </row>
    <row r="9112" spans="1:7" x14ac:dyDescent="0.25">
      <c r="A9112" s="2">
        <v>9111</v>
      </c>
      <c r="B9112" s="3" t="s">
        <v>53</v>
      </c>
      <c r="C9112" s="4" t="str">
        <f t="shared" si="806"/>
        <v>Long An</v>
      </c>
      <c r="D9112" s="3" t="s">
        <v>641</v>
      </c>
      <c r="E9112" s="4" t="str">
        <f t="shared" si="807"/>
        <v>Huyện Bến Lức</v>
      </c>
      <c r="F9112" s="3" t="s">
        <v>9871</v>
      </c>
      <c r="G9112" s="4" t="str">
        <f>HYPERLINK("https://diaocthongthai.com/xa-tan-hoa-ben-luc/","Xã Tân Hòa")</f>
        <v>Xã Tân Hòa</v>
      </c>
    </row>
    <row r="9113" spans="1:7" x14ac:dyDescent="0.25">
      <c r="A9113" s="2">
        <v>9112</v>
      </c>
      <c r="B9113" s="3" t="s">
        <v>53</v>
      </c>
      <c r="C9113" s="4" t="str">
        <f t="shared" si="806"/>
        <v>Long An</v>
      </c>
      <c r="D9113" s="3" t="s">
        <v>641</v>
      </c>
      <c r="E9113" s="4" t="str">
        <f t="shared" si="807"/>
        <v>Huyện Bến Lức</v>
      </c>
      <c r="F9113" s="3" t="s">
        <v>9872</v>
      </c>
      <c r="G9113" s="4" t="str">
        <f>HYPERLINK("https://diaocthongthai.com/xa-tan-buu-ben-luc/","Xã Tân Bửu")</f>
        <v>Xã Tân Bửu</v>
      </c>
    </row>
    <row r="9114" spans="1:7" x14ac:dyDescent="0.25">
      <c r="A9114" s="2">
        <v>9113</v>
      </c>
      <c r="B9114" s="3" t="s">
        <v>53</v>
      </c>
      <c r="C9114" s="4" t="str">
        <f t="shared" si="806"/>
        <v>Long An</v>
      </c>
      <c r="D9114" s="3" t="s">
        <v>641</v>
      </c>
      <c r="E9114" s="4" t="str">
        <f t="shared" si="807"/>
        <v>Huyện Bến Lức</v>
      </c>
      <c r="F9114" s="3" t="s">
        <v>9873</v>
      </c>
      <c r="G9114" s="4" t="str">
        <f>HYPERLINK("https://diaocthongthai.com/xa-an-thanh-ben-luc/","Xã An Thạnh")</f>
        <v>Xã An Thạnh</v>
      </c>
    </row>
    <row r="9115" spans="1:7" x14ac:dyDescent="0.25">
      <c r="A9115" s="2">
        <v>9114</v>
      </c>
      <c r="B9115" s="3" t="s">
        <v>53</v>
      </c>
      <c r="C9115" s="4" t="str">
        <f t="shared" si="806"/>
        <v>Long An</v>
      </c>
      <c r="D9115" s="3" t="s">
        <v>641</v>
      </c>
      <c r="E9115" s="4" t="str">
        <f t="shared" si="807"/>
        <v>Huyện Bến Lức</v>
      </c>
      <c r="F9115" s="3" t="s">
        <v>9874</v>
      </c>
      <c r="G9115" s="4" t="str">
        <f>HYPERLINK("https://diaocthongthai.com/xa-binh-duc-ben-luc/","Xã Bình Đức")</f>
        <v>Xã Bình Đức</v>
      </c>
    </row>
    <row r="9116" spans="1:7" x14ac:dyDescent="0.25">
      <c r="A9116" s="2">
        <v>9115</v>
      </c>
      <c r="B9116" s="3" t="s">
        <v>53</v>
      </c>
      <c r="C9116" s="4" t="str">
        <f t="shared" si="806"/>
        <v>Long An</v>
      </c>
      <c r="D9116" s="3" t="s">
        <v>641</v>
      </c>
      <c r="E9116" s="4" t="str">
        <f t="shared" si="807"/>
        <v>Huyện Bến Lức</v>
      </c>
      <c r="F9116" s="3" t="s">
        <v>9875</v>
      </c>
      <c r="G9116" s="4" t="str">
        <f>HYPERLINK("https://diaocthongthai.com/xa-my-yen-ben-luc/","Xã Mỹ Yên")</f>
        <v>Xã Mỹ Yên</v>
      </c>
    </row>
    <row r="9117" spans="1:7" x14ac:dyDescent="0.25">
      <c r="A9117" s="2">
        <v>9116</v>
      </c>
      <c r="B9117" s="3" t="s">
        <v>53</v>
      </c>
      <c r="C9117" s="4" t="str">
        <f t="shared" si="806"/>
        <v>Long An</v>
      </c>
      <c r="D9117" s="3" t="s">
        <v>641</v>
      </c>
      <c r="E9117" s="4" t="str">
        <f t="shared" si="807"/>
        <v>Huyện Bến Lức</v>
      </c>
      <c r="F9117" s="3" t="s">
        <v>9876</v>
      </c>
      <c r="G9117" s="4" t="str">
        <f>HYPERLINK("https://diaocthongthai.com/xa-thanh-phu-ben-luc/","Xã Thanh Phú")</f>
        <v>Xã Thanh Phú</v>
      </c>
    </row>
    <row r="9118" spans="1:7" x14ac:dyDescent="0.25">
      <c r="A9118" s="2">
        <v>9117</v>
      </c>
      <c r="B9118" s="3" t="s">
        <v>53</v>
      </c>
      <c r="C9118" s="4" t="str">
        <f t="shared" si="806"/>
        <v>Long An</v>
      </c>
      <c r="D9118" s="3" t="s">
        <v>641</v>
      </c>
      <c r="E9118" s="4" t="str">
        <f t="shared" si="807"/>
        <v>Huyện Bến Lức</v>
      </c>
      <c r="F9118" s="3" t="s">
        <v>9877</v>
      </c>
      <c r="G9118" s="4" t="str">
        <f>HYPERLINK("https://diaocthongthai.com/xa-long-hiep-ben-luc/","Xã Long Hiệp")</f>
        <v>Xã Long Hiệp</v>
      </c>
    </row>
    <row r="9119" spans="1:7" x14ac:dyDescent="0.25">
      <c r="A9119" s="2">
        <v>9118</v>
      </c>
      <c r="B9119" s="3" t="s">
        <v>53</v>
      </c>
      <c r="C9119" s="4" t="str">
        <f t="shared" si="806"/>
        <v>Long An</v>
      </c>
      <c r="D9119" s="3" t="s">
        <v>641</v>
      </c>
      <c r="E9119" s="4" t="str">
        <f t="shared" si="807"/>
        <v>Huyện Bến Lức</v>
      </c>
      <c r="F9119" s="3" t="s">
        <v>9878</v>
      </c>
      <c r="G9119" s="4" t="str">
        <f>HYPERLINK("https://diaocthongthai.com/xa-thanh-duc-ben-luc/","Xã Thạnh Đức")</f>
        <v>Xã Thạnh Đức</v>
      </c>
    </row>
    <row r="9120" spans="1:7" x14ac:dyDescent="0.25">
      <c r="A9120" s="2">
        <v>9119</v>
      </c>
      <c r="B9120" s="3" t="s">
        <v>53</v>
      </c>
      <c r="C9120" s="4" t="str">
        <f t="shared" si="806"/>
        <v>Long An</v>
      </c>
      <c r="D9120" s="3" t="s">
        <v>641</v>
      </c>
      <c r="E9120" s="4" t="str">
        <f t="shared" si="807"/>
        <v>Huyện Bến Lức</v>
      </c>
      <c r="F9120" s="3" t="s">
        <v>9879</v>
      </c>
      <c r="G9120" s="4" t="str">
        <f>HYPERLINK("https://diaocthongthai.com/xa-phuoc-loi-ben-luc/","Xã Phước Lợi")</f>
        <v>Xã Phước Lợi</v>
      </c>
    </row>
    <row r="9121" spans="1:7" x14ac:dyDescent="0.25">
      <c r="A9121" s="2">
        <v>9120</v>
      </c>
      <c r="B9121" s="3" t="s">
        <v>53</v>
      </c>
      <c r="C9121" s="4" t="str">
        <f t="shared" si="806"/>
        <v>Long An</v>
      </c>
      <c r="D9121" s="3" t="s">
        <v>641</v>
      </c>
      <c r="E9121" s="4" t="str">
        <f t="shared" si="807"/>
        <v>Huyện Bến Lức</v>
      </c>
      <c r="F9121" s="3" t="s">
        <v>9880</v>
      </c>
      <c r="G9121" s="4" t="str">
        <f>HYPERLINK("https://diaocthongthai.com/xa-nhut-chanh-ben-luc/","Xã Nhựt Chánh")</f>
        <v>Xã Nhựt Chánh</v>
      </c>
    </row>
    <row r="9122" spans="1:7" x14ac:dyDescent="0.25">
      <c r="A9122" s="2">
        <v>9121</v>
      </c>
      <c r="B9122" s="3" t="s">
        <v>53</v>
      </c>
      <c r="C9122" s="4" t="str">
        <f t="shared" si="806"/>
        <v>Long An</v>
      </c>
      <c r="D9122" s="3" t="s">
        <v>642</v>
      </c>
      <c r="E9122" s="4" t="str">
        <f t="shared" ref="E9122:E9133" si="808">HYPERLINK("https://diaocthongthai.com/ban-do-huyen-thu-thua-long-an/","Huyện Thủ Thừa")</f>
        <v>Huyện Thủ Thừa</v>
      </c>
      <c r="F9122" s="3" t="s">
        <v>9881</v>
      </c>
      <c r="G9122" s="4" t="str">
        <f>HYPERLINK("https://diaocthongthai.com/thi-tran-thu-thua-thu-thua/","Thị trấn Thủ Thừa")</f>
        <v>Thị trấn Thủ Thừa</v>
      </c>
    </row>
    <row r="9123" spans="1:7" x14ac:dyDescent="0.25">
      <c r="A9123" s="2">
        <v>9122</v>
      </c>
      <c r="B9123" s="3" t="s">
        <v>53</v>
      </c>
      <c r="C9123" s="4" t="str">
        <f t="shared" si="806"/>
        <v>Long An</v>
      </c>
      <c r="D9123" s="3" t="s">
        <v>642</v>
      </c>
      <c r="E9123" s="4" t="str">
        <f t="shared" si="808"/>
        <v>Huyện Thủ Thừa</v>
      </c>
      <c r="F9123" s="3" t="s">
        <v>9882</v>
      </c>
      <c r="G9123" s="4" t="str">
        <f>HYPERLINK("https://diaocthongthai.com/xa-long-thanh-1-thu-thua/","Xã Long Thạnh")</f>
        <v>Xã Long Thạnh</v>
      </c>
    </row>
    <row r="9124" spans="1:7" x14ac:dyDescent="0.25">
      <c r="A9124" s="2">
        <v>9123</v>
      </c>
      <c r="B9124" s="3" t="s">
        <v>53</v>
      </c>
      <c r="C9124" s="4" t="str">
        <f t="shared" si="806"/>
        <v>Long An</v>
      </c>
      <c r="D9124" s="3" t="s">
        <v>642</v>
      </c>
      <c r="E9124" s="4" t="str">
        <f t="shared" si="808"/>
        <v>Huyện Thủ Thừa</v>
      </c>
      <c r="F9124" s="3" t="s">
        <v>9883</v>
      </c>
      <c r="G9124" s="4" t="str">
        <f>HYPERLINK("https://diaocthongthai.com/xa-tan-thanh-thu-thua/","Xã Tân Thành")</f>
        <v>Xã Tân Thành</v>
      </c>
    </row>
    <row r="9125" spans="1:7" x14ac:dyDescent="0.25">
      <c r="A9125" s="2">
        <v>9124</v>
      </c>
      <c r="B9125" s="3" t="s">
        <v>53</v>
      </c>
      <c r="C9125" s="4" t="str">
        <f t="shared" si="806"/>
        <v>Long An</v>
      </c>
      <c r="D9125" s="3" t="s">
        <v>642</v>
      </c>
      <c r="E9125" s="4" t="str">
        <f t="shared" si="808"/>
        <v>Huyện Thủ Thừa</v>
      </c>
      <c r="F9125" s="3" t="s">
        <v>9884</v>
      </c>
      <c r="G9125" s="4" t="str">
        <f>HYPERLINK("https://diaocthongthai.com/xa-long-thuan-thu-thua/","Xã Long Thuận")</f>
        <v>Xã Long Thuận</v>
      </c>
    </row>
    <row r="9126" spans="1:7" x14ac:dyDescent="0.25">
      <c r="A9126" s="2">
        <v>9125</v>
      </c>
      <c r="B9126" s="3" t="s">
        <v>53</v>
      </c>
      <c r="C9126" s="4" t="str">
        <f t="shared" si="806"/>
        <v>Long An</v>
      </c>
      <c r="D9126" s="3" t="s">
        <v>642</v>
      </c>
      <c r="E9126" s="4" t="str">
        <f t="shared" si="808"/>
        <v>Huyện Thủ Thừa</v>
      </c>
      <c r="F9126" s="3" t="s">
        <v>9885</v>
      </c>
      <c r="G9126" s="4" t="str">
        <f>HYPERLINK("https://diaocthongthai.com/xa-my-lac-thu-thua/","Xã Mỹ Lạc")</f>
        <v>Xã Mỹ Lạc</v>
      </c>
    </row>
    <row r="9127" spans="1:7" x14ac:dyDescent="0.25">
      <c r="A9127" s="2">
        <v>9126</v>
      </c>
      <c r="B9127" s="3" t="s">
        <v>53</v>
      </c>
      <c r="C9127" s="4" t="str">
        <f t="shared" si="806"/>
        <v>Long An</v>
      </c>
      <c r="D9127" s="3" t="s">
        <v>642</v>
      </c>
      <c r="E9127" s="4" t="str">
        <f t="shared" si="808"/>
        <v>Huyện Thủ Thừa</v>
      </c>
      <c r="F9127" s="3" t="s">
        <v>9886</v>
      </c>
      <c r="G9127" s="4" t="str">
        <f>HYPERLINK("https://diaocthongthai.com/xa-my-thanh-thu-thua/","Xã Mỹ Thạnh")</f>
        <v>Xã Mỹ Thạnh</v>
      </c>
    </row>
    <row r="9128" spans="1:7" x14ac:dyDescent="0.25">
      <c r="A9128" s="2">
        <v>9127</v>
      </c>
      <c r="B9128" s="3" t="s">
        <v>53</v>
      </c>
      <c r="C9128" s="4" t="str">
        <f t="shared" si="806"/>
        <v>Long An</v>
      </c>
      <c r="D9128" s="3" t="s">
        <v>642</v>
      </c>
      <c r="E9128" s="4" t="str">
        <f t="shared" si="808"/>
        <v>Huyện Thủ Thừa</v>
      </c>
      <c r="F9128" s="3" t="s">
        <v>9887</v>
      </c>
      <c r="G9128" s="4" t="str">
        <f>HYPERLINK("https://diaocthongthai.com/xa-binh-an-thu-thua/","Xã Bình An")</f>
        <v>Xã Bình An</v>
      </c>
    </row>
    <row r="9129" spans="1:7" x14ac:dyDescent="0.25">
      <c r="A9129" s="2">
        <v>9128</v>
      </c>
      <c r="B9129" s="3" t="s">
        <v>53</v>
      </c>
      <c r="C9129" s="4" t="str">
        <f t="shared" ref="C9129:C9160" si="809">HYPERLINK("https://diaocthongthai.com/ban-do-long-an/","Long An")</f>
        <v>Long An</v>
      </c>
      <c r="D9129" s="3" t="s">
        <v>642</v>
      </c>
      <c r="E9129" s="4" t="str">
        <f t="shared" si="808"/>
        <v>Huyện Thủ Thừa</v>
      </c>
      <c r="F9129" s="3" t="s">
        <v>9888</v>
      </c>
      <c r="G9129" s="4" t="str">
        <f>HYPERLINK("https://diaocthongthai.com/xa-nhi-thanh-thu-thua/","Xã Nhị Thành")</f>
        <v>Xã Nhị Thành</v>
      </c>
    </row>
    <row r="9130" spans="1:7" x14ac:dyDescent="0.25">
      <c r="A9130" s="2">
        <v>9129</v>
      </c>
      <c r="B9130" s="3" t="s">
        <v>53</v>
      </c>
      <c r="C9130" s="4" t="str">
        <f t="shared" si="809"/>
        <v>Long An</v>
      </c>
      <c r="D9130" s="3" t="s">
        <v>642</v>
      </c>
      <c r="E9130" s="4" t="str">
        <f t="shared" si="808"/>
        <v>Huyện Thủ Thừa</v>
      </c>
      <c r="F9130" s="3" t="s">
        <v>9889</v>
      </c>
      <c r="G9130" s="4" t="str">
        <f>HYPERLINK("https://diaocthongthai.com/xa-my-an-thu-thua/","Xã Mỹ An")</f>
        <v>Xã Mỹ An</v>
      </c>
    </row>
    <row r="9131" spans="1:7" x14ac:dyDescent="0.25">
      <c r="A9131" s="2">
        <v>9130</v>
      </c>
      <c r="B9131" s="3" t="s">
        <v>53</v>
      </c>
      <c r="C9131" s="4" t="str">
        <f t="shared" si="809"/>
        <v>Long An</v>
      </c>
      <c r="D9131" s="3" t="s">
        <v>642</v>
      </c>
      <c r="E9131" s="4" t="str">
        <f t="shared" si="808"/>
        <v>Huyện Thủ Thừa</v>
      </c>
      <c r="F9131" s="3" t="s">
        <v>9890</v>
      </c>
      <c r="G9131" s="4" t="str">
        <f>HYPERLINK("https://diaocthongthai.com/xa-binh-thanh-thu-thua/","Xã Bình Thạnh")</f>
        <v>Xã Bình Thạnh</v>
      </c>
    </row>
    <row r="9132" spans="1:7" x14ac:dyDescent="0.25">
      <c r="A9132" s="2">
        <v>9131</v>
      </c>
      <c r="B9132" s="3" t="s">
        <v>53</v>
      </c>
      <c r="C9132" s="4" t="str">
        <f t="shared" si="809"/>
        <v>Long An</v>
      </c>
      <c r="D9132" s="3" t="s">
        <v>642</v>
      </c>
      <c r="E9132" s="4" t="str">
        <f t="shared" si="808"/>
        <v>Huyện Thủ Thừa</v>
      </c>
      <c r="F9132" s="3" t="s">
        <v>9891</v>
      </c>
      <c r="G9132" s="4" t="str">
        <f>HYPERLINK("https://diaocthongthai.com/xa-my-phu-thu-thua/","Xã Mỹ Phú")</f>
        <v>Xã Mỹ Phú</v>
      </c>
    </row>
    <row r="9133" spans="1:7" x14ac:dyDescent="0.25">
      <c r="A9133" s="2">
        <v>9132</v>
      </c>
      <c r="B9133" s="3" t="s">
        <v>53</v>
      </c>
      <c r="C9133" s="4" t="str">
        <f t="shared" si="809"/>
        <v>Long An</v>
      </c>
      <c r="D9133" s="3" t="s">
        <v>642</v>
      </c>
      <c r="E9133" s="4" t="str">
        <f t="shared" si="808"/>
        <v>Huyện Thủ Thừa</v>
      </c>
      <c r="F9133" s="3" t="s">
        <v>9892</v>
      </c>
      <c r="G9133" s="4" t="str">
        <f>HYPERLINK("https://diaocthongthai.com/xa-tan-long-thu-thua/","Xã Tân Long")</f>
        <v>Xã Tân Long</v>
      </c>
    </row>
    <row r="9134" spans="1:7" x14ac:dyDescent="0.25">
      <c r="A9134" s="2">
        <v>9133</v>
      </c>
      <c r="B9134" s="3" t="s">
        <v>53</v>
      </c>
      <c r="C9134" s="4" t="str">
        <f t="shared" si="809"/>
        <v>Long An</v>
      </c>
      <c r="D9134" s="3" t="s">
        <v>643</v>
      </c>
      <c r="E9134" s="4" t="str">
        <f t="shared" ref="E9134:E9143" si="810">HYPERLINK("https://diaocthongthai.com/ban-do-huyen-tan-tru-long-an/","Huyện Tân Trụ")</f>
        <v>Huyện Tân Trụ</v>
      </c>
      <c r="F9134" s="3" t="s">
        <v>9893</v>
      </c>
      <c r="G9134" s="4" t="str">
        <f>HYPERLINK("https://diaocthongthai.com/thi-tran-tan-tru-tan-tru/","Thị trấn Tân Trụ")</f>
        <v>Thị trấn Tân Trụ</v>
      </c>
    </row>
    <row r="9135" spans="1:7" x14ac:dyDescent="0.25">
      <c r="A9135" s="2">
        <v>9134</v>
      </c>
      <c r="B9135" s="3" t="s">
        <v>53</v>
      </c>
      <c r="C9135" s="4" t="str">
        <f t="shared" si="809"/>
        <v>Long An</v>
      </c>
      <c r="D9135" s="3" t="s">
        <v>643</v>
      </c>
      <c r="E9135" s="4" t="str">
        <f t="shared" si="810"/>
        <v>Huyện Tân Trụ</v>
      </c>
      <c r="F9135" s="3" t="s">
        <v>9894</v>
      </c>
      <c r="G9135" s="4" t="str">
        <f>HYPERLINK("https://diaocthongthai.com/xa-tan-binh-tan-tru/","Xã Tân Bình")</f>
        <v>Xã Tân Bình</v>
      </c>
    </row>
    <row r="9136" spans="1:7" x14ac:dyDescent="0.25">
      <c r="A9136" s="2">
        <v>9135</v>
      </c>
      <c r="B9136" s="3" t="s">
        <v>53</v>
      </c>
      <c r="C9136" s="4" t="str">
        <f t="shared" si="809"/>
        <v>Long An</v>
      </c>
      <c r="D9136" s="3" t="s">
        <v>643</v>
      </c>
      <c r="E9136" s="4" t="str">
        <f t="shared" si="810"/>
        <v>Huyện Tân Trụ</v>
      </c>
      <c r="F9136" s="3" t="s">
        <v>9895</v>
      </c>
      <c r="G9136" s="4" t="str">
        <f>HYPERLINK("https://diaocthongthai.com/xa-que-my-thanh-tan-tru/","Xã Quê Mỹ Thạnh")</f>
        <v>Xã Quê Mỹ Thạnh</v>
      </c>
    </row>
    <row r="9137" spans="1:7" x14ac:dyDescent="0.25">
      <c r="A9137" s="2">
        <v>9136</v>
      </c>
      <c r="B9137" s="3" t="s">
        <v>53</v>
      </c>
      <c r="C9137" s="4" t="str">
        <f t="shared" si="809"/>
        <v>Long An</v>
      </c>
      <c r="D9137" s="3" t="s">
        <v>643</v>
      </c>
      <c r="E9137" s="4" t="str">
        <f t="shared" si="810"/>
        <v>Huyện Tân Trụ</v>
      </c>
      <c r="F9137" s="3" t="s">
        <v>9896</v>
      </c>
      <c r="G9137" s="4" t="str">
        <f>HYPERLINK("https://diaocthongthai.com/xa-lac-tan-tan-tru/","Xã Lạc Tấn")</f>
        <v>Xã Lạc Tấn</v>
      </c>
    </row>
    <row r="9138" spans="1:7" x14ac:dyDescent="0.25">
      <c r="A9138" s="2">
        <v>9137</v>
      </c>
      <c r="B9138" s="3" t="s">
        <v>53</v>
      </c>
      <c r="C9138" s="4" t="str">
        <f t="shared" si="809"/>
        <v>Long An</v>
      </c>
      <c r="D9138" s="3" t="s">
        <v>643</v>
      </c>
      <c r="E9138" s="4" t="str">
        <f t="shared" si="810"/>
        <v>Huyện Tân Trụ</v>
      </c>
      <c r="F9138" s="3" t="s">
        <v>9897</v>
      </c>
      <c r="G9138" s="4" t="str">
        <f>HYPERLINK("https://diaocthongthai.com/xa-binh-trinh-dong-tan-tru/","Xã Bình Trinh Đông")</f>
        <v>Xã Bình Trinh Đông</v>
      </c>
    </row>
    <row r="9139" spans="1:7" x14ac:dyDescent="0.25">
      <c r="A9139" s="2">
        <v>9138</v>
      </c>
      <c r="B9139" s="3" t="s">
        <v>53</v>
      </c>
      <c r="C9139" s="4" t="str">
        <f t="shared" si="809"/>
        <v>Long An</v>
      </c>
      <c r="D9139" s="3" t="s">
        <v>643</v>
      </c>
      <c r="E9139" s="4" t="str">
        <f t="shared" si="810"/>
        <v>Huyện Tân Trụ</v>
      </c>
      <c r="F9139" s="3" t="s">
        <v>9898</v>
      </c>
      <c r="G9139" s="4" t="str">
        <f>HYPERLINK("https://diaocthongthai.com/xa-tan-phuoc-tay-tan-tru/","Xã Tân Phước Tây")</f>
        <v>Xã Tân Phước Tây</v>
      </c>
    </row>
    <row r="9140" spans="1:7" x14ac:dyDescent="0.25">
      <c r="A9140" s="2">
        <v>9139</v>
      </c>
      <c r="B9140" s="3" t="s">
        <v>53</v>
      </c>
      <c r="C9140" s="4" t="str">
        <f t="shared" si="809"/>
        <v>Long An</v>
      </c>
      <c r="D9140" s="3" t="s">
        <v>643</v>
      </c>
      <c r="E9140" s="4" t="str">
        <f t="shared" si="810"/>
        <v>Huyện Tân Trụ</v>
      </c>
      <c r="F9140" s="3" t="s">
        <v>9899</v>
      </c>
      <c r="G9140" s="4" t="str">
        <f>HYPERLINK("https://diaocthongthai.com/xa-binh-lang-tan-tru/","Xã Bình Lãng")</f>
        <v>Xã Bình Lãng</v>
      </c>
    </row>
    <row r="9141" spans="1:7" x14ac:dyDescent="0.25">
      <c r="A9141" s="2">
        <v>9140</v>
      </c>
      <c r="B9141" s="3" t="s">
        <v>53</v>
      </c>
      <c r="C9141" s="4" t="str">
        <f t="shared" si="809"/>
        <v>Long An</v>
      </c>
      <c r="D9141" s="3" t="s">
        <v>643</v>
      </c>
      <c r="E9141" s="4" t="str">
        <f t="shared" si="810"/>
        <v>Huyện Tân Trụ</v>
      </c>
      <c r="F9141" s="3" t="s">
        <v>9900</v>
      </c>
      <c r="G9141" s="4" t="str">
        <f>HYPERLINK("https://diaocthongthai.com/xa-binh-tinh-tan-tru/","Xã Bình Tịnh")</f>
        <v>Xã Bình Tịnh</v>
      </c>
    </row>
    <row r="9142" spans="1:7" x14ac:dyDescent="0.25">
      <c r="A9142" s="2">
        <v>9141</v>
      </c>
      <c r="B9142" s="3" t="s">
        <v>53</v>
      </c>
      <c r="C9142" s="4" t="str">
        <f t="shared" si="809"/>
        <v>Long An</v>
      </c>
      <c r="D9142" s="3" t="s">
        <v>643</v>
      </c>
      <c r="E9142" s="4" t="str">
        <f t="shared" si="810"/>
        <v>Huyện Tân Trụ</v>
      </c>
      <c r="F9142" s="3" t="s">
        <v>9901</v>
      </c>
      <c r="G9142" s="4" t="str">
        <f>HYPERLINK("https://diaocthongthai.com/xa-duc-tan-tan-tru/","Xã Đức Tân")</f>
        <v>Xã Đức Tân</v>
      </c>
    </row>
    <row r="9143" spans="1:7" x14ac:dyDescent="0.25">
      <c r="A9143" s="2">
        <v>9142</v>
      </c>
      <c r="B9143" s="3" t="s">
        <v>53</v>
      </c>
      <c r="C9143" s="4" t="str">
        <f t="shared" si="809"/>
        <v>Long An</v>
      </c>
      <c r="D9143" s="3" t="s">
        <v>643</v>
      </c>
      <c r="E9143" s="4" t="str">
        <f t="shared" si="810"/>
        <v>Huyện Tân Trụ</v>
      </c>
      <c r="F9143" s="3" t="s">
        <v>9902</v>
      </c>
      <c r="G9143" s="4" t="str">
        <f>HYPERLINK("https://diaocthongthai.com/xa-nhut-ninh-tan-tru/","Xã Nhựt Ninh")</f>
        <v>Xã Nhựt Ninh</v>
      </c>
    </row>
    <row r="9144" spans="1:7" x14ac:dyDescent="0.25">
      <c r="A9144" s="2">
        <v>9143</v>
      </c>
      <c r="B9144" s="3" t="s">
        <v>53</v>
      </c>
      <c r="C9144" s="4" t="str">
        <f t="shared" si="809"/>
        <v>Long An</v>
      </c>
      <c r="D9144" s="3" t="s">
        <v>644</v>
      </c>
      <c r="E9144" s="4" t="str">
        <f t="shared" ref="E9144:E9160" si="811">HYPERLINK("https://diaocthongthai.com/ban-do-huyen-can-duoc-long-an/","Huyện Cần Đước")</f>
        <v>Huyện Cần Đước</v>
      </c>
      <c r="F9144" s="3" t="s">
        <v>9903</v>
      </c>
      <c r="G9144" s="4" t="str">
        <f>HYPERLINK("https://diaocthongthai.com/thi-tran-can-duoc-can-duoc/","Thị trấn Cần Đước")</f>
        <v>Thị trấn Cần Đước</v>
      </c>
    </row>
    <row r="9145" spans="1:7" x14ac:dyDescent="0.25">
      <c r="A9145" s="2">
        <v>9144</v>
      </c>
      <c r="B9145" s="3" t="s">
        <v>53</v>
      </c>
      <c r="C9145" s="4" t="str">
        <f t="shared" si="809"/>
        <v>Long An</v>
      </c>
      <c r="D9145" s="3" t="s">
        <v>644</v>
      </c>
      <c r="E9145" s="4" t="str">
        <f t="shared" si="811"/>
        <v>Huyện Cần Đước</v>
      </c>
      <c r="F9145" s="3" t="s">
        <v>9904</v>
      </c>
      <c r="G9145" s="4" t="str">
        <f>HYPERLINK("https://diaocthongthai.com/xa-long-trach-can-duoc/","Xã Long Trạch")</f>
        <v>Xã Long Trạch</v>
      </c>
    </row>
    <row r="9146" spans="1:7" x14ac:dyDescent="0.25">
      <c r="A9146" s="2">
        <v>9145</v>
      </c>
      <c r="B9146" s="3" t="s">
        <v>53</v>
      </c>
      <c r="C9146" s="4" t="str">
        <f t="shared" si="809"/>
        <v>Long An</v>
      </c>
      <c r="D9146" s="3" t="s">
        <v>644</v>
      </c>
      <c r="E9146" s="4" t="str">
        <f t="shared" si="811"/>
        <v>Huyện Cần Đước</v>
      </c>
      <c r="F9146" s="3" t="s">
        <v>9905</v>
      </c>
      <c r="G9146" s="4" t="str">
        <f>HYPERLINK("https://diaocthongthai.com/xa-long-khe-can-duoc/","Xã Long Khê")</f>
        <v>Xã Long Khê</v>
      </c>
    </row>
    <row r="9147" spans="1:7" x14ac:dyDescent="0.25">
      <c r="A9147" s="2">
        <v>9146</v>
      </c>
      <c r="B9147" s="3" t="s">
        <v>53</v>
      </c>
      <c r="C9147" s="4" t="str">
        <f t="shared" si="809"/>
        <v>Long An</v>
      </c>
      <c r="D9147" s="3" t="s">
        <v>644</v>
      </c>
      <c r="E9147" s="4" t="str">
        <f t="shared" si="811"/>
        <v>Huyện Cần Đước</v>
      </c>
      <c r="F9147" s="3" t="s">
        <v>9906</v>
      </c>
      <c r="G9147" s="4" t="str">
        <f>HYPERLINK("https://diaocthongthai.com/xa-long-dinh-can-duoc/","Xã Long Định")</f>
        <v>Xã Long Định</v>
      </c>
    </row>
    <row r="9148" spans="1:7" x14ac:dyDescent="0.25">
      <c r="A9148" s="2">
        <v>9147</v>
      </c>
      <c r="B9148" s="3" t="s">
        <v>53</v>
      </c>
      <c r="C9148" s="4" t="str">
        <f t="shared" si="809"/>
        <v>Long An</v>
      </c>
      <c r="D9148" s="3" t="s">
        <v>644</v>
      </c>
      <c r="E9148" s="4" t="str">
        <f t="shared" si="811"/>
        <v>Huyện Cần Đước</v>
      </c>
      <c r="F9148" s="3" t="s">
        <v>9907</v>
      </c>
      <c r="G9148" s="4" t="str">
        <f>HYPERLINK("https://diaocthongthai.com/xa-phuoc-van-can-duoc/","Xã Phước Vân")</f>
        <v>Xã Phước Vân</v>
      </c>
    </row>
    <row r="9149" spans="1:7" x14ac:dyDescent="0.25">
      <c r="A9149" s="2">
        <v>9148</v>
      </c>
      <c r="B9149" s="3" t="s">
        <v>53</v>
      </c>
      <c r="C9149" s="4" t="str">
        <f t="shared" si="809"/>
        <v>Long An</v>
      </c>
      <c r="D9149" s="3" t="s">
        <v>644</v>
      </c>
      <c r="E9149" s="4" t="str">
        <f t="shared" si="811"/>
        <v>Huyện Cần Đước</v>
      </c>
      <c r="F9149" s="3" t="s">
        <v>9908</v>
      </c>
      <c r="G9149" s="4" t="str">
        <f>HYPERLINK("https://diaocthongthai.com/xa-long-hoa-can-duoc/","Xã Long Hòa")</f>
        <v>Xã Long Hòa</v>
      </c>
    </row>
    <row r="9150" spans="1:7" x14ac:dyDescent="0.25">
      <c r="A9150" s="2">
        <v>9149</v>
      </c>
      <c r="B9150" s="3" t="s">
        <v>53</v>
      </c>
      <c r="C9150" s="4" t="str">
        <f t="shared" si="809"/>
        <v>Long An</v>
      </c>
      <c r="D9150" s="3" t="s">
        <v>644</v>
      </c>
      <c r="E9150" s="4" t="str">
        <f t="shared" si="811"/>
        <v>Huyện Cần Đước</v>
      </c>
      <c r="F9150" s="3" t="s">
        <v>9909</v>
      </c>
      <c r="G9150" s="4" t="str">
        <f>HYPERLINK("https://diaocthongthai.com/xa-long-cang-can-duoc/","Xã Long Cang")</f>
        <v>Xã Long Cang</v>
      </c>
    </row>
    <row r="9151" spans="1:7" x14ac:dyDescent="0.25">
      <c r="A9151" s="2">
        <v>9150</v>
      </c>
      <c r="B9151" s="3" t="s">
        <v>53</v>
      </c>
      <c r="C9151" s="4" t="str">
        <f t="shared" si="809"/>
        <v>Long An</v>
      </c>
      <c r="D9151" s="3" t="s">
        <v>644</v>
      </c>
      <c r="E9151" s="4" t="str">
        <f t="shared" si="811"/>
        <v>Huyện Cần Đước</v>
      </c>
      <c r="F9151" s="3" t="s">
        <v>9910</v>
      </c>
      <c r="G9151" s="4" t="str">
        <f>HYPERLINK("https://diaocthongthai.com/xa-long-son-can-duoc/","Xã Long Sơn")</f>
        <v>Xã Long Sơn</v>
      </c>
    </row>
    <row r="9152" spans="1:7" x14ac:dyDescent="0.25">
      <c r="A9152" s="2">
        <v>9151</v>
      </c>
      <c r="B9152" s="3" t="s">
        <v>53</v>
      </c>
      <c r="C9152" s="4" t="str">
        <f t="shared" si="809"/>
        <v>Long An</v>
      </c>
      <c r="D9152" s="3" t="s">
        <v>644</v>
      </c>
      <c r="E9152" s="4" t="str">
        <f t="shared" si="811"/>
        <v>Huyện Cần Đước</v>
      </c>
      <c r="F9152" s="3" t="s">
        <v>9911</v>
      </c>
      <c r="G9152" s="4" t="str">
        <f>HYPERLINK("https://diaocthongthai.com/xa-tan-trach-can-duoc/","Xã Tân Trạch")</f>
        <v>Xã Tân Trạch</v>
      </c>
    </row>
    <row r="9153" spans="1:7" x14ac:dyDescent="0.25">
      <c r="A9153" s="2">
        <v>9152</v>
      </c>
      <c r="B9153" s="3" t="s">
        <v>53</v>
      </c>
      <c r="C9153" s="4" t="str">
        <f t="shared" si="809"/>
        <v>Long An</v>
      </c>
      <c r="D9153" s="3" t="s">
        <v>644</v>
      </c>
      <c r="E9153" s="4" t="str">
        <f t="shared" si="811"/>
        <v>Huyện Cần Đước</v>
      </c>
      <c r="F9153" s="3" t="s">
        <v>9912</v>
      </c>
      <c r="G9153" s="4" t="str">
        <f>HYPERLINK("https://diaocthongthai.com/xa-my-le-can-duoc/","Xã Mỹ Lệ")</f>
        <v>Xã Mỹ Lệ</v>
      </c>
    </row>
    <row r="9154" spans="1:7" x14ac:dyDescent="0.25">
      <c r="A9154" s="2">
        <v>9153</v>
      </c>
      <c r="B9154" s="3" t="s">
        <v>53</v>
      </c>
      <c r="C9154" s="4" t="str">
        <f t="shared" si="809"/>
        <v>Long An</v>
      </c>
      <c r="D9154" s="3" t="s">
        <v>644</v>
      </c>
      <c r="E9154" s="4" t="str">
        <f t="shared" si="811"/>
        <v>Huyện Cần Đước</v>
      </c>
      <c r="F9154" s="3" t="s">
        <v>9913</v>
      </c>
      <c r="G9154" s="4" t="str">
        <f>HYPERLINK("https://diaocthongthai.com/xa-tan-lan-can-duoc/","Xã Tân Lân")</f>
        <v>Xã Tân Lân</v>
      </c>
    </row>
    <row r="9155" spans="1:7" x14ac:dyDescent="0.25">
      <c r="A9155" s="2">
        <v>9154</v>
      </c>
      <c r="B9155" s="3" t="s">
        <v>53</v>
      </c>
      <c r="C9155" s="4" t="str">
        <f t="shared" si="809"/>
        <v>Long An</v>
      </c>
      <c r="D9155" s="3" t="s">
        <v>644</v>
      </c>
      <c r="E9155" s="4" t="str">
        <f t="shared" si="811"/>
        <v>Huyện Cần Đước</v>
      </c>
      <c r="F9155" s="3" t="s">
        <v>9914</v>
      </c>
      <c r="G9155" s="4" t="str">
        <f>HYPERLINK("https://diaocthongthai.com/xa-phuoc-tuy-can-duoc/","Xã Phước Tuy")</f>
        <v>Xã Phước Tuy</v>
      </c>
    </row>
    <row r="9156" spans="1:7" x14ac:dyDescent="0.25">
      <c r="A9156" s="2">
        <v>9155</v>
      </c>
      <c r="B9156" s="3" t="s">
        <v>53</v>
      </c>
      <c r="C9156" s="4" t="str">
        <f t="shared" si="809"/>
        <v>Long An</v>
      </c>
      <c r="D9156" s="3" t="s">
        <v>644</v>
      </c>
      <c r="E9156" s="4" t="str">
        <f t="shared" si="811"/>
        <v>Huyện Cần Đước</v>
      </c>
      <c r="F9156" s="3" t="s">
        <v>9915</v>
      </c>
      <c r="G9156" s="4" t="str">
        <f>HYPERLINK("https://diaocthongthai.com/xa-long-huu-dong-can-duoc/","Xã Long Hựu Đông")</f>
        <v>Xã Long Hựu Đông</v>
      </c>
    </row>
    <row r="9157" spans="1:7" x14ac:dyDescent="0.25">
      <c r="A9157" s="2">
        <v>9156</v>
      </c>
      <c r="B9157" s="3" t="s">
        <v>53</v>
      </c>
      <c r="C9157" s="4" t="str">
        <f t="shared" si="809"/>
        <v>Long An</v>
      </c>
      <c r="D9157" s="3" t="s">
        <v>644</v>
      </c>
      <c r="E9157" s="4" t="str">
        <f t="shared" si="811"/>
        <v>Huyện Cần Đước</v>
      </c>
      <c r="F9157" s="3" t="s">
        <v>9916</v>
      </c>
      <c r="G9157" s="4" t="str">
        <f>HYPERLINK("https://diaocthongthai.com/xa-tan-an-can-duoc/","Xã Tân Ân")</f>
        <v>Xã Tân Ân</v>
      </c>
    </row>
    <row r="9158" spans="1:7" x14ac:dyDescent="0.25">
      <c r="A9158" s="2">
        <v>9157</v>
      </c>
      <c r="B9158" s="3" t="s">
        <v>53</v>
      </c>
      <c r="C9158" s="4" t="str">
        <f t="shared" si="809"/>
        <v>Long An</v>
      </c>
      <c r="D9158" s="3" t="s">
        <v>644</v>
      </c>
      <c r="E9158" s="4" t="str">
        <f t="shared" si="811"/>
        <v>Huyện Cần Đước</v>
      </c>
      <c r="F9158" s="3" t="s">
        <v>9917</v>
      </c>
      <c r="G9158" s="4" t="str">
        <f>HYPERLINK("https://diaocthongthai.com/xa-phuoc-dong-can-duoc/","Xã Phước Đông")</f>
        <v>Xã Phước Đông</v>
      </c>
    </row>
    <row r="9159" spans="1:7" x14ac:dyDescent="0.25">
      <c r="A9159" s="2">
        <v>9158</v>
      </c>
      <c r="B9159" s="3" t="s">
        <v>53</v>
      </c>
      <c r="C9159" s="4" t="str">
        <f t="shared" si="809"/>
        <v>Long An</v>
      </c>
      <c r="D9159" s="3" t="s">
        <v>644</v>
      </c>
      <c r="E9159" s="4" t="str">
        <f t="shared" si="811"/>
        <v>Huyện Cần Đước</v>
      </c>
      <c r="F9159" s="3" t="s">
        <v>9918</v>
      </c>
      <c r="G9159" s="4" t="str">
        <f>HYPERLINK("https://diaocthongthai.com/xa-long-huu-tay-can-duoc/","Xã Long Hựu Tây")</f>
        <v>Xã Long Hựu Tây</v>
      </c>
    </row>
    <row r="9160" spans="1:7" x14ac:dyDescent="0.25">
      <c r="A9160" s="2">
        <v>9159</v>
      </c>
      <c r="B9160" s="3" t="s">
        <v>53</v>
      </c>
      <c r="C9160" s="4" t="str">
        <f t="shared" si="809"/>
        <v>Long An</v>
      </c>
      <c r="D9160" s="3" t="s">
        <v>644</v>
      </c>
      <c r="E9160" s="4" t="str">
        <f t="shared" si="811"/>
        <v>Huyện Cần Đước</v>
      </c>
      <c r="F9160" s="3" t="s">
        <v>9919</v>
      </c>
      <c r="G9160" s="4" t="str">
        <f>HYPERLINK("https://diaocthongthai.com/xa-tan-chanh-can-duoc/","Xã Tân Chánh")</f>
        <v>Xã Tân Chánh</v>
      </c>
    </row>
    <row r="9161" spans="1:7" x14ac:dyDescent="0.25">
      <c r="A9161" s="2">
        <v>9160</v>
      </c>
      <c r="B9161" s="3" t="s">
        <v>53</v>
      </c>
      <c r="C9161" s="4" t="str">
        <f t="shared" ref="C9161:C9188" si="812">HYPERLINK("https://diaocthongthai.com/ban-do-long-an/","Long An")</f>
        <v>Long An</v>
      </c>
      <c r="D9161" s="3" t="s">
        <v>645</v>
      </c>
      <c r="E9161" s="4" t="str">
        <f t="shared" ref="E9161:E9175" si="813">HYPERLINK("https://diaocthongthai.com/ban-do-huyen-can-giuoc-long-an/","Huyện Cần Giuộc")</f>
        <v>Huyện Cần Giuộc</v>
      </c>
      <c r="F9161" s="3" t="s">
        <v>9920</v>
      </c>
      <c r="G9161" s="4" t="str">
        <f>HYPERLINK("https://diaocthongthai.com/thi-tran-can-giuoc-can-giuoc/","Thị trấn Cần Giuộc")</f>
        <v>Thị trấn Cần Giuộc</v>
      </c>
    </row>
    <row r="9162" spans="1:7" x14ac:dyDescent="0.25">
      <c r="A9162" s="2">
        <v>9161</v>
      </c>
      <c r="B9162" s="3" t="s">
        <v>53</v>
      </c>
      <c r="C9162" s="4" t="str">
        <f t="shared" si="812"/>
        <v>Long An</v>
      </c>
      <c r="D9162" s="3" t="s">
        <v>645</v>
      </c>
      <c r="E9162" s="4" t="str">
        <f t="shared" si="813"/>
        <v>Huyện Cần Giuộc</v>
      </c>
      <c r="F9162" s="3" t="s">
        <v>9921</v>
      </c>
      <c r="G9162" s="4" t="str">
        <f>HYPERLINK("https://diaocthongthai.com/xa-phuoc-ly-can-giuoc/","Xã Phước Lý")</f>
        <v>Xã Phước Lý</v>
      </c>
    </row>
    <row r="9163" spans="1:7" x14ac:dyDescent="0.25">
      <c r="A9163" s="2">
        <v>9162</v>
      </c>
      <c r="B9163" s="3" t="s">
        <v>53</v>
      </c>
      <c r="C9163" s="4" t="str">
        <f t="shared" si="812"/>
        <v>Long An</v>
      </c>
      <c r="D9163" s="3" t="s">
        <v>645</v>
      </c>
      <c r="E9163" s="4" t="str">
        <f t="shared" si="813"/>
        <v>Huyện Cần Giuộc</v>
      </c>
      <c r="F9163" s="3" t="s">
        <v>9922</v>
      </c>
      <c r="G9163" s="4" t="str">
        <f>HYPERLINK("https://diaocthongthai.com/xa-long-thuong-can-giuoc/","Xã Long Thượng")</f>
        <v>Xã Long Thượng</v>
      </c>
    </row>
    <row r="9164" spans="1:7" x14ac:dyDescent="0.25">
      <c r="A9164" s="2">
        <v>9163</v>
      </c>
      <c r="B9164" s="3" t="s">
        <v>53</v>
      </c>
      <c r="C9164" s="4" t="str">
        <f t="shared" si="812"/>
        <v>Long An</v>
      </c>
      <c r="D9164" s="3" t="s">
        <v>645</v>
      </c>
      <c r="E9164" s="4" t="str">
        <f t="shared" si="813"/>
        <v>Huyện Cần Giuộc</v>
      </c>
      <c r="F9164" s="3" t="s">
        <v>9923</v>
      </c>
      <c r="G9164" s="4" t="str">
        <f>HYPERLINK("https://diaocthongthai.com/xa-long-hau-can-giuoc/","Xã Long Hậu")</f>
        <v>Xã Long Hậu</v>
      </c>
    </row>
    <row r="9165" spans="1:7" x14ac:dyDescent="0.25">
      <c r="A9165" s="2">
        <v>9164</v>
      </c>
      <c r="B9165" s="3" t="s">
        <v>53</v>
      </c>
      <c r="C9165" s="4" t="str">
        <f t="shared" si="812"/>
        <v>Long An</v>
      </c>
      <c r="D9165" s="3" t="s">
        <v>645</v>
      </c>
      <c r="E9165" s="4" t="str">
        <f t="shared" si="813"/>
        <v>Huyện Cần Giuộc</v>
      </c>
      <c r="F9165" s="3" t="s">
        <v>9924</v>
      </c>
      <c r="G9165" s="4" t="str">
        <f>HYPERLINK("https://diaocthongthai.com/xa-phuoc-hau-can-giuoc/","Xã Phước Hậu")</f>
        <v>Xã Phước Hậu</v>
      </c>
    </row>
    <row r="9166" spans="1:7" x14ac:dyDescent="0.25">
      <c r="A9166" s="2">
        <v>9165</v>
      </c>
      <c r="B9166" s="3" t="s">
        <v>53</v>
      </c>
      <c r="C9166" s="4" t="str">
        <f t="shared" si="812"/>
        <v>Long An</v>
      </c>
      <c r="D9166" s="3" t="s">
        <v>645</v>
      </c>
      <c r="E9166" s="4" t="str">
        <f t="shared" si="813"/>
        <v>Huyện Cần Giuộc</v>
      </c>
      <c r="F9166" s="3" t="s">
        <v>9925</v>
      </c>
      <c r="G9166" s="4" t="str">
        <f>HYPERLINK("https://diaocthongthai.com/xa-my-loc-can-giuoc/","Xã Mỹ Lộc")</f>
        <v>Xã Mỹ Lộc</v>
      </c>
    </row>
    <row r="9167" spans="1:7" x14ac:dyDescent="0.25">
      <c r="A9167" s="2">
        <v>9166</v>
      </c>
      <c r="B9167" s="3" t="s">
        <v>53</v>
      </c>
      <c r="C9167" s="4" t="str">
        <f t="shared" si="812"/>
        <v>Long An</v>
      </c>
      <c r="D9167" s="3" t="s">
        <v>645</v>
      </c>
      <c r="E9167" s="4" t="str">
        <f t="shared" si="813"/>
        <v>Huyện Cần Giuộc</v>
      </c>
      <c r="F9167" s="3" t="s">
        <v>9926</v>
      </c>
      <c r="G9167" s="4" t="str">
        <f>HYPERLINK("https://diaocthongthai.com/xa-phuoc-lai-can-giuoc/","Xã Phước Lại")</f>
        <v>Xã Phước Lại</v>
      </c>
    </row>
    <row r="9168" spans="1:7" x14ac:dyDescent="0.25">
      <c r="A9168" s="2">
        <v>9167</v>
      </c>
      <c r="B9168" s="3" t="s">
        <v>53</v>
      </c>
      <c r="C9168" s="4" t="str">
        <f t="shared" si="812"/>
        <v>Long An</v>
      </c>
      <c r="D9168" s="3" t="s">
        <v>645</v>
      </c>
      <c r="E9168" s="4" t="str">
        <f t="shared" si="813"/>
        <v>Huyện Cần Giuộc</v>
      </c>
      <c r="F9168" s="3" t="s">
        <v>9927</v>
      </c>
      <c r="G9168" s="4" t="str">
        <f>HYPERLINK("https://diaocthongthai.com/xa-phuoc-lam-can-giuoc/","Xã Phước Lâm")</f>
        <v>Xã Phước Lâm</v>
      </c>
    </row>
    <row r="9169" spans="1:7" x14ac:dyDescent="0.25">
      <c r="A9169" s="2">
        <v>9168</v>
      </c>
      <c r="B9169" s="3" t="s">
        <v>53</v>
      </c>
      <c r="C9169" s="4" t="str">
        <f t="shared" si="812"/>
        <v>Long An</v>
      </c>
      <c r="D9169" s="3" t="s">
        <v>645</v>
      </c>
      <c r="E9169" s="4" t="str">
        <f t="shared" si="813"/>
        <v>Huyện Cần Giuộc</v>
      </c>
      <c r="F9169" s="3" t="s">
        <v>9928</v>
      </c>
      <c r="G9169" s="4" t="str">
        <f>HYPERLINK("https://diaocthongthai.com/xa-thuan-thanh-can-giuoc/","Xã Thuận Thành")</f>
        <v>Xã Thuận Thành</v>
      </c>
    </row>
    <row r="9170" spans="1:7" x14ac:dyDescent="0.25">
      <c r="A9170" s="2">
        <v>9169</v>
      </c>
      <c r="B9170" s="3" t="s">
        <v>53</v>
      </c>
      <c r="C9170" s="4" t="str">
        <f t="shared" si="812"/>
        <v>Long An</v>
      </c>
      <c r="D9170" s="3" t="s">
        <v>645</v>
      </c>
      <c r="E9170" s="4" t="str">
        <f t="shared" si="813"/>
        <v>Huyện Cần Giuộc</v>
      </c>
      <c r="F9170" s="3" t="s">
        <v>9929</v>
      </c>
      <c r="G9170" s="4" t="str">
        <f>HYPERLINK("https://diaocthongthai.com/xa-phuoc-vinh-tay-can-giuoc/","Xã Phước Vĩnh Tây")</f>
        <v>Xã Phước Vĩnh Tây</v>
      </c>
    </row>
    <row r="9171" spans="1:7" x14ac:dyDescent="0.25">
      <c r="A9171" s="2">
        <v>9170</v>
      </c>
      <c r="B9171" s="3" t="s">
        <v>53</v>
      </c>
      <c r="C9171" s="4" t="str">
        <f t="shared" si="812"/>
        <v>Long An</v>
      </c>
      <c r="D9171" s="3" t="s">
        <v>645</v>
      </c>
      <c r="E9171" s="4" t="str">
        <f t="shared" si="813"/>
        <v>Huyện Cần Giuộc</v>
      </c>
      <c r="F9171" s="3" t="s">
        <v>9930</v>
      </c>
      <c r="G9171" s="4" t="str">
        <f>HYPERLINK("https://diaocthongthai.com/xa-phuoc-vinh-dong-can-giuoc/","Xã Phước Vĩnh Đông")</f>
        <v>Xã Phước Vĩnh Đông</v>
      </c>
    </row>
    <row r="9172" spans="1:7" x14ac:dyDescent="0.25">
      <c r="A9172" s="2">
        <v>9171</v>
      </c>
      <c r="B9172" s="3" t="s">
        <v>53</v>
      </c>
      <c r="C9172" s="4" t="str">
        <f t="shared" si="812"/>
        <v>Long An</v>
      </c>
      <c r="D9172" s="3" t="s">
        <v>645</v>
      </c>
      <c r="E9172" s="4" t="str">
        <f t="shared" si="813"/>
        <v>Huyện Cần Giuộc</v>
      </c>
      <c r="F9172" s="3" t="s">
        <v>9931</v>
      </c>
      <c r="G9172" s="4" t="str">
        <f>HYPERLINK("https://diaocthongthai.com/xa-long-an-can-giuoc/","Xã Long An")</f>
        <v>Xã Long An</v>
      </c>
    </row>
    <row r="9173" spans="1:7" x14ac:dyDescent="0.25">
      <c r="A9173" s="2">
        <v>9172</v>
      </c>
      <c r="B9173" s="3" t="s">
        <v>53</v>
      </c>
      <c r="C9173" s="4" t="str">
        <f t="shared" si="812"/>
        <v>Long An</v>
      </c>
      <c r="D9173" s="3" t="s">
        <v>645</v>
      </c>
      <c r="E9173" s="4" t="str">
        <f t="shared" si="813"/>
        <v>Huyện Cần Giuộc</v>
      </c>
      <c r="F9173" s="3" t="s">
        <v>9932</v>
      </c>
      <c r="G9173" s="4" t="str">
        <f>HYPERLINK("https://diaocthongthai.com/xa-long-phung-can-giuoc/","Xã Long Phụng")</f>
        <v>Xã Long Phụng</v>
      </c>
    </row>
    <row r="9174" spans="1:7" x14ac:dyDescent="0.25">
      <c r="A9174" s="2">
        <v>9173</v>
      </c>
      <c r="B9174" s="3" t="s">
        <v>53</v>
      </c>
      <c r="C9174" s="4" t="str">
        <f t="shared" si="812"/>
        <v>Long An</v>
      </c>
      <c r="D9174" s="3" t="s">
        <v>645</v>
      </c>
      <c r="E9174" s="4" t="str">
        <f t="shared" si="813"/>
        <v>Huyện Cần Giuộc</v>
      </c>
      <c r="F9174" s="3" t="s">
        <v>9933</v>
      </c>
      <c r="G9174" s="4" t="str">
        <f>HYPERLINK("https://diaocthongthai.com/xa-dong-thanh-can-giuoc/","Xã Đông Thạnh")</f>
        <v>Xã Đông Thạnh</v>
      </c>
    </row>
    <row r="9175" spans="1:7" x14ac:dyDescent="0.25">
      <c r="A9175" s="2">
        <v>9174</v>
      </c>
      <c r="B9175" s="3" t="s">
        <v>53</v>
      </c>
      <c r="C9175" s="4" t="str">
        <f t="shared" si="812"/>
        <v>Long An</v>
      </c>
      <c r="D9175" s="3" t="s">
        <v>645</v>
      </c>
      <c r="E9175" s="4" t="str">
        <f t="shared" si="813"/>
        <v>Huyện Cần Giuộc</v>
      </c>
      <c r="F9175" s="3" t="s">
        <v>9934</v>
      </c>
      <c r="G9175" s="4" t="str">
        <f>HYPERLINK("https://diaocthongthai.com/xa-tan-tap-can-giuoc/","Xã Tân Tập")</f>
        <v>Xã Tân Tập</v>
      </c>
    </row>
    <row r="9176" spans="1:7" x14ac:dyDescent="0.25">
      <c r="A9176" s="2">
        <v>9175</v>
      </c>
      <c r="B9176" s="3" t="s">
        <v>53</v>
      </c>
      <c r="C9176" s="4" t="str">
        <f t="shared" si="812"/>
        <v>Long An</v>
      </c>
      <c r="D9176" s="3" t="s">
        <v>646</v>
      </c>
      <c r="E9176" s="4" t="str">
        <f t="shared" ref="E9176:E9188" si="814">HYPERLINK("https://diaocthongthai.com/ban-do-huyen-chau-thanh-long-an/","Huyện Châu Thành")</f>
        <v>Huyện Châu Thành</v>
      </c>
      <c r="F9176" s="3" t="s">
        <v>9935</v>
      </c>
      <c r="G9176" s="4" t="str">
        <f>HYPERLINK("https://diaocthongthai.com/thi-tran-tam-vu-chau-thanh-long-an/","Thị trấn Tầm Vu")</f>
        <v>Thị trấn Tầm Vu</v>
      </c>
    </row>
    <row r="9177" spans="1:7" x14ac:dyDescent="0.25">
      <c r="A9177" s="2">
        <v>9176</v>
      </c>
      <c r="B9177" s="3" t="s">
        <v>53</v>
      </c>
      <c r="C9177" s="4" t="str">
        <f t="shared" si="812"/>
        <v>Long An</v>
      </c>
      <c r="D9177" s="3" t="s">
        <v>646</v>
      </c>
      <c r="E9177" s="4" t="str">
        <f t="shared" si="814"/>
        <v>Huyện Châu Thành</v>
      </c>
      <c r="F9177" s="3" t="s">
        <v>9936</v>
      </c>
      <c r="G9177" s="4" t="str">
        <f>HYPERLINK("https://diaocthongthai.com/xa-binh-quoi-chau-thanh-long-an/","Xã Bình Quới")</f>
        <v>Xã Bình Quới</v>
      </c>
    </row>
    <row r="9178" spans="1:7" x14ac:dyDescent="0.25">
      <c r="A9178" s="2">
        <v>9177</v>
      </c>
      <c r="B9178" s="3" t="s">
        <v>53</v>
      </c>
      <c r="C9178" s="4" t="str">
        <f t="shared" si="812"/>
        <v>Long An</v>
      </c>
      <c r="D9178" s="3" t="s">
        <v>646</v>
      </c>
      <c r="E9178" s="4" t="str">
        <f t="shared" si="814"/>
        <v>Huyện Châu Thành</v>
      </c>
      <c r="F9178" s="3" t="s">
        <v>9937</v>
      </c>
      <c r="G9178" s="4" t="str">
        <f>HYPERLINK("https://diaocthongthai.com/xa-hoa-phu-chau-thanh-long-an/","Xã Hòa Phú")</f>
        <v>Xã Hòa Phú</v>
      </c>
    </row>
    <row r="9179" spans="1:7" x14ac:dyDescent="0.25">
      <c r="A9179" s="2">
        <v>9178</v>
      </c>
      <c r="B9179" s="3" t="s">
        <v>53</v>
      </c>
      <c r="C9179" s="4" t="str">
        <f t="shared" si="812"/>
        <v>Long An</v>
      </c>
      <c r="D9179" s="3" t="s">
        <v>646</v>
      </c>
      <c r="E9179" s="4" t="str">
        <f t="shared" si="814"/>
        <v>Huyện Châu Thành</v>
      </c>
      <c r="F9179" s="3" t="s">
        <v>9938</v>
      </c>
      <c r="G9179" s="4" t="str">
        <f>HYPERLINK("https://diaocthongthai.com/xa-phu-ngai-tri-chau-thanh-long-an/","Xã Phú Ngãi Trị")</f>
        <v>Xã Phú Ngãi Trị</v>
      </c>
    </row>
    <row r="9180" spans="1:7" x14ac:dyDescent="0.25">
      <c r="A9180" s="2">
        <v>9179</v>
      </c>
      <c r="B9180" s="3" t="s">
        <v>53</v>
      </c>
      <c r="C9180" s="4" t="str">
        <f t="shared" si="812"/>
        <v>Long An</v>
      </c>
      <c r="D9180" s="3" t="s">
        <v>646</v>
      </c>
      <c r="E9180" s="4" t="str">
        <f t="shared" si="814"/>
        <v>Huyện Châu Thành</v>
      </c>
      <c r="F9180" s="3" t="s">
        <v>9939</v>
      </c>
      <c r="G9180" s="4" t="str">
        <f>HYPERLINK("https://diaocthongthai.com/xa-vinh-cong-chau-thanh-long-an/","Xã Vĩnh Công")</f>
        <v>Xã Vĩnh Công</v>
      </c>
    </row>
    <row r="9181" spans="1:7" x14ac:dyDescent="0.25">
      <c r="A9181" s="2">
        <v>9180</v>
      </c>
      <c r="B9181" s="3" t="s">
        <v>53</v>
      </c>
      <c r="C9181" s="4" t="str">
        <f t="shared" si="812"/>
        <v>Long An</v>
      </c>
      <c r="D9181" s="3" t="s">
        <v>646</v>
      </c>
      <c r="E9181" s="4" t="str">
        <f t="shared" si="814"/>
        <v>Huyện Châu Thành</v>
      </c>
      <c r="F9181" s="3" t="s">
        <v>9940</v>
      </c>
      <c r="G9181" s="4" t="str">
        <f>HYPERLINK("https://diaocthongthai.com/xa-thuan-my-chau-thanh-long-an/","Xã Thuận Mỹ")</f>
        <v>Xã Thuận Mỹ</v>
      </c>
    </row>
    <row r="9182" spans="1:7" x14ac:dyDescent="0.25">
      <c r="A9182" s="2">
        <v>9181</v>
      </c>
      <c r="B9182" s="3" t="s">
        <v>53</v>
      </c>
      <c r="C9182" s="4" t="str">
        <f t="shared" si="812"/>
        <v>Long An</v>
      </c>
      <c r="D9182" s="3" t="s">
        <v>646</v>
      </c>
      <c r="E9182" s="4" t="str">
        <f t="shared" si="814"/>
        <v>Huyện Châu Thành</v>
      </c>
      <c r="F9182" s="3" t="s">
        <v>9941</v>
      </c>
      <c r="G9182" s="4" t="str">
        <f>HYPERLINK("https://diaocthongthai.com/xa-hiep-thanh-chau-thanh-long-an/","Xã Hiệp Thạnh")</f>
        <v>Xã Hiệp Thạnh</v>
      </c>
    </row>
    <row r="9183" spans="1:7" x14ac:dyDescent="0.25">
      <c r="A9183" s="2">
        <v>9182</v>
      </c>
      <c r="B9183" s="3" t="s">
        <v>53</v>
      </c>
      <c r="C9183" s="4" t="str">
        <f t="shared" si="812"/>
        <v>Long An</v>
      </c>
      <c r="D9183" s="3" t="s">
        <v>646</v>
      </c>
      <c r="E9183" s="4" t="str">
        <f t="shared" si="814"/>
        <v>Huyện Châu Thành</v>
      </c>
      <c r="F9183" s="3" t="s">
        <v>9942</v>
      </c>
      <c r="G9183" s="4" t="str">
        <f>HYPERLINK("https://diaocthongthai.com/xa-phuoc-tan-hung-chau-thanh-long-an/","Xã Phước Tân Hưng")</f>
        <v>Xã Phước Tân Hưng</v>
      </c>
    </row>
    <row r="9184" spans="1:7" x14ac:dyDescent="0.25">
      <c r="A9184" s="2">
        <v>9183</v>
      </c>
      <c r="B9184" s="3" t="s">
        <v>53</v>
      </c>
      <c r="C9184" s="4" t="str">
        <f t="shared" si="812"/>
        <v>Long An</v>
      </c>
      <c r="D9184" s="3" t="s">
        <v>646</v>
      </c>
      <c r="E9184" s="4" t="str">
        <f t="shared" si="814"/>
        <v>Huyện Châu Thành</v>
      </c>
      <c r="F9184" s="3" t="s">
        <v>9943</v>
      </c>
      <c r="G9184" s="4" t="str">
        <f>HYPERLINK("https://diaocthongthai.com/xa-thanh-phu-long-chau-thanh-long-an/","Xã Thanh Phú Long")</f>
        <v>Xã Thanh Phú Long</v>
      </c>
    </row>
    <row r="9185" spans="1:7" x14ac:dyDescent="0.25">
      <c r="A9185" s="2">
        <v>9184</v>
      </c>
      <c r="B9185" s="3" t="s">
        <v>53</v>
      </c>
      <c r="C9185" s="4" t="str">
        <f t="shared" si="812"/>
        <v>Long An</v>
      </c>
      <c r="D9185" s="3" t="s">
        <v>646</v>
      </c>
      <c r="E9185" s="4" t="str">
        <f t="shared" si="814"/>
        <v>Huyện Châu Thành</v>
      </c>
      <c r="F9185" s="3" t="s">
        <v>9944</v>
      </c>
      <c r="G9185" s="4" t="str">
        <f>HYPERLINK("https://diaocthongthai.com/xa-duong-xuan-hoi-chau-thanh-long-an/","Xã Dương Xuân Hội")</f>
        <v>Xã Dương Xuân Hội</v>
      </c>
    </row>
    <row r="9186" spans="1:7" x14ac:dyDescent="0.25">
      <c r="A9186" s="2">
        <v>9185</v>
      </c>
      <c r="B9186" s="3" t="s">
        <v>53</v>
      </c>
      <c r="C9186" s="4" t="str">
        <f t="shared" si="812"/>
        <v>Long An</v>
      </c>
      <c r="D9186" s="3" t="s">
        <v>646</v>
      </c>
      <c r="E9186" s="4" t="str">
        <f t="shared" si="814"/>
        <v>Huyện Châu Thành</v>
      </c>
      <c r="F9186" s="3" t="s">
        <v>9945</v>
      </c>
      <c r="G9186" s="4" t="str">
        <f>HYPERLINK("https://diaocthongthai.com/xa-an-luc-long-chau-thanh-long-an/","Xã An Lục Long")</f>
        <v>Xã An Lục Long</v>
      </c>
    </row>
    <row r="9187" spans="1:7" x14ac:dyDescent="0.25">
      <c r="A9187" s="2">
        <v>9186</v>
      </c>
      <c r="B9187" s="3" t="s">
        <v>53</v>
      </c>
      <c r="C9187" s="4" t="str">
        <f t="shared" si="812"/>
        <v>Long An</v>
      </c>
      <c r="D9187" s="3" t="s">
        <v>646</v>
      </c>
      <c r="E9187" s="4" t="str">
        <f t="shared" si="814"/>
        <v>Huyện Châu Thành</v>
      </c>
      <c r="F9187" s="3" t="s">
        <v>9946</v>
      </c>
      <c r="G9187" s="4" t="str">
        <f>HYPERLINK("https://diaocthongthai.com/xa-long-tri-chau-thanh-long-an/","Xã Long Trì")</f>
        <v>Xã Long Trì</v>
      </c>
    </row>
    <row r="9188" spans="1:7" x14ac:dyDescent="0.25">
      <c r="A9188" s="2">
        <v>9187</v>
      </c>
      <c r="B9188" s="3" t="s">
        <v>53</v>
      </c>
      <c r="C9188" s="4" t="str">
        <f t="shared" si="812"/>
        <v>Long An</v>
      </c>
      <c r="D9188" s="3" t="s">
        <v>646</v>
      </c>
      <c r="E9188" s="4" t="str">
        <f t="shared" si="814"/>
        <v>Huyện Châu Thành</v>
      </c>
      <c r="F9188" s="3" t="s">
        <v>9947</v>
      </c>
      <c r="G9188" s="4" t="str">
        <f>HYPERLINK("https://diaocthongthai.com/xa-thanh-vinh-dong-chau-thanh-long-an/","Xã Thanh Vĩnh Đông")</f>
        <v>Xã Thanh Vĩnh Đông</v>
      </c>
    </row>
    <row r="9189" spans="1:7" x14ac:dyDescent="0.25">
      <c r="A9189" s="2">
        <v>9188</v>
      </c>
      <c r="B9189" s="3" t="s">
        <v>54</v>
      </c>
      <c r="C9189" s="4" t="str">
        <f t="shared" ref="C9189:C9220" si="815">HYPERLINK("https://diaocthongthai.com/ban-do-tien-giang/","Tiền Giang")</f>
        <v>Tiền Giang</v>
      </c>
      <c r="D9189" s="3" t="s">
        <v>647</v>
      </c>
      <c r="E9189" s="4" t="str">
        <f t="shared" ref="E9189:E9205" si="816">HYPERLINK("https://diaocthongthai.com/ban-do-tp-my-tho-tien-giang/","Thành phố Mỹ Tho")</f>
        <v>Thành phố Mỹ Tho</v>
      </c>
      <c r="F9189" s="3" t="s">
        <v>9948</v>
      </c>
      <c r="G9189" s="4" t="str">
        <f>HYPERLINK("https://diaocthongthai.com/phuong-5-tp-my-tho/","Phường 5")</f>
        <v>Phường 5</v>
      </c>
    </row>
    <row r="9190" spans="1:7" x14ac:dyDescent="0.25">
      <c r="A9190" s="2">
        <v>9189</v>
      </c>
      <c r="B9190" s="3" t="s">
        <v>54</v>
      </c>
      <c r="C9190" s="4" t="str">
        <f t="shared" si="815"/>
        <v>Tiền Giang</v>
      </c>
      <c r="D9190" s="3" t="s">
        <v>647</v>
      </c>
      <c r="E9190" s="4" t="str">
        <f t="shared" si="816"/>
        <v>Thành phố Mỹ Tho</v>
      </c>
      <c r="F9190" s="3" t="s">
        <v>9949</v>
      </c>
      <c r="G9190" s="4" t="str">
        <f>HYPERLINK("https://diaocthongthai.com/phuong-4-tp-my-tho/","Phường 4")</f>
        <v>Phường 4</v>
      </c>
    </row>
    <row r="9191" spans="1:7" x14ac:dyDescent="0.25">
      <c r="A9191" s="2">
        <v>9190</v>
      </c>
      <c r="B9191" s="3" t="s">
        <v>54</v>
      </c>
      <c r="C9191" s="4" t="str">
        <f t="shared" si="815"/>
        <v>Tiền Giang</v>
      </c>
      <c r="D9191" s="3" t="s">
        <v>647</v>
      </c>
      <c r="E9191" s="4" t="str">
        <f t="shared" si="816"/>
        <v>Thành phố Mỹ Tho</v>
      </c>
      <c r="F9191" s="3" t="s">
        <v>9950</v>
      </c>
      <c r="G9191" s="4" t="str">
        <f>HYPERLINK("https://diaocthongthai.com/phuong-7-tp-my-tho/","Phường 7")</f>
        <v>Phường 7</v>
      </c>
    </row>
    <row r="9192" spans="1:7" x14ac:dyDescent="0.25">
      <c r="A9192" s="2">
        <v>9191</v>
      </c>
      <c r="B9192" s="3" t="s">
        <v>54</v>
      </c>
      <c r="C9192" s="4" t="str">
        <f t="shared" si="815"/>
        <v>Tiền Giang</v>
      </c>
      <c r="D9192" s="3" t="s">
        <v>647</v>
      </c>
      <c r="E9192" s="4" t="str">
        <f t="shared" si="816"/>
        <v>Thành phố Mỹ Tho</v>
      </c>
      <c r="F9192" s="3" t="s">
        <v>9951</v>
      </c>
      <c r="G9192" s="4" t="str">
        <f>HYPERLINK("https://diaocthongthai.com/phuong-3-tp-my-tho/","Phường 3")</f>
        <v>Phường 3</v>
      </c>
    </row>
    <row r="9193" spans="1:7" x14ac:dyDescent="0.25">
      <c r="A9193" s="2">
        <v>9192</v>
      </c>
      <c r="B9193" s="3" t="s">
        <v>54</v>
      </c>
      <c r="C9193" s="4" t="str">
        <f t="shared" si="815"/>
        <v>Tiền Giang</v>
      </c>
      <c r="D9193" s="3" t="s">
        <v>647</v>
      </c>
      <c r="E9193" s="4" t="str">
        <f t="shared" si="816"/>
        <v>Thành phố Mỹ Tho</v>
      </c>
      <c r="F9193" s="3" t="s">
        <v>9952</v>
      </c>
      <c r="G9193" s="4" t="str">
        <f>HYPERLINK("https://diaocthongthai.com/phuong-1-tp-my-tho/","Phường 1")</f>
        <v>Phường 1</v>
      </c>
    </row>
    <row r="9194" spans="1:7" x14ac:dyDescent="0.25">
      <c r="A9194" s="2">
        <v>9193</v>
      </c>
      <c r="B9194" s="3" t="s">
        <v>54</v>
      </c>
      <c r="C9194" s="4" t="str">
        <f t="shared" si="815"/>
        <v>Tiền Giang</v>
      </c>
      <c r="D9194" s="3" t="s">
        <v>647</v>
      </c>
      <c r="E9194" s="4" t="str">
        <f t="shared" si="816"/>
        <v>Thành phố Mỹ Tho</v>
      </c>
      <c r="F9194" s="3" t="s">
        <v>9953</v>
      </c>
      <c r="G9194" s="4" t="str">
        <f>HYPERLINK("https://diaocthongthai.com/phuong-2-tp-my-tho/","Phường 2")</f>
        <v>Phường 2</v>
      </c>
    </row>
    <row r="9195" spans="1:7" x14ac:dyDescent="0.25">
      <c r="A9195" s="2">
        <v>9194</v>
      </c>
      <c r="B9195" s="3" t="s">
        <v>54</v>
      </c>
      <c r="C9195" s="4" t="str">
        <f t="shared" si="815"/>
        <v>Tiền Giang</v>
      </c>
      <c r="D9195" s="3" t="s">
        <v>647</v>
      </c>
      <c r="E9195" s="4" t="str">
        <f t="shared" si="816"/>
        <v>Thành phố Mỹ Tho</v>
      </c>
      <c r="F9195" s="3" t="s">
        <v>9954</v>
      </c>
      <c r="G9195" s="4" t="str">
        <f>HYPERLINK("https://diaocthongthai.com/phuong-8-tp-my-tho/","Phường 8")</f>
        <v>Phường 8</v>
      </c>
    </row>
    <row r="9196" spans="1:7" x14ac:dyDescent="0.25">
      <c r="A9196" s="2">
        <v>9195</v>
      </c>
      <c r="B9196" s="3" t="s">
        <v>54</v>
      </c>
      <c r="C9196" s="4" t="str">
        <f t="shared" si="815"/>
        <v>Tiền Giang</v>
      </c>
      <c r="D9196" s="3" t="s">
        <v>647</v>
      </c>
      <c r="E9196" s="4" t="str">
        <f t="shared" si="816"/>
        <v>Thành phố Mỹ Tho</v>
      </c>
      <c r="F9196" s="3" t="s">
        <v>9955</v>
      </c>
      <c r="G9196" s="4" t="str">
        <f>HYPERLINK("https://diaocthongthai.com/phuong-6-tp-my-tho/","Phường 6")</f>
        <v>Phường 6</v>
      </c>
    </row>
    <row r="9197" spans="1:7" x14ac:dyDescent="0.25">
      <c r="A9197" s="2">
        <v>9196</v>
      </c>
      <c r="B9197" s="3" t="s">
        <v>54</v>
      </c>
      <c r="C9197" s="4" t="str">
        <f t="shared" si="815"/>
        <v>Tiền Giang</v>
      </c>
      <c r="D9197" s="3" t="s">
        <v>647</v>
      </c>
      <c r="E9197" s="4" t="str">
        <f t="shared" si="816"/>
        <v>Thành phố Mỹ Tho</v>
      </c>
      <c r="F9197" s="3" t="s">
        <v>9956</v>
      </c>
      <c r="G9197" s="4" t="str">
        <f>HYPERLINK("https://diaocthongthai.com/phuong-9-tp-my-tho/","Phường 9")</f>
        <v>Phường 9</v>
      </c>
    </row>
    <row r="9198" spans="1:7" x14ac:dyDescent="0.25">
      <c r="A9198" s="2">
        <v>9197</v>
      </c>
      <c r="B9198" s="3" t="s">
        <v>54</v>
      </c>
      <c r="C9198" s="4" t="str">
        <f t="shared" si="815"/>
        <v>Tiền Giang</v>
      </c>
      <c r="D9198" s="3" t="s">
        <v>647</v>
      </c>
      <c r="E9198" s="4" t="str">
        <f t="shared" si="816"/>
        <v>Thành phố Mỹ Tho</v>
      </c>
      <c r="F9198" s="3" t="s">
        <v>9957</v>
      </c>
      <c r="G9198" s="4" t="str">
        <f>HYPERLINK("https://diaocthongthai.com/phuong-10-tp-my-tho/","Phường 10")</f>
        <v>Phường 10</v>
      </c>
    </row>
    <row r="9199" spans="1:7" x14ac:dyDescent="0.25">
      <c r="A9199" s="2">
        <v>9198</v>
      </c>
      <c r="B9199" s="3" t="s">
        <v>54</v>
      </c>
      <c r="C9199" s="4" t="str">
        <f t="shared" si="815"/>
        <v>Tiền Giang</v>
      </c>
      <c r="D9199" s="3" t="s">
        <v>647</v>
      </c>
      <c r="E9199" s="4" t="str">
        <f t="shared" si="816"/>
        <v>Thành phố Mỹ Tho</v>
      </c>
      <c r="F9199" s="3" t="s">
        <v>9958</v>
      </c>
      <c r="G9199" s="4" t="str">
        <f>HYPERLINK("https://diaocthongthai.com/phuong-tan-long-tp-my-tho/","Phường Tân Long")</f>
        <v>Phường Tân Long</v>
      </c>
    </row>
    <row r="9200" spans="1:7" x14ac:dyDescent="0.25">
      <c r="A9200" s="2">
        <v>9199</v>
      </c>
      <c r="B9200" s="3" t="s">
        <v>54</v>
      </c>
      <c r="C9200" s="4" t="str">
        <f t="shared" si="815"/>
        <v>Tiền Giang</v>
      </c>
      <c r="D9200" s="3" t="s">
        <v>647</v>
      </c>
      <c r="E9200" s="4" t="str">
        <f t="shared" si="816"/>
        <v>Thành phố Mỹ Tho</v>
      </c>
      <c r="F9200" s="3" t="s">
        <v>9959</v>
      </c>
      <c r="G9200" s="4" t="str">
        <f>HYPERLINK("https://diaocthongthai.com/xa-dao-thanh-tp-my-tho/","Xã Đạo Thạnh")</f>
        <v>Xã Đạo Thạnh</v>
      </c>
    </row>
    <row r="9201" spans="1:7" x14ac:dyDescent="0.25">
      <c r="A9201" s="2">
        <v>9200</v>
      </c>
      <c r="B9201" s="3" t="s">
        <v>54</v>
      </c>
      <c r="C9201" s="4" t="str">
        <f t="shared" si="815"/>
        <v>Tiền Giang</v>
      </c>
      <c r="D9201" s="3" t="s">
        <v>647</v>
      </c>
      <c r="E9201" s="4" t="str">
        <f t="shared" si="816"/>
        <v>Thành phố Mỹ Tho</v>
      </c>
      <c r="F9201" s="3" t="s">
        <v>9960</v>
      </c>
      <c r="G9201" s="4" t="str">
        <f>HYPERLINK("https://diaocthongthai.com/xa-trung-an-tp-my-tho/","Xã Trung An")</f>
        <v>Xã Trung An</v>
      </c>
    </row>
    <row r="9202" spans="1:7" x14ac:dyDescent="0.25">
      <c r="A9202" s="2">
        <v>9201</v>
      </c>
      <c r="B9202" s="3" t="s">
        <v>54</v>
      </c>
      <c r="C9202" s="4" t="str">
        <f t="shared" si="815"/>
        <v>Tiền Giang</v>
      </c>
      <c r="D9202" s="3" t="s">
        <v>647</v>
      </c>
      <c r="E9202" s="4" t="str">
        <f t="shared" si="816"/>
        <v>Thành phố Mỹ Tho</v>
      </c>
      <c r="F9202" s="3" t="s">
        <v>9961</v>
      </c>
      <c r="G9202" s="4" t="str">
        <f>HYPERLINK("https://diaocthongthai.com/xa-my-phong-tp-my-tho/","Xã Mỹ Phong")</f>
        <v>Xã Mỹ Phong</v>
      </c>
    </row>
    <row r="9203" spans="1:7" x14ac:dyDescent="0.25">
      <c r="A9203" s="2">
        <v>9202</v>
      </c>
      <c r="B9203" s="3" t="s">
        <v>54</v>
      </c>
      <c r="C9203" s="4" t="str">
        <f t="shared" si="815"/>
        <v>Tiền Giang</v>
      </c>
      <c r="D9203" s="3" t="s">
        <v>647</v>
      </c>
      <c r="E9203" s="4" t="str">
        <f t="shared" si="816"/>
        <v>Thành phố Mỹ Tho</v>
      </c>
      <c r="F9203" s="3" t="s">
        <v>9962</v>
      </c>
      <c r="G9203" s="4" t="str">
        <f>HYPERLINK("https://diaocthongthai.com/xa-tan-my-chanh-tp-my-tho/","Xã Tân Mỹ Chánh")</f>
        <v>Xã Tân Mỹ Chánh</v>
      </c>
    </row>
    <row r="9204" spans="1:7" x14ac:dyDescent="0.25">
      <c r="A9204" s="2">
        <v>9203</v>
      </c>
      <c r="B9204" s="3" t="s">
        <v>54</v>
      </c>
      <c r="C9204" s="4" t="str">
        <f t="shared" si="815"/>
        <v>Tiền Giang</v>
      </c>
      <c r="D9204" s="3" t="s">
        <v>647</v>
      </c>
      <c r="E9204" s="4" t="str">
        <f t="shared" si="816"/>
        <v>Thành phố Mỹ Tho</v>
      </c>
      <c r="F9204" s="3" t="s">
        <v>9963</v>
      </c>
      <c r="G9204" s="4" t="str">
        <f>HYPERLINK("https://diaocthongthai.com/xa-phuoc-thanh-tp-my-tho/","Xã Phước Thạnh")</f>
        <v>Xã Phước Thạnh</v>
      </c>
    </row>
    <row r="9205" spans="1:7" x14ac:dyDescent="0.25">
      <c r="A9205" s="2">
        <v>9204</v>
      </c>
      <c r="B9205" s="3" t="s">
        <v>54</v>
      </c>
      <c r="C9205" s="4" t="str">
        <f t="shared" si="815"/>
        <v>Tiền Giang</v>
      </c>
      <c r="D9205" s="3" t="s">
        <v>647</v>
      </c>
      <c r="E9205" s="4" t="str">
        <f t="shared" si="816"/>
        <v>Thành phố Mỹ Tho</v>
      </c>
      <c r="F9205" s="3" t="s">
        <v>9964</v>
      </c>
      <c r="G9205" s="4" t="str">
        <f>HYPERLINK("https://diaocthongthai.com/xa-thoi-son-tp-my-tho/","Xã Thới Sơn")</f>
        <v>Xã Thới Sơn</v>
      </c>
    </row>
    <row r="9206" spans="1:7" x14ac:dyDescent="0.25">
      <c r="A9206" s="2">
        <v>9205</v>
      </c>
      <c r="B9206" s="3" t="s">
        <v>54</v>
      </c>
      <c r="C9206" s="4" t="str">
        <f t="shared" si="815"/>
        <v>Tiền Giang</v>
      </c>
      <c r="D9206" s="3" t="s">
        <v>648</v>
      </c>
      <c r="E9206" s="4" t="str">
        <f t="shared" ref="E9206:E9217" si="817">HYPERLINK("https://diaocthongthai.com/ban-do-thi-xa-go-cong-tien-giang/","Thị xã Gò Công")</f>
        <v>Thị xã Gò Công</v>
      </c>
      <c r="F9206" s="3" t="s">
        <v>9965</v>
      </c>
      <c r="G9206" s="4" t="str">
        <f>HYPERLINK("https://diaocthongthai.com/phuong-3-go-cong/","Phường 3")</f>
        <v>Phường 3</v>
      </c>
    </row>
    <row r="9207" spans="1:7" x14ac:dyDescent="0.25">
      <c r="A9207" s="2">
        <v>9206</v>
      </c>
      <c r="B9207" s="3" t="s">
        <v>54</v>
      </c>
      <c r="C9207" s="4" t="str">
        <f t="shared" si="815"/>
        <v>Tiền Giang</v>
      </c>
      <c r="D9207" s="3" t="s">
        <v>648</v>
      </c>
      <c r="E9207" s="4" t="str">
        <f t="shared" si="817"/>
        <v>Thị xã Gò Công</v>
      </c>
      <c r="F9207" s="3" t="s">
        <v>9966</v>
      </c>
      <c r="G9207" s="4" t="str">
        <f>HYPERLINK("https://diaocthongthai.com/phuong-2-go-cong/","Phường 2")</f>
        <v>Phường 2</v>
      </c>
    </row>
    <row r="9208" spans="1:7" x14ac:dyDescent="0.25">
      <c r="A9208" s="2">
        <v>9207</v>
      </c>
      <c r="B9208" s="3" t="s">
        <v>54</v>
      </c>
      <c r="C9208" s="4" t="str">
        <f t="shared" si="815"/>
        <v>Tiền Giang</v>
      </c>
      <c r="D9208" s="3" t="s">
        <v>648</v>
      </c>
      <c r="E9208" s="4" t="str">
        <f t="shared" si="817"/>
        <v>Thị xã Gò Công</v>
      </c>
      <c r="F9208" s="3" t="s">
        <v>9967</v>
      </c>
      <c r="G9208" s="4" t="str">
        <f>HYPERLINK("https://diaocthongthai.com/phuong-4-go-cong/","Phường 4")</f>
        <v>Phường 4</v>
      </c>
    </row>
    <row r="9209" spans="1:7" x14ac:dyDescent="0.25">
      <c r="A9209" s="2">
        <v>9208</v>
      </c>
      <c r="B9209" s="3" t="s">
        <v>54</v>
      </c>
      <c r="C9209" s="4" t="str">
        <f t="shared" si="815"/>
        <v>Tiền Giang</v>
      </c>
      <c r="D9209" s="3" t="s">
        <v>648</v>
      </c>
      <c r="E9209" s="4" t="str">
        <f t="shared" si="817"/>
        <v>Thị xã Gò Công</v>
      </c>
      <c r="F9209" s="3" t="s">
        <v>9968</v>
      </c>
      <c r="G9209" s="4" t="str">
        <f>HYPERLINK("https://diaocthongthai.com/phuong-1-go-cong/","Phường 1")</f>
        <v>Phường 1</v>
      </c>
    </row>
    <row r="9210" spans="1:7" x14ac:dyDescent="0.25">
      <c r="A9210" s="2">
        <v>9209</v>
      </c>
      <c r="B9210" s="3" t="s">
        <v>54</v>
      </c>
      <c r="C9210" s="4" t="str">
        <f t="shared" si="815"/>
        <v>Tiền Giang</v>
      </c>
      <c r="D9210" s="3" t="s">
        <v>648</v>
      </c>
      <c r="E9210" s="4" t="str">
        <f t="shared" si="817"/>
        <v>Thị xã Gò Công</v>
      </c>
      <c r="F9210" s="3" t="s">
        <v>9969</v>
      </c>
      <c r="G9210" s="4" t="str">
        <f>HYPERLINK("https://diaocthongthai.com/phuong-5-go-cong/","Phường 5")</f>
        <v>Phường 5</v>
      </c>
    </row>
    <row r="9211" spans="1:7" x14ac:dyDescent="0.25">
      <c r="A9211" s="2">
        <v>9210</v>
      </c>
      <c r="B9211" s="3" t="s">
        <v>54</v>
      </c>
      <c r="C9211" s="4" t="str">
        <f t="shared" si="815"/>
        <v>Tiền Giang</v>
      </c>
      <c r="D9211" s="3" t="s">
        <v>648</v>
      </c>
      <c r="E9211" s="4" t="str">
        <f t="shared" si="817"/>
        <v>Thị xã Gò Công</v>
      </c>
      <c r="F9211" s="3" t="s">
        <v>9970</v>
      </c>
      <c r="G9211" s="4" t="str">
        <f>HYPERLINK("https://diaocthongthai.com/xa-long-hung-go-cong/","Xã Long Hưng")</f>
        <v>Xã Long Hưng</v>
      </c>
    </row>
    <row r="9212" spans="1:7" x14ac:dyDescent="0.25">
      <c r="A9212" s="2">
        <v>9211</v>
      </c>
      <c r="B9212" s="3" t="s">
        <v>54</v>
      </c>
      <c r="C9212" s="4" t="str">
        <f t="shared" si="815"/>
        <v>Tiền Giang</v>
      </c>
      <c r="D9212" s="3" t="s">
        <v>648</v>
      </c>
      <c r="E9212" s="4" t="str">
        <f t="shared" si="817"/>
        <v>Thị xã Gò Công</v>
      </c>
      <c r="F9212" s="3" t="s">
        <v>9971</v>
      </c>
      <c r="G9212" s="4" t="str">
        <f>HYPERLINK("https://diaocthongthai.com/xa-long-thuan-go-cong/","Xã Long Thuận")</f>
        <v>Xã Long Thuận</v>
      </c>
    </row>
    <row r="9213" spans="1:7" x14ac:dyDescent="0.25">
      <c r="A9213" s="2">
        <v>9212</v>
      </c>
      <c r="B9213" s="3" t="s">
        <v>54</v>
      </c>
      <c r="C9213" s="4" t="str">
        <f t="shared" si="815"/>
        <v>Tiền Giang</v>
      </c>
      <c r="D9213" s="3" t="s">
        <v>648</v>
      </c>
      <c r="E9213" s="4" t="str">
        <f t="shared" si="817"/>
        <v>Thị xã Gò Công</v>
      </c>
      <c r="F9213" s="3" t="s">
        <v>9972</v>
      </c>
      <c r="G9213" s="4" t="str">
        <f>HYPERLINK("https://diaocthongthai.com/xa-long-chanh-go-cong/","Xã Long Chánh")</f>
        <v>Xã Long Chánh</v>
      </c>
    </row>
    <row r="9214" spans="1:7" x14ac:dyDescent="0.25">
      <c r="A9214" s="2">
        <v>9213</v>
      </c>
      <c r="B9214" s="3" t="s">
        <v>54</v>
      </c>
      <c r="C9214" s="4" t="str">
        <f t="shared" si="815"/>
        <v>Tiền Giang</v>
      </c>
      <c r="D9214" s="3" t="s">
        <v>648</v>
      </c>
      <c r="E9214" s="4" t="str">
        <f t="shared" si="817"/>
        <v>Thị xã Gò Công</v>
      </c>
      <c r="F9214" s="3" t="s">
        <v>9973</v>
      </c>
      <c r="G9214" s="4" t="str">
        <f>HYPERLINK("https://diaocthongthai.com/xa-long-hoa-go-cong/","Xã Long Hòa")</f>
        <v>Xã Long Hòa</v>
      </c>
    </row>
    <row r="9215" spans="1:7" x14ac:dyDescent="0.25">
      <c r="A9215" s="2">
        <v>9214</v>
      </c>
      <c r="B9215" s="3" t="s">
        <v>54</v>
      </c>
      <c r="C9215" s="4" t="str">
        <f t="shared" si="815"/>
        <v>Tiền Giang</v>
      </c>
      <c r="D9215" s="3" t="s">
        <v>648</v>
      </c>
      <c r="E9215" s="4" t="str">
        <f t="shared" si="817"/>
        <v>Thị xã Gò Công</v>
      </c>
      <c r="F9215" s="3" t="s">
        <v>9974</v>
      </c>
      <c r="G9215" s="4" t="str">
        <f>HYPERLINK("https://diaocthongthai.com/xa-binh-dong-go-cong/","Xã Bình Đông")</f>
        <v>Xã Bình Đông</v>
      </c>
    </row>
    <row r="9216" spans="1:7" x14ac:dyDescent="0.25">
      <c r="A9216" s="2">
        <v>9215</v>
      </c>
      <c r="B9216" s="3" t="s">
        <v>54</v>
      </c>
      <c r="C9216" s="4" t="str">
        <f t="shared" si="815"/>
        <v>Tiền Giang</v>
      </c>
      <c r="D9216" s="3" t="s">
        <v>648</v>
      </c>
      <c r="E9216" s="4" t="str">
        <f t="shared" si="817"/>
        <v>Thị xã Gò Công</v>
      </c>
      <c r="F9216" s="3" t="s">
        <v>9975</v>
      </c>
      <c r="G9216" s="4" t="str">
        <f>HYPERLINK("https://diaocthongthai.com/xa-binh-xuan-go-cong/","Xã Bình Xuân")</f>
        <v>Xã Bình Xuân</v>
      </c>
    </row>
    <row r="9217" spans="1:7" x14ac:dyDescent="0.25">
      <c r="A9217" s="2">
        <v>9216</v>
      </c>
      <c r="B9217" s="3" t="s">
        <v>54</v>
      </c>
      <c r="C9217" s="4" t="str">
        <f t="shared" si="815"/>
        <v>Tiền Giang</v>
      </c>
      <c r="D9217" s="3" t="s">
        <v>648</v>
      </c>
      <c r="E9217" s="4" t="str">
        <f t="shared" si="817"/>
        <v>Thị xã Gò Công</v>
      </c>
      <c r="F9217" s="3" t="s">
        <v>9976</v>
      </c>
      <c r="G9217" s="4" t="str">
        <f>HYPERLINK("https://diaocthongthai.com/xa-tan-trung-go-cong/","Xã Tân Trung")</f>
        <v>Xã Tân Trung</v>
      </c>
    </row>
    <row r="9218" spans="1:7" x14ac:dyDescent="0.25">
      <c r="A9218" s="2">
        <v>9217</v>
      </c>
      <c r="B9218" s="3" t="s">
        <v>54</v>
      </c>
      <c r="C9218" s="4" t="str">
        <f t="shared" si="815"/>
        <v>Tiền Giang</v>
      </c>
      <c r="D9218" s="3" t="s">
        <v>649</v>
      </c>
      <c r="E9218" s="4" t="str">
        <f t="shared" ref="E9218:E9233" si="818">HYPERLINK("https://diaocthongthai.com/ban-do-thi-xa-cai-lay-tien-giang/","Thị xã Cai Lậy")</f>
        <v>Thị xã Cai Lậy</v>
      </c>
      <c r="F9218" s="3" t="s">
        <v>9977</v>
      </c>
      <c r="G9218" s="4" t="str">
        <f>HYPERLINK("https://diaocthongthai.com/phuong-1-cai-lay-tien-giang/","Phường 1")</f>
        <v>Phường 1</v>
      </c>
    </row>
    <row r="9219" spans="1:7" x14ac:dyDescent="0.25">
      <c r="A9219" s="2">
        <v>9218</v>
      </c>
      <c r="B9219" s="3" t="s">
        <v>54</v>
      </c>
      <c r="C9219" s="4" t="str">
        <f t="shared" si="815"/>
        <v>Tiền Giang</v>
      </c>
      <c r="D9219" s="3" t="s">
        <v>649</v>
      </c>
      <c r="E9219" s="4" t="str">
        <f t="shared" si="818"/>
        <v>Thị xã Cai Lậy</v>
      </c>
      <c r="F9219" s="3" t="s">
        <v>9978</v>
      </c>
      <c r="G9219" s="4" t="str">
        <f>HYPERLINK("https://diaocthongthai.com/phuong-2-cai-lay-tien-giang/","Phường 2")</f>
        <v>Phường 2</v>
      </c>
    </row>
    <row r="9220" spans="1:7" x14ac:dyDescent="0.25">
      <c r="A9220" s="2">
        <v>9219</v>
      </c>
      <c r="B9220" s="3" t="s">
        <v>54</v>
      </c>
      <c r="C9220" s="4" t="str">
        <f t="shared" si="815"/>
        <v>Tiền Giang</v>
      </c>
      <c r="D9220" s="3" t="s">
        <v>649</v>
      </c>
      <c r="E9220" s="4" t="str">
        <f t="shared" si="818"/>
        <v>Thị xã Cai Lậy</v>
      </c>
      <c r="F9220" s="3" t="s">
        <v>9979</v>
      </c>
      <c r="G9220" s="4" t="str">
        <f>HYPERLINK("https://diaocthongthai.com/phuong-3-cai-lay-tien-giang/","Phường 3")</f>
        <v>Phường 3</v>
      </c>
    </row>
    <row r="9221" spans="1:7" x14ac:dyDescent="0.25">
      <c r="A9221" s="2">
        <v>9220</v>
      </c>
      <c r="B9221" s="3" t="s">
        <v>54</v>
      </c>
      <c r="C9221" s="4" t="str">
        <f t="shared" ref="C9221:C9252" si="819">HYPERLINK("https://diaocthongthai.com/ban-do-tien-giang/","Tiền Giang")</f>
        <v>Tiền Giang</v>
      </c>
      <c r="D9221" s="3" t="s">
        <v>649</v>
      </c>
      <c r="E9221" s="4" t="str">
        <f t="shared" si="818"/>
        <v>Thị xã Cai Lậy</v>
      </c>
      <c r="F9221" s="3" t="s">
        <v>9980</v>
      </c>
      <c r="G9221" s="4" t="str">
        <f>HYPERLINK("https://diaocthongthai.com/phuong-4-cai-lay-tien-giang/","Phường 4")</f>
        <v>Phường 4</v>
      </c>
    </row>
    <row r="9222" spans="1:7" x14ac:dyDescent="0.25">
      <c r="A9222" s="2">
        <v>9221</v>
      </c>
      <c r="B9222" s="3" t="s">
        <v>54</v>
      </c>
      <c r="C9222" s="4" t="str">
        <f t="shared" si="819"/>
        <v>Tiền Giang</v>
      </c>
      <c r="D9222" s="3" t="s">
        <v>649</v>
      </c>
      <c r="E9222" s="4" t="str">
        <f t="shared" si="818"/>
        <v>Thị xã Cai Lậy</v>
      </c>
      <c r="F9222" s="3" t="s">
        <v>9981</v>
      </c>
      <c r="G9222" s="4" t="str">
        <f>HYPERLINK("https://diaocthongthai.com/phuong-5-cai-lay-tien-giang/","Phường 5")</f>
        <v>Phường 5</v>
      </c>
    </row>
    <row r="9223" spans="1:7" x14ac:dyDescent="0.25">
      <c r="A9223" s="2">
        <v>9222</v>
      </c>
      <c r="B9223" s="3" t="s">
        <v>54</v>
      </c>
      <c r="C9223" s="4" t="str">
        <f t="shared" si="819"/>
        <v>Tiền Giang</v>
      </c>
      <c r="D9223" s="3" t="s">
        <v>649</v>
      </c>
      <c r="E9223" s="4" t="str">
        <f t="shared" si="818"/>
        <v>Thị xã Cai Lậy</v>
      </c>
      <c r="F9223" s="3" t="s">
        <v>9982</v>
      </c>
      <c r="G9223" s="4" t="str">
        <f>HYPERLINK("https://diaocthongthai.com/xa-my-phuoc-tay-cai-lay-tien-giang/","Xã Mỹ Phước Tây")</f>
        <v>Xã Mỹ Phước Tây</v>
      </c>
    </row>
    <row r="9224" spans="1:7" x14ac:dyDescent="0.25">
      <c r="A9224" s="2">
        <v>9223</v>
      </c>
      <c r="B9224" s="3" t="s">
        <v>54</v>
      </c>
      <c r="C9224" s="4" t="str">
        <f t="shared" si="819"/>
        <v>Tiền Giang</v>
      </c>
      <c r="D9224" s="3" t="s">
        <v>649</v>
      </c>
      <c r="E9224" s="4" t="str">
        <f t="shared" si="818"/>
        <v>Thị xã Cai Lậy</v>
      </c>
      <c r="F9224" s="3" t="s">
        <v>9983</v>
      </c>
      <c r="G9224" s="4" t="str">
        <f>HYPERLINK("https://diaocthongthai.com/xa-my-hanh-dong-cai-lay-tien-giang/","Xã Mỹ Hạnh Đông")</f>
        <v>Xã Mỹ Hạnh Đông</v>
      </c>
    </row>
    <row r="9225" spans="1:7" x14ac:dyDescent="0.25">
      <c r="A9225" s="2">
        <v>9224</v>
      </c>
      <c r="B9225" s="3" t="s">
        <v>54</v>
      </c>
      <c r="C9225" s="4" t="str">
        <f t="shared" si="819"/>
        <v>Tiền Giang</v>
      </c>
      <c r="D9225" s="3" t="s">
        <v>649</v>
      </c>
      <c r="E9225" s="4" t="str">
        <f t="shared" si="818"/>
        <v>Thị xã Cai Lậy</v>
      </c>
      <c r="F9225" s="3" t="s">
        <v>9984</v>
      </c>
      <c r="G9225" s="4" t="str">
        <f>HYPERLINK("https://diaocthongthai.com/xa-my-hanh-trung-cai-lay-tien-giang/","Xã Mỹ Hạnh Trung")</f>
        <v>Xã Mỹ Hạnh Trung</v>
      </c>
    </row>
    <row r="9226" spans="1:7" x14ac:dyDescent="0.25">
      <c r="A9226" s="2">
        <v>9225</v>
      </c>
      <c r="B9226" s="3" t="s">
        <v>54</v>
      </c>
      <c r="C9226" s="4" t="str">
        <f t="shared" si="819"/>
        <v>Tiền Giang</v>
      </c>
      <c r="D9226" s="3" t="s">
        <v>649</v>
      </c>
      <c r="E9226" s="4" t="str">
        <f t="shared" si="818"/>
        <v>Thị xã Cai Lậy</v>
      </c>
      <c r="F9226" s="3" t="s">
        <v>9985</v>
      </c>
      <c r="G9226" s="4" t="str">
        <f>HYPERLINK("https://diaocthongthai.com/xa-tan-phu-cai-lay-tien-giang/","Xã Tân Phú")</f>
        <v>Xã Tân Phú</v>
      </c>
    </row>
    <row r="9227" spans="1:7" x14ac:dyDescent="0.25">
      <c r="A9227" s="2">
        <v>9226</v>
      </c>
      <c r="B9227" s="3" t="s">
        <v>54</v>
      </c>
      <c r="C9227" s="4" t="str">
        <f t="shared" si="819"/>
        <v>Tiền Giang</v>
      </c>
      <c r="D9227" s="3" t="s">
        <v>649</v>
      </c>
      <c r="E9227" s="4" t="str">
        <f t="shared" si="818"/>
        <v>Thị xã Cai Lậy</v>
      </c>
      <c r="F9227" s="3" t="s">
        <v>9986</v>
      </c>
      <c r="G9227" s="4" t="str">
        <f>HYPERLINK("https://diaocthongthai.com/xa-tan-binh-cai-lay-tien-giang/","Xã Tân Bình")</f>
        <v>Xã Tân Bình</v>
      </c>
    </row>
    <row r="9228" spans="1:7" x14ac:dyDescent="0.25">
      <c r="A9228" s="2">
        <v>9227</v>
      </c>
      <c r="B9228" s="3" t="s">
        <v>54</v>
      </c>
      <c r="C9228" s="4" t="str">
        <f t="shared" si="819"/>
        <v>Tiền Giang</v>
      </c>
      <c r="D9228" s="3" t="s">
        <v>649</v>
      </c>
      <c r="E9228" s="4" t="str">
        <f t="shared" si="818"/>
        <v>Thị xã Cai Lậy</v>
      </c>
      <c r="F9228" s="3" t="s">
        <v>9987</v>
      </c>
      <c r="G9228" s="4" t="str">
        <f>HYPERLINK("https://diaocthongthai.com/xa-tan-hoi-cai-lay-tien-giang/","Xã Tân Hội")</f>
        <v>Xã Tân Hội</v>
      </c>
    </row>
    <row r="9229" spans="1:7" x14ac:dyDescent="0.25">
      <c r="A9229" s="2">
        <v>9228</v>
      </c>
      <c r="B9229" s="3" t="s">
        <v>54</v>
      </c>
      <c r="C9229" s="4" t="str">
        <f t="shared" si="819"/>
        <v>Tiền Giang</v>
      </c>
      <c r="D9229" s="3" t="s">
        <v>649</v>
      </c>
      <c r="E9229" s="4" t="str">
        <f t="shared" si="818"/>
        <v>Thị xã Cai Lậy</v>
      </c>
      <c r="F9229" s="3" t="s">
        <v>9988</v>
      </c>
      <c r="G9229" s="4" t="str">
        <f>HYPERLINK("https://diaocthongthai.com/phuong-nhi-my-cai-lay-tien-giang/","Phường Nhị Mỹ")</f>
        <v>Phường Nhị Mỹ</v>
      </c>
    </row>
    <row r="9230" spans="1:7" x14ac:dyDescent="0.25">
      <c r="A9230" s="2">
        <v>9229</v>
      </c>
      <c r="B9230" s="3" t="s">
        <v>54</v>
      </c>
      <c r="C9230" s="4" t="str">
        <f t="shared" si="819"/>
        <v>Tiền Giang</v>
      </c>
      <c r="D9230" s="3" t="s">
        <v>649</v>
      </c>
      <c r="E9230" s="4" t="str">
        <f t="shared" si="818"/>
        <v>Thị xã Cai Lậy</v>
      </c>
      <c r="F9230" s="3" t="s">
        <v>9989</v>
      </c>
      <c r="G9230" s="4" t="str">
        <f>HYPERLINK("https://diaocthongthai.com/xa-nhi-quy-cai-lay-tien-giang/","Xã Nhị Quý")</f>
        <v>Xã Nhị Quý</v>
      </c>
    </row>
    <row r="9231" spans="1:7" x14ac:dyDescent="0.25">
      <c r="A9231" s="2">
        <v>9230</v>
      </c>
      <c r="B9231" s="3" t="s">
        <v>54</v>
      </c>
      <c r="C9231" s="4" t="str">
        <f t="shared" si="819"/>
        <v>Tiền Giang</v>
      </c>
      <c r="D9231" s="3" t="s">
        <v>649</v>
      </c>
      <c r="E9231" s="4" t="str">
        <f t="shared" si="818"/>
        <v>Thị xã Cai Lậy</v>
      </c>
      <c r="F9231" s="3" t="s">
        <v>9990</v>
      </c>
      <c r="G9231" s="4" t="str">
        <f>HYPERLINK("https://diaocthongthai.com/xa-thanh-hoa-cai-lay-tien-giang/","Xã Thanh Hòa")</f>
        <v>Xã Thanh Hòa</v>
      </c>
    </row>
    <row r="9232" spans="1:7" x14ac:dyDescent="0.25">
      <c r="A9232" s="2">
        <v>9231</v>
      </c>
      <c r="B9232" s="3" t="s">
        <v>54</v>
      </c>
      <c r="C9232" s="4" t="str">
        <f t="shared" si="819"/>
        <v>Tiền Giang</v>
      </c>
      <c r="D9232" s="3" t="s">
        <v>649</v>
      </c>
      <c r="E9232" s="4" t="str">
        <f t="shared" si="818"/>
        <v>Thị xã Cai Lậy</v>
      </c>
      <c r="F9232" s="3" t="s">
        <v>9991</v>
      </c>
      <c r="G9232" s="4" t="str">
        <f>HYPERLINK("https://diaocthongthai.com/xa-phu-quy-cai-lay-tien-giang/","Xã Phú Quý")</f>
        <v>Xã Phú Quý</v>
      </c>
    </row>
    <row r="9233" spans="1:7" x14ac:dyDescent="0.25">
      <c r="A9233" s="2">
        <v>9232</v>
      </c>
      <c r="B9233" s="3" t="s">
        <v>54</v>
      </c>
      <c r="C9233" s="4" t="str">
        <f t="shared" si="819"/>
        <v>Tiền Giang</v>
      </c>
      <c r="D9233" s="3" t="s">
        <v>649</v>
      </c>
      <c r="E9233" s="4" t="str">
        <f t="shared" si="818"/>
        <v>Thị xã Cai Lậy</v>
      </c>
      <c r="F9233" s="3" t="s">
        <v>9992</v>
      </c>
      <c r="G9233" s="4" t="str">
        <f>HYPERLINK("https://diaocthongthai.com/xa-long-khanh-cai-lay-tien-giang/","Xã Long Khánh")</f>
        <v>Xã Long Khánh</v>
      </c>
    </row>
    <row r="9234" spans="1:7" x14ac:dyDescent="0.25">
      <c r="A9234" s="2">
        <v>9233</v>
      </c>
      <c r="B9234" s="3" t="s">
        <v>54</v>
      </c>
      <c r="C9234" s="4" t="str">
        <f t="shared" si="819"/>
        <v>Tiền Giang</v>
      </c>
      <c r="D9234" s="3" t="s">
        <v>650</v>
      </c>
      <c r="E9234" s="4" t="str">
        <f t="shared" ref="E9234:E9245" si="820">HYPERLINK("https://diaocthongthai.com/ban-do-huyen-tan-phuoc-tien-giang/","Huyện Tân Phước")</f>
        <v>Huyện Tân Phước</v>
      </c>
      <c r="F9234" s="3" t="s">
        <v>9993</v>
      </c>
      <c r="G9234" s="4" t="str">
        <f>HYPERLINK("https://diaocthongthai.com/thi-tran-my-phuoc-tan-phuoc/","Thị trấn Mỹ Phước")</f>
        <v>Thị trấn Mỹ Phước</v>
      </c>
    </row>
    <row r="9235" spans="1:7" x14ac:dyDescent="0.25">
      <c r="A9235" s="2">
        <v>9234</v>
      </c>
      <c r="B9235" s="3" t="s">
        <v>54</v>
      </c>
      <c r="C9235" s="4" t="str">
        <f t="shared" si="819"/>
        <v>Tiền Giang</v>
      </c>
      <c r="D9235" s="3" t="s">
        <v>650</v>
      </c>
      <c r="E9235" s="4" t="str">
        <f t="shared" si="820"/>
        <v>Huyện Tân Phước</v>
      </c>
      <c r="F9235" s="3" t="s">
        <v>9994</v>
      </c>
      <c r="G9235" s="4" t="str">
        <f>HYPERLINK("https://diaocthongthai.com/xa-tan-hoa-dong-tan-phuoc/","Xã Tân Hòa Đông")</f>
        <v>Xã Tân Hòa Đông</v>
      </c>
    </row>
    <row r="9236" spans="1:7" x14ac:dyDescent="0.25">
      <c r="A9236" s="2">
        <v>9235</v>
      </c>
      <c r="B9236" s="3" t="s">
        <v>54</v>
      </c>
      <c r="C9236" s="4" t="str">
        <f t="shared" si="819"/>
        <v>Tiền Giang</v>
      </c>
      <c r="D9236" s="3" t="s">
        <v>650</v>
      </c>
      <c r="E9236" s="4" t="str">
        <f t="shared" si="820"/>
        <v>Huyện Tân Phước</v>
      </c>
      <c r="F9236" s="3" t="s">
        <v>9995</v>
      </c>
      <c r="G9236" s="4" t="str">
        <f>HYPERLINK("https://diaocthongthai.com/xa-thanh-tan-tan-phuoc/","Xã Thạnh Tân")</f>
        <v>Xã Thạnh Tân</v>
      </c>
    </row>
    <row r="9237" spans="1:7" x14ac:dyDescent="0.25">
      <c r="A9237" s="2">
        <v>9236</v>
      </c>
      <c r="B9237" s="3" t="s">
        <v>54</v>
      </c>
      <c r="C9237" s="4" t="str">
        <f t="shared" si="819"/>
        <v>Tiền Giang</v>
      </c>
      <c r="D9237" s="3" t="s">
        <v>650</v>
      </c>
      <c r="E9237" s="4" t="str">
        <f t="shared" si="820"/>
        <v>Huyện Tân Phước</v>
      </c>
      <c r="F9237" s="3" t="s">
        <v>9996</v>
      </c>
      <c r="G9237" s="4" t="str">
        <f>HYPERLINK("https://diaocthongthai.com/xa-thanh-my-tan-phuoc/","Xã Thạnh Mỹ")</f>
        <v>Xã Thạnh Mỹ</v>
      </c>
    </row>
    <row r="9238" spans="1:7" x14ac:dyDescent="0.25">
      <c r="A9238" s="2">
        <v>9237</v>
      </c>
      <c r="B9238" s="3" t="s">
        <v>54</v>
      </c>
      <c r="C9238" s="4" t="str">
        <f t="shared" si="819"/>
        <v>Tiền Giang</v>
      </c>
      <c r="D9238" s="3" t="s">
        <v>650</v>
      </c>
      <c r="E9238" s="4" t="str">
        <f t="shared" si="820"/>
        <v>Huyện Tân Phước</v>
      </c>
      <c r="F9238" s="3" t="s">
        <v>9997</v>
      </c>
      <c r="G9238" s="4" t="str">
        <f>HYPERLINK("https://diaocthongthai.com/xa-thanh-hoa-tan-phuoc/","Xã Thạnh Hoà")</f>
        <v>Xã Thạnh Hoà</v>
      </c>
    </row>
    <row r="9239" spans="1:7" x14ac:dyDescent="0.25">
      <c r="A9239" s="2">
        <v>9238</v>
      </c>
      <c r="B9239" s="3" t="s">
        <v>54</v>
      </c>
      <c r="C9239" s="4" t="str">
        <f t="shared" si="819"/>
        <v>Tiền Giang</v>
      </c>
      <c r="D9239" s="3" t="s">
        <v>650</v>
      </c>
      <c r="E9239" s="4" t="str">
        <f t="shared" si="820"/>
        <v>Huyện Tân Phước</v>
      </c>
      <c r="F9239" s="3" t="s">
        <v>9998</v>
      </c>
      <c r="G9239" s="4" t="str">
        <f>HYPERLINK("https://diaocthongthai.com/xa-phu-my-tan-phuoc/","Xã Phú Mỹ")</f>
        <v>Xã Phú Mỹ</v>
      </c>
    </row>
    <row r="9240" spans="1:7" x14ac:dyDescent="0.25">
      <c r="A9240" s="2">
        <v>9239</v>
      </c>
      <c r="B9240" s="3" t="s">
        <v>54</v>
      </c>
      <c r="C9240" s="4" t="str">
        <f t="shared" si="819"/>
        <v>Tiền Giang</v>
      </c>
      <c r="D9240" s="3" t="s">
        <v>650</v>
      </c>
      <c r="E9240" s="4" t="str">
        <f t="shared" si="820"/>
        <v>Huyện Tân Phước</v>
      </c>
      <c r="F9240" s="3" t="s">
        <v>9999</v>
      </c>
      <c r="G9240" s="4" t="str">
        <f>HYPERLINK("https://diaocthongthai.com/xa-tan-hoa-thanh-tan-phuoc/","Xã Tân Hòa Thành")</f>
        <v>Xã Tân Hòa Thành</v>
      </c>
    </row>
    <row r="9241" spans="1:7" x14ac:dyDescent="0.25">
      <c r="A9241" s="2">
        <v>9240</v>
      </c>
      <c r="B9241" s="3" t="s">
        <v>54</v>
      </c>
      <c r="C9241" s="4" t="str">
        <f t="shared" si="819"/>
        <v>Tiền Giang</v>
      </c>
      <c r="D9241" s="3" t="s">
        <v>650</v>
      </c>
      <c r="E9241" s="4" t="str">
        <f t="shared" si="820"/>
        <v>Huyện Tân Phước</v>
      </c>
      <c r="F9241" s="3" t="s">
        <v>10000</v>
      </c>
      <c r="G9241" s="4" t="str">
        <f>HYPERLINK("https://diaocthongthai.com/xa-hung-thanh-tan-phuoc/","Xã Hưng Thạnh")</f>
        <v>Xã Hưng Thạnh</v>
      </c>
    </row>
    <row r="9242" spans="1:7" x14ac:dyDescent="0.25">
      <c r="A9242" s="2">
        <v>9241</v>
      </c>
      <c r="B9242" s="3" t="s">
        <v>54</v>
      </c>
      <c r="C9242" s="4" t="str">
        <f t="shared" si="819"/>
        <v>Tiền Giang</v>
      </c>
      <c r="D9242" s="3" t="s">
        <v>650</v>
      </c>
      <c r="E9242" s="4" t="str">
        <f t="shared" si="820"/>
        <v>Huyện Tân Phước</v>
      </c>
      <c r="F9242" s="3" t="s">
        <v>10001</v>
      </c>
      <c r="G9242" s="4" t="str">
        <f>HYPERLINK("https://diaocthongthai.com/xa-tan-lap-1-tan-phuoc/","Xã Tân Lập 1")</f>
        <v>Xã Tân Lập 1</v>
      </c>
    </row>
    <row r="9243" spans="1:7" x14ac:dyDescent="0.25">
      <c r="A9243" s="2">
        <v>9242</v>
      </c>
      <c r="B9243" s="3" t="s">
        <v>54</v>
      </c>
      <c r="C9243" s="4" t="str">
        <f t="shared" si="819"/>
        <v>Tiền Giang</v>
      </c>
      <c r="D9243" s="3" t="s">
        <v>650</v>
      </c>
      <c r="E9243" s="4" t="str">
        <f t="shared" si="820"/>
        <v>Huyện Tân Phước</v>
      </c>
      <c r="F9243" s="3" t="s">
        <v>10002</v>
      </c>
      <c r="G9243" s="4" t="str">
        <f>HYPERLINK("https://diaocthongthai.com/xa-tan-hoa-tay-tan-phuoc/","Xã Tân Hòa Tây")</f>
        <v>Xã Tân Hòa Tây</v>
      </c>
    </row>
    <row r="9244" spans="1:7" x14ac:dyDescent="0.25">
      <c r="A9244" s="2">
        <v>9243</v>
      </c>
      <c r="B9244" s="3" t="s">
        <v>54</v>
      </c>
      <c r="C9244" s="4" t="str">
        <f t="shared" si="819"/>
        <v>Tiền Giang</v>
      </c>
      <c r="D9244" s="3" t="s">
        <v>650</v>
      </c>
      <c r="E9244" s="4" t="str">
        <f t="shared" si="820"/>
        <v>Huyện Tân Phước</v>
      </c>
      <c r="F9244" s="3" t="s">
        <v>10003</v>
      </c>
      <c r="G9244" s="4" t="str">
        <f>HYPERLINK("https://diaocthongthai.com/xa-tan-lap-2-tan-phuoc/","Xã Tân Lập 2")</f>
        <v>Xã Tân Lập 2</v>
      </c>
    </row>
    <row r="9245" spans="1:7" x14ac:dyDescent="0.25">
      <c r="A9245" s="2">
        <v>9244</v>
      </c>
      <c r="B9245" s="3" t="s">
        <v>54</v>
      </c>
      <c r="C9245" s="4" t="str">
        <f t="shared" si="819"/>
        <v>Tiền Giang</v>
      </c>
      <c r="D9245" s="3" t="s">
        <v>650</v>
      </c>
      <c r="E9245" s="4" t="str">
        <f t="shared" si="820"/>
        <v>Huyện Tân Phước</v>
      </c>
      <c r="F9245" s="3" t="s">
        <v>10004</v>
      </c>
      <c r="G9245" s="4" t="str">
        <f>HYPERLINK("https://diaocthongthai.com/xa-phuoc-lap-tan-phuoc/","Xã Phước Lập")</f>
        <v>Xã Phước Lập</v>
      </c>
    </row>
    <row r="9246" spans="1:7" x14ac:dyDescent="0.25">
      <c r="A9246" s="2">
        <v>9245</v>
      </c>
      <c r="B9246" s="3" t="s">
        <v>54</v>
      </c>
      <c r="C9246" s="4" t="str">
        <f t="shared" si="819"/>
        <v>Tiền Giang</v>
      </c>
      <c r="D9246" s="3" t="s">
        <v>651</v>
      </c>
      <c r="E9246" s="4" t="str">
        <f t="shared" ref="E9246:E9270" si="821">HYPERLINK("https://diaocthongthai.com/ban-do-huyen-cai-be-tien-giang/","Huyện Cái Bè")</f>
        <v>Huyện Cái Bè</v>
      </c>
      <c r="F9246" s="3" t="s">
        <v>10005</v>
      </c>
      <c r="G9246" s="4" t="str">
        <f>HYPERLINK("https://diaocthongthai.com/thi-tran-cai-be-cai-be/","Thị trấn Cái Bè")</f>
        <v>Thị trấn Cái Bè</v>
      </c>
    </row>
    <row r="9247" spans="1:7" x14ac:dyDescent="0.25">
      <c r="A9247" s="2">
        <v>9246</v>
      </c>
      <c r="B9247" s="3" t="s">
        <v>54</v>
      </c>
      <c r="C9247" s="4" t="str">
        <f t="shared" si="819"/>
        <v>Tiền Giang</v>
      </c>
      <c r="D9247" s="3" t="s">
        <v>651</v>
      </c>
      <c r="E9247" s="4" t="str">
        <f t="shared" si="821"/>
        <v>Huyện Cái Bè</v>
      </c>
      <c r="F9247" s="3" t="s">
        <v>10006</v>
      </c>
      <c r="G9247" s="4" t="str">
        <f>HYPERLINK("https://diaocthongthai.com/xa-hau-my-bac-b-cai-be/","Xã Hậu Mỹ Bắc B")</f>
        <v>Xã Hậu Mỹ Bắc B</v>
      </c>
    </row>
    <row r="9248" spans="1:7" x14ac:dyDescent="0.25">
      <c r="A9248" s="2">
        <v>9247</v>
      </c>
      <c r="B9248" s="3" t="s">
        <v>54</v>
      </c>
      <c r="C9248" s="4" t="str">
        <f t="shared" si="819"/>
        <v>Tiền Giang</v>
      </c>
      <c r="D9248" s="3" t="s">
        <v>651</v>
      </c>
      <c r="E9248" s="4" t="str">
        <f t="shared" si="821"/>
        <v>Huyện Cái Bè</v>
      </c>
      <c r="F9248" s="3" t="s">
        <v>10007</v>
      </c>
      <c r="G9248" s="4" t="str">
        <f>HYPERLINK("https://diaocthongthai.com/xa-hau-my-bac-a-cai-be/","Xã Hậu Mỹ Bắc A")</f>
        <v>Xã Hậu Mỹ Bắc A</v>
      </c>
    </row>
    <row r="9249" spans="1:7" x14ac:dyDescent="0.25">
      <c r="A9249" s="2">
        <v>9248</v>
      </c>
      <c r="B9249" s="3" t="s">
        <v>54</v>
      </c>
      <c r="C9249" s="4" t="str">
        <f t="shared" si="819"/>
        <v>Tiền Giang</v>
      </c>
      <c r="D9249" s="3" t="s">
        <v>651</v>
      </c>
      <c r="E9249" s="4" t="str">
        <f t="shared" si="821"/>
        <v>Huyện Cái Bè</v>
      </c>
      <c r="F9249" s="3" t="s">
        <v>10008</v>
      </c>
      <c r="G9249" s="4" t="str">
        <f>HYPERLINK("https://diaocthongthai.com/xa-my-trung-cai-be/","Xã Mỹ Trung")</f>
        <v>Xã Mỹ Trung</v>
      </c>
    </row>
    <row r="9250" spans="1:7" x14ac:dyDescent="0.25">
      <c r="A9250" s="2">
        <v>9249</v>
      </c>
      <c r="B9250" s="3" t="s">
        <v>54</v>
      </c>
      <c r="C9250" s="4" t="str">
        <f t="shared" si="819"/>
        <v>Tiền Giang</v>
      </c>
      <c r="D9250" s="3" t="s">
        <v>651</v>
      </c>
      <c r="E9250" s="4" t="str">
        <f t="shared" si="821"/>
        <v>Huyện Cái Bè</v>
      </c>
      <c r="F9250" s="3" t="s">
        <v>10009</v>
      </c>
      <c r="G9250" s="4" t="str">
        <f>HYPERLINK("https://diaocthongthai.com/xa-hau-my-trinh-cai-be/","Xã Hậu Mỹ Trinh")</f>
        <v>Xã Hậu Mỹ Trinh</v>
      </c>
    </row>
    <row r="9251" spans="1:7" x14ac:dyDescent="0.25">
      <c r="A9251" s="2">
        <v>9250</v>
      </c>
      <c r="B9251" s="3" t="s">
        <v>54</v>
      </c>
      <c r="C9251" s="4" t="str">
        <f t="shared" si="819"/>
        <v>Tiền Giang</v>
      </c>
      <c r="D9251" s="3" t="s">
        <v>651</v>
      </c>
      <c r="E9251" s="4" t="str">
        <f t="shared" si="821"/>
        <v>Huyện Cái Bè</v>
      </c>
      <c r="F9251" s="3" t="s">
        <v>10010</v>
      </c>
      <c r="G9251" s="4" t="str">
        <f>HYPERLINK("https://diaocthongthai.com/xa-hau-my-phu-cai-be/","Xã Hậu Mỹ Phú")</f>
        <v>Xã Hậu Mỹ Phú</v>
      </c>
    </row>
    <row r="9252" spans="1:7" x14ac:dyDescent="0.25">
      <c r="A9252" s="2">
        <v>9251</v>
      </c>
      <c r="B9252" s="3" t="s">
        <v>54</v>
      </c>
      <c r="C9252" s="4" t="str">
        <f t="shared" si="819"/>
        <v>Tiền Giang</v>
      </c>
      <c r="D9252" s="3" t="s">
        <v>651</v>
      </c>
      <c r="E9252" s="4" t="str">
        <f t="shared" si="821"/>
        <v>Huyện Cái Bè</v>
      </c>
      <c r="F9252" s="3" t="s">
        <v>10011</v>
      </c>
      <c r="G9252" s="4" t="str">
        <f>HYPERLINK("https://diaocthongthai.com/xa-my-tan-cai-be/","Xã Mỹ Tân")</f>
        <v>Xã Mỹ Tân</v>
      </c>
    </row>
    <row r="9253" spans="1:7" x14ac:dyDescent="0.25">
      <c r="A9253" s="2">
        <v>9252</v>
      </c>
      <c r="B9253" s="3" t="s">
        <v>54</v>
      </c>
      <c r="C9253" s="4" t="str">
        <f t="shared" ref="C9253:C9284" si="822">HYPERLINK("https://diaocthongthai.com/ban-do-tien-giang/","Tiền Giang")</f>
        <v>Tiền Giang</v>
      </c>
      <c r="D9253" s="3" t="s">
        <v>651</v>
      </c>
      <c r="E9253" s="4" t="str">
        <f t="shared" si="821"/>
        <v>Huyện Cái Bè</v>
      </c>
      <c r="F9253" s="3" t="s">
        <v>10012</v>
      </c>
      <c r="G9253" s="4" t="str">
        <f>HYPERLINK("https://diaocthongthai.com/xa-my-loi-b-cai-be/","Xã Mỹ Lợi B")</f>
        <v>Xã Mỹ Lợi B</v>
      </c>
    </row>
    <row r="9254" spans="1:7" x14ac:dyDescent="0.25">
      <c r="A9254" s="2">
        <v>9253</v>
      </c>
      <c r="B9254" s="3" t="s">
        <v>54</v>
      </c>
      <c r="C9254" s="4" t="str">
        <f t="shared" si="822"/>
        <v>Tiền Giang</v>
      </c>
      <c r="D9254" s="3" t="s">
        <v>651</v>
      </c>
      <c r="E9254" s="4" t="str">
        <f t="shared" si="821"/>
        <v>Huyện Cái Bè</v>
      </c>
      <c r="F9254" s="3" t="s">
        <v>10013</v>
      </c>
      <c r="G9254" s="4" t="str">
        <f>HYPERLINK("https://diaocthongthai.com/xa-thien-trung-cai-be/","Xã Thiện Trung")</f>
        <v>Xã Thiện Trung</v>
      </c>
    </row>
    <row r="9255" spans="1:7" x14ac:dyDescent="0.25">
      <c r="A9255" s="2">
        <v>9254</v>
      </c>
      <c r="B9255" s="3" t="s">
        <v>54</v>
      </c>
      <c r="C9255" s="4" t="str">
        <f t="shared" si="822"/>
        <v>Tiền Giang</v>
      </c>
      <c r="D9255" s="3" t="s">
        <v>651</v>
      </c>
      <c r="E9255" s="4" t="str">
        <f t="shared" si="821"/>
        <v>Huyện Cái Bè</v>
      </c>
      <c r="F9255" s="3" t="s">
        <v>10014</v>
      </c>
      <c r="G9255" s="4" t="str">
        <f>HYPERLINK("https://diaocthongthai.com/xa-my-hoi-cai-be/","Xã Mỹ Hội")</f>
        <v>Xã Mỹ Hội</v>
      </c>
    </row>
    <row r="9256" spans="1:7" x14ac:dyDescent="0.25">
      <c r="A9256" s="2">
        <v>9255</v>
      </c>
      <c r="B9256" s="3" t="s">
        <v>54</v>
      </c>
      <c r="C9256" s="4" t="str">
        <f t="shared" si="822"/>
        <v>Tiền Giang</v>
      </c>
      <c r="D9256" s="3" t="s">
        <v>651</v>
      </c>
      <c r="E9256" s="4" t="str">
        <f t="shared" si="821"/>
        <v>Huyện Cái Bè</v>
      </c>
      <c r="F9256" s="3" t="s">
        <v>10015</v>
      </c>
      <c r="G9256" s="4" t="str">
        <f>HYPERLINK("https://diaocthongthai.com/xa-an-cu-cai-be/","Xã An Cư")</f>
        <v>Xã An Cư</v>
      </c>
    </row>
    <row r="9257" spans="1:7" x14ac:dyDescent="0.25">
      <c r="A9257" s="2">
        <v>9256</v>
      </c>
      <c r="B9257" s="3" t="s">
        <v>54</v>
      </c>
      <c r="C9257" s="4" t="str">
        <f t="shared" si="822"/>
        <v>Tiền Giang</v>
      </c>
      <c r="D9257" s="3" t="s">
        <v>651</v>
      </c>
      <c r="E9257" s="4" t="str">
        <f t="shared" si="821"/>
        <v>Huyện Cái Bè</v>
      </c>
      <c r="F9257" s="3" t="s">
        <v>10016</v>
      </c>
      <c r="G9257" s="4" t="str">
        <f>HYPERLINK("https://diaocthongthai.com/xa-hau-thanh-cai-be/","Xã Hậu Thành")</f>
        <v>Xã Hậu Thành</v>
      </c>
    </row>
    <row r="9258" spans="1:7" x14ac:dyDescent="0.25">
      <c r="A9258" s="2">
        <v>9257</v>
      </c>
      <c r="B9258" s="3" t="s">
        <v>54</v>
      </c>
      <c r="C9258" s="4" t="str">
        <f t="shared" si="822"/>
        <v>Tiền Giang</v>
      </c>
      <c r="D9258" s="3" t="s">
        <v>651</v>
      </c>
      <c r="E9258" s="4" t="str">
        <f t="shared" si="821"/>
        <v>Huyện Cái Bè</v>
      </c>
      <c r="F9258" s="3" t="s">
        <v>10017</v>
      </c>
      <c r="G9258" s="4" t="str">
        <f>HYPERLINK("https://diaocthongthai.com/xa-my-loi-a-cai-be/","Xã Mỹ Lợi A")</f>
        <v>Xã Mỹ Lợi A</v>
      </c>
    </row>
    <row r="9259" spans="1:7" x14ac:dyDescent="0.25">
      <c r="A9259" s="2">
        <v>9258</v>
      </c>
      <c r="B9259" s="3" t="s">
        <v>54</v>
      </c>
      <c r="C9259" s="4" t="str">
        <f t="shared" si="822"/>
        <v>Tiền Giang</v>
      </c>
      <c r="D9259" s="3" t="s">
        <v>651</v>
      </c>
      <c r="E9259" s="4" t="str">
        <f t="shared" si="821"/>
        <v>Huyện Cái Bè</v>
      </c>
      <c r="F9259" s="3" t="s">
        <v>10018</v>
      </c>
      <c r="G9259" s="4" t="str">
        <f>HYPERLINK("https://diaocthongthai.com/xa-hoa-khanh-cai-be/","Xã Hòa Khánh")</f>
        <v>Xã Hòa Khánh</v>
      </c>
    </row>
    <row r="9260" spans="1:7" x14ac:dyDescent="0.25">
      <c r="A9260" s="2">
        <v>9259</v>
      </c>
      <c r="B9260" s="3" t="s">
        <v>54</v>
      </c>
      <c r="C9260" s="4" t="str">
        <f t="shared" si="822"/>
        <v>Tiền Giang</v>
      </c>
      <c r="D9260" s="3" t="s">
        <v>651</v>
      </c>
      <c r="E9260" s="4" t="str">
        <f t="shared" si="821"/>
        <v>Huyện Cái Bè</v>
      </c>
      <c r="F9260" s="3" t="s">
        <v>10019</v>
      </c>
      <c r="G9260" s="4" t="str">
        <f>HYPERLINK("https://diaocthongthai.com/xa-thien-tri-cai-be/","Xã Thiện Trí")</f>
        <v>Xã Thiện Trí</v>
      </c>
    </row>
    <row r="9261" spans="1:7" x14ac:dyDescent="0.25">
      <c r="A9261" s="2">
        <v>9260</v>
      </c>
      <c r="B9261" s="3" t="s">
        <v>54</v>
      </c>
      <c r="C9261" s="4" t="str">
        <f t="shared" si="822"/>
        <v>Tiền Giang</v>
      </c>
      <c r="D9261" s="3" t="s">
        <v>651</v>
      </c>
      <c r="E9261" s="4" t="str">
        <f t="shared" si="821"/>
        <v>Huyện Cái Bè</v>
      </c>
      <c r="F9261" s="3" t="s">
        <v>10020</v>
      </c>
      <c r="G9261" s="4" t="str">
        <f>HYPERLINK("https://diaocthongthai.com/xa-my-duc-dong-cai-be/","Xã Mỹ Đức Đông")</f>
        <v>Xã Mỹ Đức Đông</v>
      </c>
    </row>
    <row r="9262" spans="1:7" x14ac:dyDescent="0.25">
      <c r="A9262" s="2">
        <v>9261</v>
      </c>
      <c r="B9262" s="3" t="s">
        <v>54</v>
      </c>
      <c r="C9262" s="4" t="str">
        <f t="shared" si="822"/>
        <v>Tiền Giang</v>
      </c>
      <c r="D9262" s="3" t="s">
        <v>651</v>
      </c>
      <c r="E9262" s="4" t="str">
        <f t="shared" si="821"/>
        <v>Huyện Cái Bè</v>
      </c>
      <c r="F9262" s="3" t="s">
        <v>10021</v>
      </c>
      <c r="G9262" s="4" t="str">
        <f>HYPERLINK("https://diaocthongthai.com/xa-my-duc-tay-cai-be/","Xã Mỹ Đức Tây")</f>
        <v>Xã Mỹ Đức Tây</v>
      </c>
    </row>
    <row r="9263" spans="1:7" x14ac:dyDescent="0.25">
      <c r="A9263" s="2">
        <v>9262</v>
      </c>
      <c r="B9263" s="3" t="s">
        <v>54</v>
      </c>
      <c r="C9263" s="4" t="str">
        <f t="shared" si="822"/>
        <v>Tiền Giang</v>
      </c>
      <c r="D9263" s="3" t="s">
        <v>651</v>
      </c>
      <c r="E9263" s="4" t="str">
        <f t="shared" si="821"/>
        <v>Huyện Cái Bè</v>
      </c>
      <c r="F9263" s="3" t="s">
        <v>10022</v>
      </c>
      <c r="G9263" s="4" t="str">
        <f>HYPERLINK("https://diaocthongthai.com/xa-dong-hoa-hiep-cai-be/","Xã Đông Hòa Hiệp")</f>
        <v>Xã Đông Hòa Hiệp</v>
      </c>
    </row>
    <row r="9264" spans="1:7" x14ac:dyDescent="0.25">
      <c r="A9264" s="2">
        <v>9263</v>
      </c>
      <c r="B9264" s="3" t="s">
        <v>54</v>
      </c>
      <c r="C9264" s="4" t="str">
        <f t="shared" si="822"/>
        <v>Tiền Giang</v>
      </c>
      <c r="D9264" s="3" t="s">
        <v>651</v>
      </c>
      <c r="E9264" s="4" t="str">
        <f t="shared" si="821"/>
        <v>Huyện Cái Bè</v>
      </c>
      <c r="F9264" s="3" t="s">
        <v>10023</v>
      </c>
      <c r="G9264" s="4" t="str">
        <f>HYPERLINK("https://diaocthongthai.com/xa-an-thai-dong-cai-be/","Xã An Thái Đông")</f>
        <v>Xã An Thái Đông</v>
      </c>
    </row>
    <row r="9265" spans="1:7" x14ac:dyDescent="0.25">
      <c r="A9265" s="2">
        <v>9264</v>
      </c>
      <c r="B9265" s="3" t="s">
        <v>54</v>
      </c>
      <c r="C9265" s="4" t="str">
        <f t="shared" si="822"/>
        <v>Tiền Giang</v>
      </c>
      <c r="D9265" s="3" t="s">
        <v>651</v>
      </c>
      <c r="E9265" s="4" t="str">
        <f t="shared" si="821"/>
        <v>Huyện Cái Bè</v>
      </c>
      <c r="F9265" s="3" t="s">
        <v>10024</v>
      </c>
      <c r="G9265" s="4" t="str">
        <f>HYPERLINK("https://diaocthongthai.com/xa-tan-hung-cai-be/","Xã Tân Hưng")</f>
        <v>Xã Tân Hưng</v>
      </c>
    </row>
    <row r="9266" spans="1:7" x14ac:dyDescent="0.25">
      <c r="A9266" s="2">
        <v>9265</v>
      </c>
      <c r="B9266" s="3" t="s">
        <v>54</v>
      </c>
      <c r="C9266" s="4" t="str">
        <f t="shared" si="822"/>
        <v>Tiền Giang</v>
      </c>
      <c r="D9266" s="3" t="s">
        <v>651</v>
      </c>
      <c r="E9266" s="4" t="str">
        <f t="shared" si="821"/>
        <v>Huyện Cái Bè</v>
      </c>
      <c r="F9266" s="3" t="s">
        <v>10025</v>
      </c>
      <c r="G9266" s="4" t="str">
        <f>HYPERLINK("https://diaocthongthai.com/xa-my-luong-cai-be/","Xã Mỹ Lương")</f>
        <v>Xã Mỹ Lương</v>
      </c>
    </row>
    <row r="9267" spans="1:7" x14ac:dyDescent="0.25">
      <c r="A9267" s="2">
        <v>9266</v>
      </c>
      <c r="B9267" s="3" t="s">
        <v>54</v>
      </c>
      <c r="C9267" s="4" t="str">
        <f t="shared" si="822"/>
        <v>Tiền Giang</v>
      </c>
      <c r="D9267" s="3" t="s">
        <v>651</v>
      </c>
      <c r="E9267" s="4" t="str">
        <f t="shared" si="821"/>
        <v>Huyện Cái Bè</v>
      </c>
      <c r="F9267" s="3" t="s">
        <v>10026</v>
      </c>
      <c r="G9267" s="4" t="str">
        <f>HYPERLINK("https://diaocthongthai.com/xa-tan-thanh-cai-be/","Xã Tân Thanh")</f>
        <v>Xã Tân Thanh</v>
      </c>
    </row>
    <row r="9268" spans="1:7" x14ac:dyDescent="0.25">
      <c r="A9268" s="2">
        <v>9267</v>
      </c>
      <c r="B9268" s="3" t="s">
        <v>54</v>
      </c>
      <c r="C9268" s="4" t="str">
        <f t="shared" si="822"/>
        <v>Tiền Giang</v>
      </c>
      <c r="D9268" s="3" t="s">
        <v>651</v>
      </c>
      <c r="E9268" s="4" t="str">
        <f t="shared" si="821"/>
        <v>Huyện Cái Bè</v>
      </c>
      <c r="F9268" s="3" t="s">
        <v>10027</v>
      </c>
      <c r="G9268" s="4" t="str">
        <f>HYPERLINK("https://diaocthongthai.com/xa-an-thai-trung-cai-be/","Xã An Thái Trung")</f>
        <v>Xã An Thái Trung</v>
      </c>
    </row>
    <row r="9269" spans="1:7" x14ac:dyDescent="0.25">
      <c r="A9269" s="2">
        <v>9268</v>
      </c>
      <c r="B9269" s="3" t="s">
        <v>54</v>
      </c>
      <c r="C9269" s="4" t="str">
        <f t="shared" si="822"/>
        <v>Tiền Giang</v>
      </c>
      <c r="D9269" s="3" t="s">
        <v>651</v>
      </c>
      <c r="E9269" s="4" t="str">
        <f t="shared" si="821"/>
        <v>Huyện Cái Bè</v>
      </c>
      <c r="F9269" s="3" t="s">
        <v>10028</v>
      </c>
      <c r="G9269" s="4" t="str">
        <f>HYPERLINK("https://diaocthongthai.com/xa-an-huu-cai-be/","Xã An Hữu")</f>
        <v>Xã An Hữu</v>
      </c>
    </row>
    <row r="9270" spans="1:7" x14ac:dyDescent="0.25">
      <c r="A9270" s="2">
        <v>9269</v>
      </c>
      <c r="B9270" s="3" t="s">
        <v>54</v>
      </c>
      <c r="C9270" s="4" t="str">
        <f t="shared" si="822"/>
        <v>Tiền Giang</v>
      </c>
      <c r="D9270" s="3" t="s">
        <v>651</v>
      </c>
      <c r="E9270" s="4" t="str">
        <f t="shared" si="821"/>
        <v>Huyện Cái Bè</v>
      </c>
      <c r="F9270" s="3" t="s">
        <v>10029</v>
      </c>
      <c r="G9270" s="4" t="str">
        <f>HYPERLINK("https://diaocthongthai.com/xa-hoa-hung-cai-be/","Xã Hòa Hưng")</f>
        <v>Xã Hòa Hưng</v>
      </c>
    </row>
    <row r="9271" spans="1:7" x14ac:dyDescent="0.25">
      <c r="A9271" s="2">
        <v>9270</v>
      </c>
      <c r="B9271" s="3" t="s">
        <v>54</v>
      </c>
      <c r="C9271" s="4" t="str">
        <f t="shared" si="822"/>
        <v>Tiền Giang</v>
      </c>
      <c r="D9271" s="3" t="s">
        <v>652</v>
      </c>
      <c r="E9271" s="4" t="str">
        <f t="shared" ref="E9271:E9286" si="823">HYPERLINK("https://diaocthongthai.com/ban-do-huyen-cai-lay-tien-giang/","Huyện Cai Lậy")</f>
        <v>Huyện Cai Lậy</v>
      </c>
      <c r="F9271" s="3" t="s">
        <v>10030</v>
      </c>
      <c r="G9271" s="4" t="str">
        <f>HYPERLINK("https://diaocthongthai.com/xa-thanh-loc-cai-lay-tien-giang/","Xã Thạnh Lộc")</f>
        <v>Xã Thạnh Lộc</v>
      </c>
    </row>
    <row r="9272" spans="1:7" x14ac:dyDescent="0.25">
      <c r="A9272" s="2">
        <v>9271</v>
      </c>
      <c r="B9272" s="3" t="s">
        <v>54</v>
      </c>
      <c r="C9272" s="4" t="str">
        <f t="shared" si="822"/>
        <v>Tiền Giang</v>
      </c>
      <c r="D9272" s="3" t="s">
        <v>652</v>
      </c>
      <c r="E9272" s="4" t="str">
        <f t="shared" si="823"/>
        <v>Huyện Cai Lậy</v>
      </c>
      <c r="F9272" s="3" t="s">
        <v>10031</v>
      </c>
      <c r="G9272" s="4" t="str">
        <f>HYPERLINK("https://diaocthongthai.com/xa-my-thanh-bac-cai-lay-tien-giang/","Xã Mỹ Thành Bắc")</f>
        <v>Xã Mỹ Thành Bắc</v>
      </c>
    </row>
    <row r="9273" spans="1:7" x14ac:dyDescent="0.25">
      <c r="A9273" s="2">
        <v>9272</v>
      </c>
      <c r="B9273" s="3" t="s">
        <v>54</v>
      </c>
      <c r="C9273" s="4" t="str">
        <f t="shared" si="822"/>
        <v>Tiền Giang</v>
      </c>
      <c r="D9273" s="3" t="s">
        <v>652</v>
      </c>
      <c r="E9273" s="4" t="str">
        <f t="shared" si="823"/>
        <v>Huyện Cai Lậy</v>
      </c>
      <c r="F9273" s="3" t="s">
        <v>10032</v>
      </c>
      <c r="G9273" s="4" t="str">
        <f>HYPERLINK("https://diaocthongthai.com/xa-phu-cuong-cai-lay-tien-giang/","Xã Phú Cường")</f>
        <v>Xã Phú Cường</v>
      </c>
    </row>
    <row r="9274" spans="1:7" x14ac:dyDescent="0.25">
      <c r="A9274" s="2">
        <v>9273</v>
      </c>
      <c r="B9274" s="3" t="s">
        <v>54</v>
      </c>
      <c r="C9274" s="4" t="str">
        <f t="shared" si="822"/>
        <v>Tiền Giang</v>
      </c>
      <c r="D9274" s="3" t="s">
        <v>652</v>
      </c>
      <c r="E9274" s="4" t="str">
        <f t="shared" si="823"/>
        <v>Huyện Cai Lậy</v>
      </c>
      <c r="F9274" s="3" t="s">
        <v>10033</v>
      </c>
      <c r="G9274" s="4" t="str">
        <f>HYPERLINK("https://diaocthongthai.com/xa-my-thanh-nam-cai-lay-tien-giang/","Xã Mỹ Thành Nam")</f>
        <v>Xã Mỹ Thành Nam</v>
      </c>
    </row>
    <row r="9275" spans="1:7" x14ac:dyDescent="0.25">
      <c r="A9275" s="2">
        <v>9274</v>
      </c>
      <c r="B9275" s="3" t="s">
        <v>54</v>
      </c>
      <c r="C9275" s="4" t="str">
        <f t="shared" si="822"/>
        <v>Tiền Giang</v>
      </c>
      <c r="D9275" s="3" t="s">
        <v>652</v>
      </c>
      <c r="E9275" s="4" t="str">
        <f t="shared" si="823"/>
        <v>Huyện Cai Lậy</v>
      </c>
      <c r="F9275" s="3" t="s">
        <v>10034</v>
      </c>
      <c r="G9275" s="4" t="str">
        <f>HYPERLINK("https://diaocthongthai.com/xa-phu-nhuan-cai-lay-tien-giang/","Xã Phú Nhuận")</f>
        <v>Xã Phú Nhuận</v>
      </c>
    </row>
    <row r="9276" spans="1:7" x14ac:dyDescent="0.25">
      <c r="A9276" s="2">
        <v>9275</v>
      </c>
      <c r="B9276" s="3" t="s">
        <v>54</v>
      </c>
      <c r="C9276" s="4" t="str">
        <f t="shared" si="822"/>
        <v>Tiền Giang</v>
      </c>
      <c r="D9276" s="3" t="s">
        <v>652</v>
      </c>
      <c r="E9276" s="4" t="str">
        <f t="shared" si="823"/>
        <v>Huyện Cai Lậy</v>
      </c>
      <c r="F9276" s="3" t="s">
        <v>10035</v>
      </c>
      <c r="G9276" s="4" t="str">
        <f>HYPERLINK("https://diaocthongthai.com/xa-binh-phu-cai-lay-tien-giang/","Xã Bình Phú")</f>
        <v>Xã Bình Phú</v>
      </c>
    </row>
    <row r="9277" spans="1:7" x14ac:dyDescent="0.25">
      <c r="A9277" s="2">
        <v>9276</v>
      </c>
      <c r="B9277" s="3" t="s">
        <v>54</v>
      </c>
      <c r="C9277" s="4" t="str">
        <f t="shared" si="822"/>
        <v>Tiền Giang</v>
      </c>
      <c r="D9277" s="3" t="s">
        <v>652</v>
      </c>
      <c r="E9277" s="4" t="str">
        <f t="shared" si="823"/>
        <v>Huyện Cai Lậy</v>
      </c>
      <c r="F9277" s="3" t="s">
        <v>10036</v>
      </c>
      <c r="G9277" s="4" t="str">
        <f>HYPERLINK("https://diaocthongthai.com/xa-cam-son-cai-lay-tien-giang/","Xã Cẩm Sơn")</f>
        <v>Xã Cẩm Sơn</v>
      </c>
    </row>
    <row r="9278" spans="1:7" x14ac:dyDescent="0.25">
      <c r="A9278" s="2">
        <v>9277</v>
      </c>
      <c r="B9278" s="3" t="s">
        <v>54</v>
      </c>
      <c r="C9278" s="4" t="str">
        <f t="shared" si="822"/>
        <v>Tiền Giang</v>
      </c>
      <c r="D9278" s="3" t="s">
        <v>652</v>
      </c>
      <c r="E9278" s="4" t="str">
        <f t="shared" si="823"/>
        <v>Huyện Cai Lậy</v>
      </c>
      <c r="F9278" s="3" t="s">
        <v>10037</v>
      </c>
      <c r="G9278" s="4" t="str">
        <f>HYPERLINK("https://diaocthongthai.com/xa-phu-an-cai-lay-tien-giang/","Xã Phú An")</f>
        <v>Xã Phú An</v>
      </c>
    </row>
    <row r="9279" spans="1:7" x14ac:dyDescent="0.25">
      <c r="A9279" s="2">
        <v>9278</v>
      </c>
      <c r="B9279" s="3" t="s">
        <v>54</v>
      </c>
      <c r="C9279" s="4" t="str">
        <f t="shared" si="822"/>
        <v>Tiền Giang</v>
      </c>
      <c r="D9279" s="3" t="s">
        <v>652</v>
      </c>
      <c r="E9279" s="4" t="str">
        <f t="shared" si="823"/>
        <v>Huyện Cai Lậy</v>
      </c>
      <c r="F9279" s="3" t="s">
        <v>10038</v>
      </c>
      <c r="G9279" s="4" t="str">
        <f>HYPERLINK("https://diaocthongthai.com/xa-my-long-cai-lay-tien-giang/","Xã Mỹ Long")</f>
        <v>Xã Mỹ Long</v>
      </c>
    </row>
    <row r="9280" spans="1:7" x14ac:dyDescent="0.25">
      <c r="A9280" s="2">
        <v>9279</v>
      </c>
      <c r="B9280" s="3" t="s">
        <v>54</v>
      </c>
      <c r="C9280" s="4" t="str">
        <f t="shared" si="822"/>
        <v>Tiền Giang</v>
      </c>
      <c r="D9280" s="3" t="s">
        <v>652</v>
      </c>
      <c r="E9280" s="4" t="str">
        <f t="shared" si="823"/>
        <v>Huyện Cai Lậy</v>
      </c>
      <c r="F9280" s="3" t="s">
        <v>10039</v>
      </c>
      <c r="G9280" s="4" t="str">
        <f>HYPERLINK("https://diaocthongthai.com/xa-long-tien-cai-lay-tien-giang/","Xã Long Tiên")</f>
        <v>Xã Long Tiên</v>
      </c>
    </row>
    <row r="9281" spans="1:7" x14ac:dyDescent="0.25">
      <c r="A9281" s="2">
        <v>9280</v>
      </c>
      <c r="B9281" s="3" t="s">
        <v>54</v>
      </c>
      <c r="C9281" s="4" t="str">
        <f t="shared" si="822"/>
        <v>Tiền Giang</v>
      </c>
      <c r="D9281" s="3" t="s">
        <v>652</v>
      </c>
      <c r="E9281" s="4" t="str">
        <f t="shared" si="823"/>
        <v>Huyện Cai Lậy</v>
      </c>
      <c r="F9281" s="3" t="s">
        <v>10040</v>
      </c>
      <c r="G9281" s="4" t="str">
        <f>HYPERLINK("https://diaocthongthai.com/xa-hiep-duc-cai-lay-tien-giang/","Xã Hiệp Đức")</f>
        <v>Xã Hiệp Đức</v>
      </c>
    </row>
    <row r="9282" spans="1:7" x14ac:dyDescent="0.25">
      <c r="A9282" s="2">
        <v>9281</v>
      </c>
      <c r="B9282" s="3" t="s">
        <v>54</v>
      </c>
      <c r="C9282" s="4" t="str">
        <f t="shared" si="822"/>
        <v>Tiền Giang</v>
      </c>
      <c r="D9282" s="3" t="s">
        <v>652</v>
      </c>
      <c r="E9282" s="4" t="str">
        <f t="shared" si="823"/>
        <v>Huyện Cai Lậy</v>
      </c>
      <c r="F9282" s="3" t="s">
        <v>10041</v>
      </c>
      <c r="G9282" s="4" t="str">
        <f>HYPERLINK("https://diaocthongthai.com/xa-long-trung-cai-lay-tien-giang/","Xã Long Trung")</f>
        <v>Xã Long Trung</v>
      </c>
    </row>
    <row r="9283" spans="1:7" x14ac:dyDescent="0.25">
      <c r="A9283" s="2">
        <v>9282</v>
      </c>
      <c r="B9283" s="3" t="s">
        <v>54</v>
      </c>
      <c r="C9283" s="4" t="str">
        <f t="shared" si="822"/>
        <v>Tiền Giang</v>
      </c>
      <c r="D9283" s="3" t="s">
        <v>652</v>
      </c>
      <c r="E9283" s="4" t="str">
        <f t="shared" si="823"/>
        <v>Huyện Cai Lậy</v>
      </c>
      <c r="F9283" s="3" t="s">
        <v>10042</v>
      </c>
      <c r="G9283" s="4" t="str">
        <f>HYPERLINK("https://diaocthongthai.com/xa-hoi-xuan-cai-lay-tien-giang/","Xã Hội Xuân")</f>
        <v>Xã Hội Xuân</v>
      </c>
    </row>
    <row r="9284" spans="1:7" x14ac:dyDescent="0.25">
      <c r="A9284" s="2">
        <v>9283</v>
      </c>
      <c r="B9284" s="3" t="s">
        <v>54</v>
      </c>
      <c r="C9284" s="4" t="str">
        <f t="shared" si="822"/>
        <v>Tiền Giang</v>
      </c>
      <c r="D9284" s="3" t="s">
        <v>652</v>
      </c>
      <c r="E9284" s="4" t="str">
        <f t="shared" si="823"/>
        <v>Huyện Cai Lậy</v>
      </c>
      <c r="F9284" s="3" t="s">
        <v>10043</v>
      </c>
      <c r="G9284" s="4" t="str">
        <f>HYPERLINK("https://diaocthongthai.com/xa-tan-phong-cai-lay-tien-giang/","Xã Tân Phong")</f>
        <v>Xã Tân Phong</v>
      </c>
    </row>
    <row r="9285" spans="1:7" x14ac:dyDescent="0.25">
      <c r="A9285" s="2">
        <v>9284</v>
      </c>
      <c r="B9285" s="3" t="s">
        <v>54</v>
      </c>
      <c r="C9285" s="4" t="str">
        <f t="shared" ref="C9285:C9316" si="824">HYPERLINK("https://diaocthongthai.com/ban-do-tien-giang/","Tiền Giang")</f>
        <v>Tiền Giang</v>
      </c>
      <c r="D9285" s="3" t="s">
        <v>652</v>
      </c>
      <c r="E9285" s="4" t="str">
        <f t="shared" si="823"/>
        <v>Huyện Cai Lậy</v>
      </c>
      <c r="F9285" s="3" t="s">
        <v>10044</v>
      </c>
      <c r="G9285" s="4" t="str">
        <f>HYPERLINK("https://diaocthongthai.com/xa-tam-binh-cai-lay-tien-giang/","Xã Tam Bình")</f>
        <v>Xã Tam Bình</v>
      </c>
    </row>
    <row r="9286" spans="1:7" x14ac:dyDescent="0.25">
      <c r="A9286" s="2">
        <v>9285</v>
      </c>
      <c r="B9286" s="3" t="s">
        <v>54</v>
      </c>
      <c r="C9286" s="4" t="str">
        <f t="shared" si="824"/>
        <v>Tiền Giang</v>
      </c>
      <c r="D9286" s="3" t="s">
        <v>652</v>
      </c>
      <c r="E9286" s="4" t="str">
        <f t="shared" si="823"/>
        <v>Huyện Cai Lậy</v>
      </c>
      <c r="F9286" s="3" t="s">
        <v>10045</v>
      </c>
      <c r="G9286" s="4" t="str">
        <f>HYPERLINK("https://diaocthongthai.com/xa-ngu-hiep-cai-lay-tien-giang/","Xã Ngũ Hiệp")</f>
        <v>Xã Ngũ Hiệp</v>
      </c>
    </row>
    <row r="9287" spans="1:7" x14ac:dyDescent="0.25">
      <c r="A9287" s="2">
        <v>9286</v>
      </c>
      <c r="B9287" s="3" t="s">
        <v>54</v>
      </c>
      <c r="C9287" s="4" t="str">
        <f t="shared" si="824"/>
        <v>Tiền Giang</v>
      </c>
      <c r="D9287" s="3" t="s">
        <v>653</v>
      </c>
      <c r="E9287" s="4" t="str">
        <f t="shared" ref="E9287:E9309" si="825">HYPERLINK("https://diaocthongthai.com/ban-do-huyen-chau-thanh-tien-giang/","Huyện Châu Thành")</f>
        <v>Huyện Châu Thành</v>
      </c>
      <c r="F9287" s="3" t="s">
        <v>10046</v>
      </c>
      <c r="G9287" s="4" t="str">
        <f>HYPERLINK("https://diaocthongthai.com/thi-tran-tan-hiep-chau-thanh-tien-giang/","Thị trấn Tân Hiệp")</f>
        <v>Thị trấn Tân Hiệp</v>
      </c>
    </row>
    <row r="9288" spans="1:7" x14ac:dyDescent="0.25">
      <c r="A9288" s="2">
        <v>9287</v>
      </c>
      <c r="B9288" s="3" t="s">
        <v>54</v>
      </c>
      <c r="C9288" s="4" t="str">
        <f t="shared" si="824"/>
        <v>Tiền Giang</v>
      </c>
      <c r="D9288" s="3" t="s">
        <v>653</v>
      </c>
      <c r="E9288" s="4" t="str">
        <f t="shared" si="825"/>
        <v>Huyện Châu Thành</v>
      </c>
      <c r="F9288" s="3" t="s">
        <v>10047</v>
      </c>
      <c r="G9288" s="4" t="str">
        <f>HYPERLINK("https://diaocthongthai.com/xa-tan-hoi-dong-chau-thanh-tien-giang/","Xã Tân Hội Đông")</f>
        <v>Xã Tân Hội Đông</v>
      </c>
    </row>
    <row r="9289" spans="1:7" x14ac:dyDescent="0.25">
      <c r="A9289" s="2">
        <v>9288</v>
      </c>
      <c r="B9289" s="3" t="s">
        <v>54</v>
      </c>
      <c r="C9289" s="4" t="str">
        <f t="shared" si="824"/>
        <v>Tiền Giang</v>
      </c>
      <c r="D9289" s="3" t="s">
        <v>653</v>
      </c>
      <c r="E9289" s="4" t="str">
        <f t="shared" si="825"/>
        <v>Huyện Châu Thành</v>
      </c>
      <c r="F9289" s="3" t="s">
        <v>10048</v>
      </c>
      <c r="G9289" s="4" t="str">
        <f>HYPERLINK("https://diaocthongthai.com/xa-tan-huong-chau-thanh-tien-giang/","Xã Tân Hương")</f>
        <v>Xã Tân Hương</v>
      </c>
    </row>
    <row r="9290" spans="1:7" x14ac:dyDescent="0.25">
      <c r="A9290" s="2">
        <v>9289</v>
      </c>
      <c r="B9290" s="3" t="s">
        <v>54</v>
      </c>
      <c r="C9290" s="4" t="str">
        <f t="shared" si="824"/>
        <v>Tiền Giang</v>
      </c>
      <c r="D9290" s="3" t="s">
        <v>653</v>
      </c>
      <c r="E9290" s="4" t="str">
        <f t="shared" si="825"/>
        <v>Huyện Châu Thành</v>
      </c>
      <c r="F9290" s="3" t="s">
        <v>10049</v>
      </c>
      <c r="G9290" s="4" t="str">
        <f>HYPERLINK("https://diaocthongthai.com/xa-tan-ly-dong-chau-thanh-tien-giang/","Xã Tân Lý Đông")</f>
        <v>Xã Tân Lý Đông</v>
      </c>
    </row>
    <row r="9291" spans="1:7" x14ac:dyDescent="0.25">
      <c r="A9291" s="2">
        <v>9290</v>
      </c>
      <c r="B9291" s="3" t="s">
        <v>54</v>
      </c>
      <c r="C9291" s="4" t="str">
        <f t="shared" si="824"/>
        <v>Tiền Giang</v>
      </c>
      <c r="D9291" s="3" t="s">
        <v>653</v>
      </c>
      <c r="E9291" s="4" t="str">
        <f t="shared" si="825"/>
        <v>Huyện Châu Thành</v>
      </c>
      <c r="F9291" s="3" t="s">
        <v>10050</v>
      </c>
      <c r="G9291" s="4" t="str">
        <f>HYPERLINK("https://diaocthongthai.com/xa-tan-ly-tay-chau-thanh-tien-giang/","Xã Tân Lý Tây")</f>
        <v>Xã Tân Lý Tây</v>
      </c>
    </row>
    <row r="9292" spans="1:7" x14ac:dyDescent="0.25">
      <c r="A9292" s="2">
        <v>9291</v>
      </c>
      <c r="B9292" s="3" t="s">
        <v>54</v>
      </c>
      <c r="C9292" s="4" t="str">
        <f t="shared" si="824"/>
        <v>Tiền Giang</v>
      </c>
      <c r="D9292" s="3" t="s">
        <v>653</v>
      </c>
      <c r="E9292" s="4" t="str">
        <f t="shared" si="825"/>
        <v>Huyện Châu Thành</v>
      </c>
      <c r="F9292" s="3" t="s">
        <v>10051</v>
      </c>
      <c r="G9292" s="4" t="str">
        <f>HYPERLINK("https://diaocthongthai.com/xa-than-cuu-nghia-chau-thanh-tien-giang/","Xã Thân Cửu Nghĩa")</f>
        <v>Xã Thân Cửu Nghĩa</v>
      </c>
    </row>
    <row r="9293" spans="1:7" x14ac:dyDescent="0.25">
      <c r="A9293" s="2">
        <v>9292</v>
      </c>
      <c r="B9293" s="3" t="s">
        <v>54</v>
      </c>
      <c r="C9293" s="4" t="str">
        <f t="shared" si="824"/>
        <v>Tiền Giang</v>
      </c>
      <c r="D9293" s="3" t="s">
        <v>653</v>
      </c>
      <c r="E9293" s="4" t="str">
        <f t="shared" si="825"/>
        <v>Huyện Châu Thành</v>
      </c>
      <c r="F9293" s="3" t="s">
        <v>10052</v>
      </c>
      <c r="G9293" s="4" t="str">
        <f>HYPERLINK("https://diaocthongthai.com/xa-tam-hiep-chau-thanh-tien-giang/","Xã Tam Hiệp")</f>
        <v>Xã Tam Hiệp</v>
      </c>
    </row>
    <row r="9294" spans="1:7" x14ac:dyDescent="0.25">
      <c r="A9294" s="2">
        <v>9293</v>
      </c>
      <c r="B9294" s="3" t="s">
        <v>54</v>
      </c>
      <c r="C9294" s="4" t="str">
        <f t="shared" si="824"/>
        <v>Tiền Giang</v>
      </c>
      <c r="D9294" s="3" t="s">
        <v>653</v>
      </c>
      <c r="E9294" s="4" t="str">
        <f t="shared" si="825"/>
        <v>Huyện Châu Thành</v>
      </c>
      <c r="F9294" s="3" t="s">
        <v>10053</v>
      </c>
      <c r="G9294" s="4" t="str">
        <f>HYPERLINK("https://diaocthongthai.com/xa-diem-hy-chau-thanh-tien-giang/","Xã Điềm Hy")</f>
        <v>Xã Điềm Hy</v>
      </c>
    </row>
    <row r="9295" spans="1:7" x14ac:dyDescent="0.25">
      <c r="A9295" s="2">
        <v>9294</v>
      </c>
      <c r="B9295" s="3" t="s">
        <v>54</v>
      </c>
      <c r="C9295" s="4" t="str">
        <f t="shared" si="824"/>
        <v>Tiền Giang</v>
      </c>
      <c r="D9295" s="3" t="s">
        <v>653</v>
      </c>
      <c r="E9295" s="4" t="str">
        <f t="shared" si="825"/>
        <v>Huyện Châu Thành</v>
      </c>
      <c r="F9295" s="3" t="s">
        <v>10054</v>
      </c>
      <c r="G9295" s="4" t="str">
        <f>HYPERLINK("https://diaocthongthai.com/xa-nhi-binh-chau-thanh-tien-giang/","Xã Nhị Bình")</f>
        <v>Xã Nhị Bình</v>
      </c>
    </row>
    <row r="9296" spans="1:7" x14ac:dyDescent="0.25">
      <c r="A9296" s="2">
        <v>9295</v>
      </c>
      <c r="B9296" s="3" t="s">
        <v>54</v>
      </c>
      <c r="C9296" s="4" t="str">
        <f t="shared" si="824"/>
        <v>Tiền Giang</v>
      </c>
      <c r="D9296" s="3" t="s">
        <v>653</v>
      </c>
      <c r="E9296" s="4" t="str">
        <f t="shared" si="825"/>
        <v>Huyện Châu Thành</v>
      </c>
      <c r="F9296" s="3" t="s">
        <v>10055</v>
      </c>
      <c r="G9296" s="4" t="str">
        <f>HYPERLINK("https://diaocthongthai.com/xa-duong-diem-chau-thanh-tien-giang/","Xã Dưỡng Điềm")</f>
        <v>Xã Dưỡng Điềm</v>
      </c>
    </row>
    <row r="9297" spans="1:7" x14ac:dyDescent="0.25">
      <c r="A9297" s="2">
        <v>9296</v>
      </c>
      <c r="B9297" s="3" t="s">
        <v>54</v>
      </c>
      <c r="C9297" s="4" t="str">
        <f t="shared" si="824"/>
        <v>Tiền Giang</v>
      </c>
      <c r="D9297" s="3" t="s">
        <v>653</v>
      </c>
      <c r="E9297" s="4" t="str">
        <f t="shared" si="825"/>
        <v>Huyện Châu Thành</v>
      </c>
      <c r="F9297" s="3" t="s">
        <v>10056</v>
      </c>
      <c r="G9297" s="4" t="str">
        <f>HYPERLINK("https://diaocthongthai.com/xa-dong-hoa-chau-thanh-tien-giang/","Xã Đông Hòa")</f>
        <v>Xã Đông Hòa</v>
      </c>
    </row>
    <row r="9298" spans="1:7" x14ac:dyDescent="0.25">
      <c r="A9298" s="2">
        <v>9297</v>
      </c>
      <c r="B9298" s="3" t="s">
        <v>54</v>
      </c>
      <c r="C9298" s="4" t="str">
        <f t="shared" si="824"/>
        <v>Tiền Giang</v>
      </c>
      <c r="D9298" s="3" t="s">
        <v>653</v>
      </c>
      <c r="E9298" s="4" t="str">
        <f t="shared" si="825"/>
        <v>Huyện Châu Thành</v>
      </c>
      <c r="F9298" s="3" t="s">
        <v>10057</v>
      </c>
      <c r="G9298" s="4" t="str">
        <f>HYPERLINK("https://diaocthongthai.com/xa-long-dinh-chau-thanh-tien-giang/","Xã Long Định")</f>
        <v>Xã Long Định</v>
      </c>
    </row>
    <row r="9299" spans="1:7" x14ac:dyDescent="0.25">
      <c r="A9299" s="2">
        <v>9298</v>
      </c>
      <c r="B9299" s="3" t="s">
        <v>54</v>
      </c>
      <c r="C9299" s="4" t="str">
        <f t="shared" si="824"/>
        <v>Tiền Giang</v>
      </c>
      <c r="D9299" s="3" t="s">
        <v>653</v>
      </c>
      <c r="E9299" s="4" t="str">
        <f t="shared" si="825"/>
        <v>Huyện Châu Thành</v>
      </c>
      <c r="F9299" s="3" t="s">
        <v>10058</v>
      </c>
      <c r="G9299" s="4" t="str">
        <f>HYPERLINK("https://diaocthongthai.com/xa-huu-dao-chau-thanh-tien-giang/","Xã Hữu Đạo")</f>
        <v>Xã Hữu Đạo</v>
      </c>
    </row>
    <row r="9300" spans="1:7" x14ac:dyDescent="0.25">
      <c r="A9300" s="2">
        <v>9299</v>
      </c>
      <c r="B9300" s="3" t="s">
        <v>54</v>
      </c>
      <c r="C9300" s="4" t="str">
        <f t="shared" si="824"/>
        <v>Tiền Giang</v>
      </c>
      <c r="D9300" s="3" t="s">
        <v>653</v>
      </c>
      <c r="E9300" s="4" t="str">
        <f t="shared" si="825"/>
        <v>Huyện Châu Thành</v>
      </c>
      <c r="F9300" s="3" t="s">
        <v>10059</v>
      </c>
      <c r="G9300" s="4" t="str">
        <f>HYPERLINK("https://diaocthongthai.com/xa-long-an-chau-thanh-tien-giang/","Xã Long An")</f>
        <v>Xã Long An</v>
      </c>
    </row>
    <row r="9301" spans="1:7" x14ac:dyDescent="0.25">
      <c r="A9301" s="2">
        <v>9300</v>
      </c>
      <c r="B9301" s="3" t="s">
        <v>54</v>
      </c>
      <c r="C9301" s="4" t="str">
        <f t="shared" si="824"/>
        <v>Tiền Giang</v>
      </c>
      <c r="D9301" s="3" t="s">
        <v>653</v>
      </c>
      <c r="E9301" s="4" t="str">
        <f t="shared" si="825"/>
        <v>Huyện Châu Thành</v>
      </c>
      <c r="F9301" s="3" t="s">
        <v>10060</v>
      </c>
      <c r="G9301" s="4" t="str">
        <f>HYPERLINK("https://diaocthongthai.com/xa-long-hung-chau-thanh-tien-giang/","Xã Long Hưng")</f>
        <v>Xã Long Hưng</v>
      </c>
    </row>
    <row r="9302" spans="1:7" x14ac:dyDescent="0.25">
      <c r="A9302" s="2">
        <v>9301</v>
      </c>
      <c r="B9302" s="3" t="s">
        <v>54</v>
      </c>
      <c r="C9302" s="4" t="str">
        <f t="shared" si="824"/>
        <v>Tiền Giang</v>
      </c>
      <c r="D9302" s="3" t="s">
        <v>653</v>
      </c>
      <c r="E9302" s="4" t="str">
        <f t="shared" si="825"/>
        <v>Huyện Châu Thành</v>
      </c>
      <c r="F9302" s="3" t="s">
        <v>10061</v>
      </c>
      <c r="G9302" s="4" t="str">
        <f>HYPERLINK("https://diaocthongthai.com/xa-binh-trung-chau-thanh-tien-giang/","Xã Bình Trưng")</f>
        <v>Xã Bình Trưng</v>
      </c>
    </row>
    <row r="9303" spans="1:7" x14ac:dyDescent="0.25">
      <c r="A9303" s="2">
        <v>9302</v>
      </c>
      <c r="B9303" s="3" t="s">
        <v>54</v>
      </c>
      <c r="C9303" s="4" t="str">
        <f t="shared" si="824"/>
        <v>Tiền Giang</v>
      </c>
      <c r="D9303" s="3" t="s">
        <v>653</v>
      </c>
      <c r="E9303" s="4" t="str">
        <f t="shared" si="825"/>
        <v>Huyện Châu Thành</v>
      </c>
      <c r="F9303" s="3" t="s">
        <v>10062</v>
      </c>
      <c r="G9303" s="4" t="str">
        <f>HYPERLINK("https://diaocthongthai.com/xa-thanh-phu-chau-thanh-tien-giang/","Xã Thạnh Phú")</f>
        <v>Xã Thạnh Phú</v>
      </c>
    </row>
    <row r="9304" spans="1:7" x14ac:dyDescent="0.25">
      <c r="A9304" s="2">
        <v>9303</v>
      </c>
      <c r="B9304" s="3" t="s">
        <v>54</v>
      </c>
      <c r="C9304" s="4" t="str">
        <f t="shared" si="824"/>
        <v>Tiền Giang</v>
      </c>
      <c r="D9304" s="3" t="s">
        <v>653</v>
      </c>
      <c r="E9304" s="4" t="str">
        <f t="shared" si="825"/>
        <v>Huyện Châu Thành</v>
      </c>
      <c r="F9304" s="3" t="s">
        <v>10063</v>
      </c>
      <c r="G9304" s="4" t="str">
        <f>HYPERLINK("https://diaocthongthai.com/xa-ban-long-chau-thanh-tien-giang/","Xã Bàn Long")</f>
        <v>Xã Bàn Long</v>
      </c>
    </row>
    <row r="9305" spans="1:7" x14ac:dyDescent="0.25">
      <c r="A9305" s="2">
        <v>9304</v>
      </c>
      <c r="B9305" s="3" t="s">
        <v>54</v>
      </c>
      <c r="C9305" s="4" t="str">
        <f t="shared" si="824"/>
        <v>Tiền Giang</v>
      </c>
      <c r="D9305" s="3" t="s">
        <v>653</v>
      </c>
      <c r="E9305" s="4" t="str">
        <f t="shared" si="825"/>
        <v>Huyện Châu Thành</v>
      </c>
      <c r="F9305" s="3" t="s">
        <v>10064</v>
      </c>
      <c r="G9305" s="4" t="str">
        <f>HYPERLINK("https://diaocthongthai.com/xa-vinh-kim-chau-thanh-tien-giang/","Xã Vĩnh Kim")</f>
        <v>Xã Vĩnh Kim</v>
      </c>
    </row>
    <row r="9306" spans="1:7" x14ac:dyDescent="0.25">
      <c r="A9306" s="2">
        <v>9305</v>
      </c>
      <c r="B9306" s="3" t="s">
        <v>54</v>
      </c>
      <c r="C9306" s="4" t="str">
        <f t="shared" si="824"/>
        <v>Tiền Giang</v>
      </c>
      <c r="D9306" s="3" t="s">
        <v>653</v>
      </c>
      <c r="E9306" s="4" t="str">
        <f t="shared" si="825"/>
        <v>Huyện Châu Thành</v>
      </c>
      <c r="F9306" s="3" t="s">
        <v>10065</v>
      </c>
      <c r="G9306" s="4" t="str">
        <f>HYPERLINK("https://diaocthongthai.com/xa-binh-duc-chau-thanh-tien-giang/","Xã Bình Đức")</f>
        <v>Xã Bình Đức</v>
      </c>
    </row>
    <row r="9307" spans="1:7" x14ac:dyDescent="0.25">
      <c r="A9307" s="2">
        <v>9306</v>
      </c>
      <c r="B9307" s="3" t="s">
        <v>54</v>
      </c>
      <c r="C9307" s="4" t="str">
        <f t="shared" si="824"/>
        <v>Tiền Giang</v>
      </c>
      <c r="D9307" s="3" t="s">
        <v>653</v>
      </c>
      <c r="E9307" s="4" t="str">
        <f t="shared" si="825"/>
        <v>Huyện Châu Thành</v>
      </c>
      <c r="F9307" s="3" t="s">
        <v>10066</v>
      </c>
      <c r="G9307" s="4" t="str">
        <f>HYPERLINK("https://diaocthongthai.com/xa-song-thuan-chau-thanh-tien-giang/","Xã Song Thuận")</f>
        <v>Xã Song Thuận</v>
      </c>
    </row>
    <row r="9308" spans="1:7" x14ac:dyDescent="0.25">
      <c r="A9308" s="2">
        <v>9307</v>
      </c>
      <c r="B9308" s="3" t="s">
        <v>54</v>
      </c>
      <c r="C9308" s="4" t="str">
        <f t="shared" si="824"/>
        <v>Tiền Giang</v>
      </c>
      <c r="D9308" s="3" t="s">
        <v>653</v>
      </c>
      <c r="E9308" s="4" t="str">
        <f t="shared" si="825"/>
        <v>Huyện Châu Thành</v>
      </c>
      <c r="F9308" s="3" t="s">
        <v>10067</v>
      </c>
      <c r="G9308" s="4" t="str">
        <f>HYPERLINK("https://diaocthongthai.com/xa-kim-son-chau-thanh-tien-giang/","Xã Kim Sơn")</f>
        <v>Xã Kim Sơn</v>
      </c>
    </row>
    <row r="9309" spans="1:7" x14ac:dyDescent="0.25">
      <c r="A9309" s="2">
        <v>9308</v>
      </c>
      <c r="B9309" s="3" t="s">
        <v>54</v>
      </c>
      <c r="C9309" s="4" t="str">
        <f t="shared" si="824"/>
        <v>Tiền Giang</v>
      </c>
      <c r="D9309" s="3" t="s">
        <v>653</v>
      </c>
      <c r="E9309" s="4" t="str">
        <f t="shared" si="825"/>
        <v>Huyện Châu Thành</v>
      </c>
      <c r="F9309" s="3" t="s">
        <v>10068</v>
      </c>
      <c r="G9309" s="4" t="str">
        <f>HYPERLINK("https://diaocthongthai.com/xa-phu-phong-chau-thanh-tien-giang/","Xã Phú Phong")</f>
        <v>Xã Phú Phong</v>
      </c>
    </row>
    <row r="9310" spans="1:7" x14ac:dyDescent="0.25">
      <c r="A9310" s="2">
        <v>9309</v>
      </c>
      <c r="B9310" s="3" t="s">
        <v>54</v>
      </c>
      <c r="C9310" s="4" t="str">
        <f t="shared" si="824"/>
        <v>Tiền Giang</v>
      </c>
      <c r="D9310" s="3" t="s">
        <v>654</v>
      </c>
      <c r="E9310" s="4" t="str">
        <f t="shared" ref="E9310:E9328" si="826">HYPERLINK("https://diaocthongthai.com/ban-do-huyen-cho-gao-tien-giang/","Huyện Chợ Gạo")</f>
        <v>Huyện Chợ Gạo</v>
      </c>
      <c r="F9310" s="3" t="s">
        <v>10069</v>
      </c>
      <c r="G9310" s="4" t="str">
        <f>HYPERLINK("https://diaocthongthai.com/thi-tran-cho-gao-cho-gao/","Thị trấn Chợ Gạo")</f>
        <v>Thị trấn Chợ Gạo</v>
      </c>
    </row>
    <row r="9311" spans="1:7" x14ac:dyDescent="0.25">
      <c r="A9311" s="2">
        <v>9310</v>
      </c>
      <c r="B9311" s="3" t="s">
        <v>54</v>
      </c>
      <c r="C9311" s="4" t="str">
        <f t="shared" si="824"/>
        <v>Tiền Giang</v>
      </c>
      <c r="D9311" s="3" t="s">
        <v>654</v>
      </c>
      <c r="E9311" s="4" t="str">
        <f t="shared" si="826"/>
        <v>Huyện Chợ Gạo</v>
      </c>
      <c r="F9311" s="3" t="s">
        <v>10070</v>
      </c>
      <c r="G9311" s="4" t="str">
        <f>HYPERLINK("https://diaocthongthai.com/xa-trung-hoa-cho-gao/","Xã Trung Hòa")</f>
        <v>Xã Trung Hòa</v>
      </c>
    </row>
    <row r="9312" spans="1:7" x14ac:dyDescent="0.25">
      <c r="A9312" s="2">
        <v>9311</v>
      </c>
      <c r="B9312" s="3" t="s">
        <v>54</v>
      </c>
      <c r="C9312" s="4" t="str">
        <f t="shared" si="824"/>
        <v>Tiền Giang</v>
      </c>
      <c r="D9312" s="3" t="s">
        <v>654</v>
      </c>
      <c r="E9312" s="4" t="str">
        <f t="shared" si="826"/>
        <v>Huyện Chợ Gạo</v>
      </c>
      <c r="F9312" s="3" t="s">
        <v>10071</v>
      </c>
      <c r="G9312" s="4" t="str">
        <f>HYPERLINK("https://diaocthongthai.com/xa-hoa-tinh-cho-gao/","Xã Hòa Tịnh")</f>
        <v>Xã Hòa Tịnh</v>
      </c>
    </row>
    <row r="9313" spans="1:7" x14ac:dyDescent="0.25">
      <c r="A9313" s="2">
        <v>9312</v>
      </c>
      <c r="B9313" s="3" t="s">
        <v>54</v>
      </c>
      <c r="C9313" s="4" t="str">
        <f t="shared" si="824"/>
        <v>Tiền Giang</v>
      </c>
      <c r="D9313" s="3" t="s">
        <v>654</v>
      </c>
      <c r="E9313" s="4" t="str">
        <f t="shared" si="826"/>
        <v>Huyện Chợ Gạo</v>
      </c>
      <c r="F9313" s="3" t="s">
        <v>10072</v>
      </c>
      <c r="G9313" s="4" t="str">
        <f>HYPERLINK("https://diaocthongthai.com/xa-my-tinh-an-cho-gao/","Xã Mỹ Tịnh An")</f>
        <v>Xã Mỹ Tịnh An</v>
      </c>
    </row>
    <row r="9314" spans="1:7" x14ac:dyDescent="0.25">
      <c r="A9314" s="2">
        <v>9313</v>
      </c>
      <c r="B9314" s="3" t="s">
        <v>54</v>
      </c>
      <c r="C9314" s="4" t="str">
        <f t="shared" si="824"/>
        <v>Tiền Giang</v>
      </c>
      <c r="D9314" s="3" t="s">
        <v>654</v>
      </c>
      <c r="E9314" s="4" t="str">
        <f t="shared" si="826"/>
        <v>Huyện Chợ Gạo</v>
      </c>
      <c r="F9314" s="3" t="s">
        <v>10073</v>
      </c>
      <c r="G9314" s="4" t="str">
        <f>HYPERLINK("https://diaocthongthai.com/xa-tan-binh-thanh-cho-gao/","Xã Tân Bình Thạnh")</f>
        <v>Xã Tân Bình Thạnh</v>
      </c>
    </row>
    <row r="9315" spans="1:7" x14ac:dyDescent="0.25">
      <c r="A9315" s="2">
        <v>9314</v>
      </c>
      <c r="B9315" s="3" t="s">
        <v>54</v>
      </c>
      <c r="C9315" s="4" t="str">
        <f t="shared" si="824"/>
        <v>Tiền Giang</v>
      </c>
      <c r="D9315" s="3" t="s">
        <v>654</v>
      </c>
      <c r="E9315" s="4" t="str">
        <f t="shared" si="826"/>
        <v>Huyện Chợ Gạo</v>
      </c>
      <c r="F9315" s="3" t="s">
        <v>10074</v>
      </c>
      <c r="G9315" s="4" t="str">
        <f>HYPERLINK("https://diaocthongthai.com/xa-phu-kiet-cho-gao/","Xã Phú Kiết")</f>
        <v>Xã Phú Kiết</v>
      </c>
    </row>
    <row r="9316" spans="1:7" x14ac:dyDescent="0.25">
      <c r="A9316" s="2">
        <v>9315</v>
      </c>
      <c r="B9316" s="3" t="s">
        <v>54</v>
      </c>
      <c r="C9316" s="4" t="str">
        <f t="shared" si="824"/>
        <v>Tiền Giang</v>
      </c>
      <c r="D9316" s="3" t="s">
        <v>654</v>
      </c>
      <c r="E9316" s="4" t="str">
        <f t="shared" si="826"/>
        <v>Huyện Chợ Gạo</v>
      </c>
      <c r="F9316" s="3" t="s">
        <v>10075</v>
      </c>
      <c r="G9316" s="4" t="str">
        <f>HYPERLINK("https://diaocthongthai.com/xa-luong-hoa-lac-cho-gao/","Xã Lương Hòa Lạc")</f>
        <v>Xã Lương Hòa Lạc</v>
      </c>
    </row>
    <row r="9317" spans="1:7" x14ac:dyDescent="0.25">
      <c r="A9317" s="2">
        <v>9316</v>
      </c>
      <c r="B9317" s="3" t="s">
        <v>54</v>
      </c>
      <c r="C9317" s="4" t="str">
        <f t="shared" ref="C9317:C9348" si="827">HYPERLINK("https://diaocthongthai.com/ban-do-tien-giang/","Tiền Giang")</f>
        <v>Tiền Giang</v>
      </c>
      <c r="D9317" s="3" t="s">
        <v>654</v>
      </c>
      <c r="E9317" s="4" t="str">
        <f t="shared" si="826"/>
        <v>Huyện Chợ Gạo</v>
      </c>
      <c r="F9317" s="3" t="s">
        <v>10076</v>
      </c>
      <c r="G9317" s="4" t="str">
        <f>HYPERLINK("https://diaocthongthai.com/xa-thanh-binh-cho-gao/","Xã Thanh Bình")</f>
        <v>Xã Thanh Bình</v>
      </c>
    </row>
    <row r="9318" spans="1:7" x14ac:dyDescent="0.25">
      <c r="A9318" s="2">
        <v>9317</v>
      </c>
      <c r="B9318" s="3" t="s">
        <v>54</v>
      </c>
      <c r="C9318" s="4" t="str">
        <f t="shared" si="827"/>
        <v>Tiền Giang</v>
      </c>
      <c r="D9318" s="3" t="s">
        <v>654</v>
      </c>
      <c r="E9318" s="4" t="str">
        <f t="shared" si="826"/>
        <v>Huyện Chợ Gạo</v>
      </c>
      <c r="F9318" s="3" t="s">
        <v>10077</v>
      </c>
      <c r="G9318" s="4" t="str">
        <f>HYPERLINK("https://diaocthongthai.com/xa-quon-long-cho-gao/","Xã Quơn Long")</f>
        <v>Xã Quơn Long</v>
      </c>
    </row>
    <row r="9319" spans="1:7" x14ac:dyDescent="0.25">
      <c r="A9319" s="2">
        <v>9318</v>
      </c>
      <c r="B9319" s="3" t="s">
        <v>54</v>
      </c>
      <c r="C9319" s="4" t="str">
        <f t="shared" si="827"/>
        <v>Tiền Giang</v>
      </c>
      <c r="D9319" s="3" t="s">
        <v>654</v>
      </c>
      <c r="E9319" s="4" t="str">
        <f t="shared" si="826"/>
        <v>Huyện Chợ Gạo</v>
      </c>
      <c r="F9319" s="3" t="s">
        <v>10078</v>
      </c>
      <c r="G9319" s="4" t="str">
        <f>HYPERLINK("https://diaocthongthai.com/xa-binh-phuc-nhut-cho-gao/","Xã Bình Phục Nhứt")</f>
        <v>Xã Bình Phục Nhứt</v>
      </c>
    </row>
    <row r="9320" spans="1:7" x14ac:dyDescent="0.25">
      <c r="A9320" s="2">
        <v>9319</v>
      </c>
      <c r="B9320" s="3" t="s">
        <v>54</v>
      </c>
      <c r="C9320" s="4" t="str">
        <f t="shared" si="827"/>
        <v>Tiền Giang</v>
      </c>
      <c r="D9320" s="3" t="s">
        <v>654</v>
      </c>
      <c r="E9320" s="4" t="str">
        <f t="shared" si="826"/>
        <v>Huyện Chợ Gạo</v>
      </c>
      <c r="F9320" s="3" t="s">
        <v>10079</v>
      </c>
      <c r="G9320" s="4" t="str">
        <f>HYPERLINK("https://diaocthongthai.com/xa-dang-hung-phuoc-cho-gao/","Xã Đăng Hưng Phước")</f>
        <v>Xã Đăng Hưng Phước</v>
      </c>
    </row>
    <row r="9321" spans="1:7" x14ac:dyDescent="0.25">
      <c r="A9321" s="2">
        <v>9320</v>
      </c>
      <c r="B9321" s="3" t="s">
        <v>54</v>
      </c>
      <c r="C9321" s="4" t="str">
        <f t="shared" si="827"/>
        <v>Tiền Giang</v>
      </c>
      <c r="D9321" s="3" t="s">
        <v>654</v>
      </c>
      <c r="E9321" s="4" t="str">
        <f t="shared" si="826"/>
        <v>Huyện Chợ Gạo</v>
      </c>
      <c r="F9321" s="3" t="s">
        <v>10080</v>
      </c>
      <c r="G9321" s="4" t="str">
        <f>HYPERLINK("https://diaocthongthai.com/xa-tan-thuan-binh-cho-gao/","Xã Tân Thuận Bình")</f>
        <v>Xã Tân Thuận Bình</v>
      </c>
    </row>
    <row r="9322" spans="1:7" x14ac:dyDescent="0.25">
      <c r="A9322" s="2">
        <v>9321</v>
      </c>
      <c r="B9322" s="3" t="s">
        <v>54</v>
      </c>
      <c r="C9322" s="4" t="str">
        <f t="shared" si="827"/>
        <v>Tiền Giang</v>
      </c>
      <c r="D9322" s="3" t="s">
        <v>654</v>
      </c>
      <c r="E9322" s="4" t="str">
        <f t="shared" si="826"/>
        <v>Huyện Chợ Gạo</v>
      </c>
      <c r="F9322" s="3" t="s">
        <v>10081</v>
      </c>
      <c r="G9322" s="4" t="str">
        <f>HYPERLINK("https://diaocthongthai.com/xa-song-binh-cho-gao/","Xã Song Bình")</f>
        <v>Xã Song Bình</v>
      </c>
    </row>
    <row r="9323" spans="1:7" x14ac:dyDescent="0.25">
      <c r="A9323" s="2">
        <v>9322</v>
      </c>
      <c r="B9323" s="3" t="s">
        <v>54</v>
      </c>
      <c r="C9323" s="4" t="str">
        <f t="shared" si="827"/>
        <v>Tiền Giang</v>
      </c>
      <c r="D9323" s="3" t="s">
        <v>654</v>
      </c>
      <c r="E9323" s="4" t="str">
        <f t="shared" si="826"/>
        <v>Huyện Chợ Gạo</v>
      </c>
      <c r="F9323" s="3" t="s">
        <v>10082</v>
      </c>
      <c r="G9323" s="4" t="str">
        <f>HYPERLINK("https://diaocthongthai.com/xa-binh-phan-cho-gao/","Xã Bình Phan")</f>
        <v>Xã Bình Phan</v>
      </c>
    </row>
    <row r="9324" spans="1:7" x14ac:dyDescent="0.25">
      <c r="A9324" s="2">
        <v>9323</v>
      </c>
      <c r="B9324" s="3" t="s">
        <v>54</v>
      </c>
      <c r="C9324" s="4" t="str">
        <f t="shared" si="827"/>
        <v>Tiền Giang</v>
      </c>
      <c r="D9324" s="3" t="s">
        <v>654</v>
      </c>
      <c r="E9324" s="4" t="str">
        <f t="shared" si="826"/>
        <v>Huyện Chợ Gạo</v>
      </c>
      <c r="F9324" s="3" t="s">
        <v>10083</v>
      </c>
      <c r="G9324" s="4" t="str">
        <f>HYPERLINK("https://diaocthongthai.com/xa-long-binh-dien-cho-gao/","Xã Long Bình Điền")</f>
        <v>Xã Long Bình Điền</v>
      </c>
    </row>
    <row r="9325" spans="1:7" x14ac:dyDescent="0.25">
      <c r="A9325" s="2">
        <v>9324</v>
      </c>
      <c r="B9325" s="3" t="s">
        <v>54</v>
      </c>
      <c r="C9325" s="4" t="str">
        <f t="shared" si="827"/>
        <v>Tiền Giang</v>
      </c>
      <c r="D9325" s="3" t="s">
        <v>654</v>
      </c>
      <c r="E9325" s="4" t="str">
        <f t="shared" si="826"/>
        <v>Huyện Chợ Gạo</v>
      </c>
      <c r="F9325" s="3" t="s">
        <v>10084</v>
      </c>
      <c r="G9325" s="4" t="str">
        <f>HYPERLINK("https://diaocthongthai.com/xa-an-thanh-thuy-cho-gao/","Xã An Thạnh Thủy")</f>
        <v>Xã An Thạnh Thủy</v>
      </c>
    </row>
    <row r="9326" spans="1:7" x14ac:dyDescent="0.25">
      <c r="A9326" s="2">
        <v>9325</v>
      </c>
      <c r="B9326" s="3" t="s">
        <v>54</v>
      </c>
      <c r="C9326" s="4" t="str">
        <f t="shared" si="827"/>
        <v>Tiền Giang</v>
      </c>
      <c r="D9326" s="3" t="s">
        <v>654</v>
      </c>
      <c r="E9326" s="4" t="str">
        <f t="shared" si="826"/>
        <v>Huyện Chợ Gạo</v>
      </c>
      <c r="F9326" s="3" t="s">
        <v>10085</v>
      </c>
      <c r="G9326" s="4" t="str">
        <f>HYPERLINK("https://diaocthongthai.com/xa-xuan-dong-cho-gao/","Xã Xuân Đông")</f>
        <v>Xã Xuân Đông</v>
      </c>
    </row>
    <row r="9327" spans="1:7" x14ac:dyDescent="0.25">
      <c r="A9327" s="2">
        <v>9326</v>
      </c>
      <c r="B9327" s="3" t="s">
        <v>54</v>
      </c>
      <c r="C9327" s="4" t="str">
        <f t="shared" si="827"/>
        <v>Tiền Giang</v>
      </c>
      <c r="D9327" s="3" t="s">
        <v>654</v>
      </c>
      <c r="E9327" s="4" t="str">
        <f t="shared" si="826"/>
        <v>Huyện Chợ Gạo</v>
      </c>
      <c r="F9327" s="3" t="s">
        <v>10086</v>
      </c>
      <c r="G9327" s="4" t="str">
        <f>HYPERLINK("https://diaocthongthai.com/xa-hoa-dinh-cho-gao/","Xã Hòa Định")</f>
        <v>Xã Hòa Định</v>
      </c>
    </row>
    <row r="9328" spans="1:7" x14ac:dyDescent="0.25">
      <c r="A9328" s="2">
        <v>9327</v>
      </c>
      <c r="B9328" s="3" t="s">
        <v>54</v>
      </c>
      <c r="C9328" s="4" t="str">
        <f t="shared" si="827"/>
        <v>Tiền Giang</v>
      </c>
      <c r="D9328" s="3" t="s">
        <v>654</v>
      </c>
      <c r="E9328" s="4" t="str">
        <f t="shared" si="826"/>
        <v>Huyện Chợ Gạo</v>
      </c>
      <c r="F9328" s="3" t="s">
        <v>10087</v>
      </c>
      <c r="G9328" s="4" t="str">
        <f>HYPERLINK("https://diaocthongthai.com/xa-binh-ninh-cho-gao/","Xã Bình Ninh")</f>
        <v>Xã Bình Ninh</v>
      </c>
    </row>
    <row r="9329" spans="1:7" x14ac:dyDescent="0.25">
      <c r="A9329" s="2">
        <v>9328</v>
      </c>
      <c r="B9329" s="3" t="s">
        <v>54</v>
      </c>
      <c r="C9329" s="4" t="str">
        <f t="shared" si="827"/>
        <v>Tiền Giang</v>
      </c>
      <c r="D9329" s="3" t="s">
        <v>655</v>
      </c>
      <c r="E9329" s="4" t="str">
        <f t="shared" ref="E9329:E9341" si="828">HYPERLINK("https://diaocthongthai.com/ban-do-huyen-go-cong-tay-tien-giang/","Huyện Gò Công Tây")</f>
        <v>Huyện Gò Công Tây</v>
      </c>
      <c r="F9329" s="3" t="s">
        <v>10088</v>
      </c>
      <c r="G9329" s="4" t="str">
        <f>HYPERLINK("https://diaocthongthai.com/thi-tran-vinh-binh-go-cong-tay/","Thị trấn Vĩnh Bình")</f>
        <v>Thị trấn Vĩnh Bình</v>
      </c>
    </row>
    <row r="9330" spans="1:7" x14ac:dyDescent="0.25">
      <c r="A9330" s="2">
        <v>9329</v>
      </c>
      <c r="B9330" s="3" t="s">
        <v>54</v>
      </c>
      <c r="C9330" s="4" t="str">
        <f t="shared" si="827"/>
        <v>Tiền Giang</v>
      </c>
      <c r="D9330" s="3" t="s">
        <v>655</v>
      </c>
      <c r="E9330" s="4" t="str">
        <f t="shared" si="828"/>
        <v>Huyện Gò Công Tây</v>
      </c>
      <c r="F9330" s="3" t="s">
        <v>10089</v>
      </c>
      <c r="G9330" s="4" t="str">
        <f>HYPERLINK("https://diaocthongthai.com/xa-dong-son-go-cong-tay/","Xã Đồng Sơn")</f>
        <v>Xã Đồng Sơn</v>
      </c>
    </row>
    <row r="9331" spans="1:7" x14ac:dyDescent="0.25">
      <c r="A9331" s="2">
        <v>9330</v>
      </c>
      <c r="B9331" s="3" t="s">
        <v>54</v>
      </c>
      <c r="C9331" s="4" t="str">
        <f t="shared" si="827"/>
        <v>Tiền Giang</v>
      </c>
      <c r="D9331" s="3" t="s">
        <v>655</v>
      </c>
      <c r="E9331" s="4" t="str">
        <f t="shared" si="828"/>
        <v>Huyện Gò Công Tây</v>
      </c>
      <c r="F9331" s="3" t="s">
        <v>10090</v>
      </c>
      <c r="G9331" s="4" t="str">
        <f>HYPERLINK("https://diaocthongthai.com/xa-binh-phu-go-cong-tay/","Xã Bình Phú")</f>
        <v>Xã Bình Phú</v>
      </c>
    </row>
    <row r="9332" spans="1:7" x14ac:dyDescent="0.25">
      <c r="A9332" s="2">
        <v>9331</v>
      </c>
      <c r="B9332" s="3" t="s">
        <v>54</v>
      </c>
      <c r="C9332" s="4" t="str">
        <f t="shared" si="827"/>
        <v>Tiền Giang</v>
      </c>
      <c r="D9332" s="3" t="s">
        <v>655</v>
      </c>
      <c r="E9332" s="4" t="str">
        <f t="shared" si="828"/>
        <v>Huyện Gò Công Tây</v>
      </c>
      <c r="F9332" s="3" t="s">
        <v>10091</v>
      </c>
      <c r="G9332" s="4" t="str">
        <f>HYPERLINK("https://diaocthongthai.com/xa-dong-thanh-go-cong-tay/","Xã Đồng Thạnh")</f>
        <v>Xã Đồng Thạnh</v>
      </c>
    </row>
    <row r="9333" spans="1:7" x14ac:dyDescent="0.25">
      <c r="A9333" s="2">
        <v>9332</v>
      </c>
      <c r="B9333" s="3" t="s">
        <v>54</v>
      </c>
      <c r="C9333" s="4" t="str">
        <f t="shared" si="827"/>
        <v>Tiền Giang</v>
      </c>
      <c r="D9333" s="3" t="s">
        <v>655</v>
      </c>
      <c r="E9333" s="4" t="str">
        <f t="shared" si="828"/>
        <v>Huyện Gò Công Tây</v>
      </c>
      <c r="F9333" s="3" t="s">
        <v>10092</v>
      </c>
      <c r="G9333" s="4" t="str">
        <f>HYPERLINK("https://diaocthongthai.com/xa-thanh-cong-go-cong-tay/","Xã Thành Công")</f>
        <v>Xã Thành Công</v>
      </c>
    </row>
    <row r="9334" spans="1:7" x14ac:dyDescent="0.25">
      <c r="A9334" s="2">
        <v>9333</v>
      </c>
      <c r="B9334" s="3" t="s">
        <v>54</v>
      </c>
      <c r="C9334" s="4" t="str">
        <f t="shared" si="827"/>
        <v>Tiền Giang</v>
      </c>
      <c r="D9334" s="3" t="s">
        <v>655</v>
      </c>
      <c r="E9334" s="4" t="str">
        <f t="shared" si="828"/>
        <v>Huyện Gò Công Tây</v>
      </c>
      <c r="F9334" s="3" t="s">
        <v>10093</v>
      </c>
      <c r="G9334" s="4" t="str">
        <f>HYPERLINK("https://diaocthongthai.com/xa-binh-nhi-go-cong-tay/","Xã Bình Nhì")</f>
        <v>Xã Bình Nhì</v>
      </c>
    </row>
    <row r="9335" spans="1:7" x14ac:dyDescent="0.25">
      <c r="A9335" s="2">
        <v>9334</v>
      </c>
      <c r="B9335" s="3" t="s">
        <v>54</v>
      </c>
      <c r="C9335" s="4" t="str">
        <f t="shared" si="827"/>
        <v>Tiền Giang</v>
      </c>
      <c r="D9335" s="3" t="s">
        <v>655</v>
      </c>
      <c r="E9335" s="4" t="str">
        <f t="shared" si="828"/>
        <v>Huyện Gò Công Tây</v>
      </c>
      <c r="F9335" s="3" t="s">
        <v>10094</v>
      </c>
      <c r="G9335" s="4" t="str">
        <f>HYPERLINK("https://diaocthongthai.com/xa-yen-luong-go-cong-tay/","Xã Yên Luông")</f>
        <v>Xã Yên Luông</v>
      </c>
    </row>
    <row r="9336" spans="1:7" x14ac:dyDescent="0.25">
      <c r="A9336" s="2">
        <v>9335</v>
      </c>
      <c r="B9336" s="3" t="s">
        <v>54</v>
      </c>
      <c r="C9336" s="4" t="str">
        <f t="shared" si="827"/>
        <v>Tiền Giang</v>
      </c>
      <c r="D9336" s="3" t="s">
        <v>655</v>
      </c>
      <c r="E9336" s="4" t="str">
        <f t="shared" si="828"/>
        <v>Huyện Gò Công Tây</v>
      </c>
      <c r="F9336" s="3" t="s">
        <v>10095</v>
      </c>
      <c r="G9336" s="4" t="str">
        <f>HYPERLINK("https://diaocthongthai.com/xa-thanh-tri-go-cong-tay/","Xã Thạnh Trị")</f>
        <v>Xã Thạnh Trị</v>
      </c>
    </row>
    <row r="9337" spans="1:7" x14ac:dyDescent="0.25">
      <c r="A9337" s="2">
        <v>9336</v>
      </c>
      <c r="B9337" s="3" t="s">
        <v>54</v>
      </c>
      <c r="C9337" s="4" t="str">
        <f t="shared" si="827"/>
        <v>Tiền Giang</v>
      </c>
      <c r="D9337" s="3" t="s">
        <v>655</v>
      </c>
      <c r="E9337" s="4" t="str">
        <f t="shared" si="828"/>
        <v>Huyện Gò Công Tây</v>
      </c>
      <c r="F9337" s="3" t="s">
        <v>10096</v>
      </c>
      <c r="G9337" s="4" t="str">
        <f>HYPERLINK("https://diaocthongthai.com/xa-thanh-nhut-go-cong-tay/","Xã Thạnh Nhựt")</f>
        <v>Xã Thạnh Nhựt</v>
      </c>
    </row>
    <row r="9338" spans="1:7" x14ac:dyDescent="0.25">
      <c r="A9338" s="2">
        <v>9337</v>
      </c>
      <c r="B9338" s="3" t="s">
        <v>54</v>
      </c>
      <c r="C9338" s="4" t="str">
        <f t="shared" si="827"/>
        <v>Tiền Giang</v>
      </c>
      <c r="D9338" s="3" t="s">
        <v>655</v>
      </c>
      <c r="E9338" s="4" t="str">
        <f t="shared" si="828"/>
        <v>Huyện Gò Công Tây</v>
      </c>
      <c r="F9338" s="3" t="s">
        <v>10097</v>
      </c>
      <c r="G9338" s="4" t="str">
        <f>HYPERLINK("https://diaocthongthai.com/xa-long-vinh-go-cong-tay/","Xã Long Vĩnh")</f>
        <v>Xã Long Vĩnh</v>
      </c>
    </row>
    <row r="9339" spans="1:7" x14ac:dyDescent="0.25">
      <c r="A9339" s="2">
        <v>9338</v>
      </c>
      <c r="B9339" s="3" t="s">
        <v>54</v>
      </c>
      <c r="C9339" s="4" t="str">
        <f t="shared" si="827"/>
        <v>Tiền Giang</v>
      </c>
      <c r="D9339" s="3" t="s">
        <v>655</v>
      </c>
      <c r="E9339" s="4" t="str">
        <f t="shared" si="828"/>
        <v>Huyện Gò Công Tây</v>
      </c>
      <c r="F9339" s="3" t="s">
        <v>10098</v>
      </c>
      <c r="G9339" s="4" t="str">
        <f>HYPERLINK("https://diaocthongthai.com/xa-binh-tan-go-cong-tay/","Xã Bình Tân")</f>
        <v>Xã Bình Tân</v>
      </c>
    </row>
    <row r="9340" spans="1:7" x14ac:dyDescent="0.25">
      <c r="A9340" s="2">
        <v>9339</v>
      </c>
      <c r="B9340" s="3" t="s">
        <v>54</v>
      </c>
      <c r="C9340" s="4" t="str">
        <f t="shared" si="827"/>
        <v>Tiền Giang</v>
      </c>
      <c r="D9340" s="3" t="s">
        <v>655</v>
      </c>
      <c r="E9340" s="4" t="str">
        <f t="shared" si="828"/>
        <v>Huyện Gò Công Tây</v>
      </c>
      <c r="F9340" s="3" t="s">
        <v>10099</v>
      </c>
      <c r="G9340" s="4" t="str">
        <f>HYPERLINK("https://diaocthongthai.com/xa-vinh-huu-go-cong-tay/","Xã Vĩnh Hựu")</f>
        <v>Xã Vĩnh Hựu</v>
      </c>
    </row>
    <row r="9341" spans="1:7" x14ac:dyDescent="0.25">
      <c r="A9341" s="2">
        <v>9340</v>
      </c>
      <c r="B9341" s="3" t="s">
        <v>54</v>
      </c>
      <c r="C9341" s="4" t="str">
        <f t="shared" si="827"/>
        <v>Tiền Giang</v>
      </c>
      <c r="D9341" s="3" t="s">
        <v>655</v>
      </c>
      <c r="E9341" s="4" t="str">
        <f t="shared" si="828"/>
        <v>Huyện Gò Công Tây</v>
      </c>
      <c r="F9341" s="3" t="s">
        <v>10100</v>
      </c>
      <c r="G9341" s="4" t="str">
        <f>HYPERLINK("https://diaocthongthai.com/xa-long-binh-go-cong-tay/","Xã Long Bình")</f>
        <v>Xã Long Bình</v>
      </c>
    </row>
    <row r="9342" spans="1:7" x14ac:dyDescent="0.25">
      <c r="A9342" s="2">
        <v>9341</v>
      </c>
      <c r="B9342" s="3" t="s">
        <v>54</v>
      </c>
      <c r="C9342" s="4" t="str">
        <f t="shared" si="827"/>
        <v>Tiền Giang</v>
      </c>
      <c r="D9342" s="3" t="s">
        <v>656</v>
      </c>
      <c r="E9342" s="4" t="str">
        <f t="shared" ref="E9342:E9354" si="829">HYPERLINK("https://diaocthongthai.com/ban-do-huyen-go-cong-dong-tien-giang/","Huyện Gò Công Đông")</f>
        <v>Huyện Gò Công Đông</v>
      </c>
      <c r="F9342" s="3" t="s">
        <v>10101</v>
      </c>
      <c r="G9342" s="4" t="str">
        <f>HYPERLINK("https://diaocthongthai.com/thi-tran-tan-hoa-go-cong-dong/","Thị trấn Tân Hòa")</f>
        <v>Thị trấn Tân Hòa</v>
      </c>
    </row>
    <row r="9343" spans="1:7" x14ac:dyDescent="0.25">
      <c r="A9343" s="2">
        <v>9342</v>
      </c>
      <c r="B9343" s="3" t="s">
        <v>54</v>
      </c>
      <c r="C9343" s="4" t="str">
        <f t="shared" si="827"/>
        <v>Tiền Giang</v>
      </c>
      <c r="D9343" s="3" t="s">
        <v>656</v>
      </c>
      <c r="E9343" s="4" t="str">
        <f t="shared" si="829"/>
        <v>Huyện Gò Công Đông</v>
      </c>
      <c r="F9343" s="3" t="s">
        <v>10102</v>
      </c>
      <c r="G9343" s="4" t="str">
        <f>HYPERLINK("https://diaocthongthai.com/xa-tang-hoa-go-cong-dong/","Xã Tăng Hoà")</f>
        <v>Xã Tăng Hoà</v>
      </c>
    </row>
    <row r="9344" spans="1:7" x14ac:dyDescent="0.25">
      <c r="A9344" s="2">
        <v>9343</v>
      </c>
      <c r="B9344" s="3" t="s">
        <v>54</v>
      </c>
      <c r="C9344" s="4" t="str">
        <f t="shared" si="827"/>
        <v>Tiền Giang</v>
      </c>
      <c r="D9344" s="3" t="s">
        <v>656</v>
      </c>
      <c r="E9344" s="4" t="str">
        <f t="shared" si="829"/>
        <v>Huyện Gò Công Đông</v>
      </c>
      <c r="F9344" s="3" t="s">
        <v>10103</v>
      </c>
      <c r="G9344" s="4" t="str">
        <f>HYPERLINK("https://diaocthongthai.com/xa-tan-phuoc-go-cong-dong/","Xã Tân Phước")</f>
        <v>Xã Tân Phước</v>
      </c>
    </row>
    <row r="9345" spans="1:7" x14ac:dyDescent="0.25">
      <c r="A9345" s="2">
        <v>9344</v>
      </c>
      <c r="B9345" s="3" t="s">
        <v>54</v>
      </c>
      <c r="C9345" s="4" t="str">
        <f t="shared" si="827"/>
        <v>Tiền Giang</v>
      </c>
      <c r="D9345" s="3" t="s">
        <v>656</v>
      </c>
      <c r="E9345" s="4" t="str">
        <f t="shared" si="829"/>
        <v>Huyện Gò Công Đông</v>
      </c>
      <c r="F9345" s="3" t="s">
        <v>10104</v>
      </c>
      <c r="G9345" s="4" t="str">
        <f>HYPERLINK("https://diaocthongthai.com/xa-gia-thuan-go-cong-dong/","Xã Gia Thuận")</f>
        <v>Xã Gia Thuận</v>
      </c>
    </row>
    <row r="9346" spans="1:7" x14ac:dyDescent="0.25">
      <c r="A9346" s="2">
        <v>9345</v>
      </c>
      <c r="B9346" s="3" t="s">
        <v>54</v>
      </c>
      <c r="C9346" s="4" t="str">
        <f t="shared" si="827"/>
        <v>Tiền Giang</v>
      </c>
      <c r="D9346" s="3" t="s">
        <v>656</v>
      </c>
      <c r="E9346" s="4" t="str">
        <f t="shared" si="829"/>
        <v>Huyện Gò Công Đông</v>
      </c>
      <c r="F9346" s="3" t="s">
        <v>10105</v>
      </c>
      <c r="G9346" s="4" t="str">
        <f>HYPERLINK("https://diaocthongthai.com/thi-tran-vam-lang-go-cong-dong/","Thị trấn Vàm Láng")</f>
        <v>Thị trấn Vàm Láng</v>
      </c>
    </row>
    <row r="9347" spans="1:7" x14ac:dyDescent="0.25">
      <c r="A9347" s="2">
        <v>9346</v>
      </c>
      <c r="B9347" s="3" t="s">
        <v>54</v>
      </c>
      <c r="C9347" s="4" t="str">
        <f t="shared" si="827"/>
        <v>Tiền Giang</v>
      </c>
      <c r="D9347" s="3" t="s">
        <v>656</v>
      </c>
      <c r="E9347" s="4" t="str">
        <f t="shared" si="829"/>
        <v>Huyện Gò Công Đông</v>
      </c>
      <c r="F9347" s="3" t="s">
        <v>10106</v>
      </c>
      <c r="G9347" s="4" t="str">
        <f>HYPERLINK("https://diaocthongthai.com/xa-tan-tay-go-cong-dong/","Xã Tân Tây")</f>
        <v>Xã Tân Tây</v>
      </c>
    </row>
    <row r="9348" spans="1:7" x14ac:dyDescent="0.25">
      <c r="A9348" s="2">
        <v>9347</v>
      </c>
      <c r="B9348" s="3" t="s">
        <v>54</v>
      </c>
      <c r="C9348" s="4" t="str">
        <f t="shared" si="827"/>
        <v>Tiền Giang</v>
      </c>
      <c r="D9348" s="3" t="s">
        <v>656</v>
      </c>
      <c r="E9348" s="4" t="str">
        <f t="shared" si="829"/>
        <v>Huyện Gò Công Đông</v>
      </c>
      <c r="F9348" s="3" t="s">
        <v>10107</v>
      </c>
      <c r="G9348" s="4" t="str">
        <f>HYPERLINK("https://diaocthongthai.com/xa-kieng-phuoc-go-cong-dong/","Xã Kiểng Phước")</f>
        <v>Xã Kiểng Phước</v>
      </c>
    </row>
    <row r="9349" spans="1:7" x14ac:dyDescent="0.25">
      <c r="A9349" s="2">
        <v>9348</v>
      </c>
      <c r="B9349" s="3" t="s">
        <v>54</v>
      </c>
      <c r="C9349" s="4" t="str">
        <f t="shared" ref="C9349:C9360" si="830">HYPERLINK("https://diaocthongthai.com/ban-do-tien-giang/","Tiền Giang")</f>
        <v>Tiền Giang</v>
      </c>
      <c r="D9349" s="3" t="s">
        <v>656</v>
      </c>
      <c r="E9349" s="4" t="str">
        <f t="shared" si="829"/>
        <v>Huyện Gò Công Đông</v>
      </c>
      <c r="F9349" s="3" t="s">
        <v>10108</v>
      </c>
      <c r="G9349" s="4" t="str">
        <f>HYPERLINK("https://diaocthongthai.com/xa-tan-dong-go-cong-dong/","Xã Tân Đông")</f>
        <v>Xã Tân Đông</v>
      </c>
    </row>
    <row r="9350" spans="1:7" x14ac:dyDescent="0.25">
      <c r="A9350" s="2">
        <v>9349</v>
      </c>
      <c r="B9350" s="3" t="s">
        <v>54</v>
      </c>
      <c r="C9350" s="4" t="str">
        <f t="shared" si="830"/>
        <v>Tiền Giang</v>
      </c>
      <c r="D9350" s="3" t="s">
        <v>656</v>
      </c>
      <c r="E9350" s="4" t="str">
        <f t="shared" si="829"/>
        <v>Huyện Gò Công Đông</v>
      </c>
      <c r="F9350" s="3" t="s">
        <v>10109</v>
      </c>
      <c r="G9350" s="4" t="str">
        <f>HYPERLINK("https://diaocthongthai.com/xa-binh-an-go-cong-dong/","Xã Bình Ân")</f>
        <v>Xã Bình Ân</v>
      </c>
    </row>
    <row r="9351" spans="1:7" x14ac:dyDescent="0.25">
      <c r="A9351" s="2">
        <v>9350</v>
      </c>
      <c r="B9351" s="3" t="s">
        <v>54</v>
      </c>
      <c r="C9351" s="4" t="str">
        <f t="shared" si="830"/>
        <v>Tiền Giang</v>
      </c>
      <c r="D9351" s="3" t="s">
        <v>656</v>
      </c>
      <c r="E9351" s="4" t="str">
        <f t="shared" si="829"/>
        <v>Huyện Gò Công Đông</v>
      </c>
      <c r="F9351" s="3" t="s">
        <v>10110</v>
      </c>
      <c r="G9351" s="4" t="str">
        <f>HYPERLINK("https://diaocthongthai.com/xa-tan-dien-go-cong-dong/","Xã Tân Điền")</f>
        <v>Xã Tân Điền</v>
      </c>
    </row>
    <row r="9352" spans="1:7" x14ac:dyDescent="0.25">
      <c r="A9352" s="2">
        <v>9351</v>
      </c>
      <c r="B9352" s="3" t="s">
        <v>54</v>
      </c>
      <c r="C9352" s="4" t="str">
        <f t="shared" si="830"/>
        <v>Tiền Giang</v>
      </c>
      <c r="D9352" s="3" t="s">
        <v>656</v>
      </c>
      <c r="E9352" s="4" t="str">
        <f t="shared" si="829"/>
        <v>Huyện Gò Công Đông</v>
      </c>
      <c r="F9352" s="3" t="s">
        <v>10111</v>
      </c>
      <c r="G9352" s="4" t="str">
        <f>HYPERLINK("https://diaocthongthai.com/xa-binh-nghi-go-cong-dong/","Xã Bình Nghị")</f>
        <v>Xã Bình Nghị</v>
      </c>
    </row>
    <row r="9353" spans="1:7" x14ac:dyDescent="0.25">
      <c r="A9353" s="2">
        <v>9352</v>
      </c>
      <c r="B9353" s="3" t="s">
        <v>54</v>
      </c>
      <c r="C9353" s="4" t="str">
        <f t="shared" si="830"/>
        <v>Tiền Giang</v>
      </c>
      <c r="D9353" s="3" t="s">
        <v>656</v>
      </c>
      <c r="E9353" s="4" t="str">
        <f t="shared" si="829"/>
        <v>Huyện Gò Công Đông</v>
      </c>
      <c r="F9353" s="3" t="s">
        <v>10112</v>
      </c>
      <c r="G9353" s="4" t="str">
        <f>HYPERLINK("https://diaocthongthai.com/xa-phuoc-trung-go-cong-dong/","Xã Phước Trung")</f>
        <v>Xã Phước Trung</v>
      </c>
    </row>
    <row r="9354" spans="1:7" x14ac:dyDescent="0.25">
      <c r="A9354" s="2">
        <v>9353</v>
      </c>
      <c r="B9354" s="3" t="s">
        <v>54</v>
      </c>
      <c r="C9354" s="4" t="str">
        <f t="shared" si="830"/>
        <v>Tiền Giang</v>
      </c>
      <c r="D9354" s="3" t="s">
        <v>656</v>
      </c>
      <c r="E9354" s="4" t="str">
        <f t="shared" si="829"/>
        <v>Huyện Gò Công Đông</v>
      </c>
      <c r="F9354" s="3" t="s">
        <v>10113</v>
      </c>
      <c r="G9354" s="4" t="str">
        <f>HYPERLINK("https://diaocthongthai.com/xa-tan-thanh-go-cong-dong/","Xã Tân Thành")</f>
        <v>Xã Tân Thành</v>
      </c>
    </row>
    <row r="9355" spans="1:7" x14ac:dyDescent="0.25">
      <c r="A9355" s="2">
        <v>9354</v>
      </c>
      <c r="B9355" s="3" t="s">
        <v>54</v>
      </c>
      <c r="C9355" s="4" t="str">
        <f t="shared" si="830"/>
        <v>Tiền Giang</v>
      </c>
      <c r="D9355" s="3" t="s">
        <v>657</v>
      </c>
      <c r="E9355" s="4" t="str">
        <f t="shared" ref="E9355:E9360" si="831">HYPERLINK("https://diaocthongthai.com/ban-do-huyen-tan-phu-dong-tien-giang/","Huyện Tân Phú Đông")</f>
        <v>Huyện Tân Phú Đông</v>
      </c>
      <c r="F9355" s="3" t="s">
        <v>10114</v>
      </c>
      <c r="G9355" s="4" t="str">
        <f>HYPERLINK("https://diaocthongthai.com/xa-tan-thoi-tan-phu-dong/","Xã Tân Thới")</f>
        <v>Xã Tân Thới</v>
      </c>
    </row>
    <row r="9356" spans="1:7" x14ac:dyDescent="0.25">
      <c r="A9356" s="2">
        <v>9355</v>
      </c>
      <c r="B9356" s="3" t="s">
        <v>54</v>
      </c>
      <c r="C9356" s="4" t="str">
        <f t="shared" si="830"/>
        <v>Tiền Giang</v>
      </c>
      <c r="D9356" s="3" t="s">
        <v>657</v>
      </c>
      <c r="E9356" s="4" t="str">
        <f t="shared" si="831"/>
        <v>Huyện Tân Phú Đông</v>
      </c>
      <c r="F9356" s="3" t="s">
        <v>10115</v>
      </c>
      <c r="G9356" s="4" t="str">
        <f>HYPERLINK("https://diaocthongthai.com/xa-tan-phu-tan-phu-dong/","Xã Tân Phú")</f>
        <v>Xã Tân Phú</v>
      </c>
    </row>
    <row r="9357" spans="1:7" x14ac:dyDescent="0.25">
      <c r="A9357" s="2">
        <v>9356</v>
      </c>
      <c r="B9357" s="3" t="s">
        <v>54</v>
      </c>
      <c r="C9357" s="4" t="str">
        <f t="shared" si="830"/>
        <v>Tiền Giang</v>
      </c>
      <c r="D9357" s="3" t="s">
        <v>657</v>
      </c>
      <c r="E9357" s="4" t="str">
        <f t="shared" si="831"/>
        <v>Huyện Tân Phú Đông</v>
      </c>
      <c r="F9357" s="3" t="s">
        <v>10116</v>
      </c>
      <c r="G9357" s="4" t="str">
        <f>HYPERLINK("https://diaocthongthai.com/xa-phu-thanh-tan-phu-dong/","Xã Phú Thạnh")</f>
        <v>Xã Phú Thạnh</v>
      </c>
    </row>
    <row r="9358" spans="1:7" x14ac:dyDescent="0.25">
      <c r="A9358" s="2">
        <v>9357</v>
      </c>
      <c r="B9358" s="3" t="s">
        <v>54</v>
      </c>
      <c r="C9358" s="4" t="str">
        <f t="shared" si="830"/>
        <v>Tiền Giang</v>
      </c>
      <c r="D9358" s="3" t="s">
        <v>657</v>
      </c>
      <c r="E9358" s="4" t="str">
        <f t="shared" si="831"/>
        <v>Huyện Tân Phú Đông</v>
      </c>
      <c r="F9358" s="3" t="s">
        <v>10117</v>
      </c>
      <c r="G9358" s="4" t="str">
        <f>HYPERLINK("https://diaocthongthai.com/xa-tan-thanh-tan-phu-dong/","Xã Tân Thạnh")</f>
        <v>Xã Tân Thạnh</v>
      </c>
    </row>
    <row r="9359" spans="1:7" x14ac:dyDescent="0.25">
      <c r="A9359" s="2">
        <v>9358</v>
      </c>
      <c r="B9359" s="3" t="s">
        <v>54</v>
      </c>
      <c r="C9359" s="4" t="str">
        <f t="shared" si="830"/>
        <v>Tiền Giang</v>
      </c>
      <c r="D9359" s="3" t="s">
        <v>657</v>
      </c>
      <c r="E9359" s="4" t="str">
        <f t="shared" si="831"/>
        <v>Huyện Tân Phú Đông</v>
      </c>
      <c r="F9359" s="3" t="s">
        <v>10118</v>
      </c>
      <c r="G9359" s="4" t="str">
        <f>HYPERLINK("https://diaocthongthai.com/xa-phu-dong-tan-phu-dong/","Xã Phú Đông")</f>
        <v>Xã Phú Đông</v>
      </c>
    </row>
    <row r="9360" spans="1:7" x14ac:dyDescent="0.25">
      <c r="A9360" s="2">
        <v>9359</v>
      </c>
      <c r="B9360" s="3" t="s">
        <v>54</v>
      </c>
      <c r="C9360" s="4" t="str">
        <f t="shared" si="830"/>
        <v>Tiền Giang</v>
      </c>
      <c r="D9360" s="3" t="s">
        <v>657</v>
      </c>
      <c r="E9360" s="4" t="str">
        <f t="shared" si="831"/>
        <v>Huyện Tân Phú Đông</v>
      </c>
      <c r="F9360" s="3" t="s">
        <v>10119</v>
      </c>
      <c r="G9360" s="4" t="str">
        <f>HYPERLINK("https://diaocthongthai.com/xa-phu-tan-tan-phu-dong/","Xã Phú Tân")</f>
        <v>Xã Phú Tân</v>
      </c>
    </row>
    <row r="9361" spans="1:7" x14ac:dyDescent="0.25">
      <c r="A9361" s="2">
        <v>9360</v>
      </c>
      <c r="B9361" s="3" t="s">
        <v>55</v>
      </c>
      <c r="C9361" s="4" t="str">
        <f t="shared" ref="C9361:C9392" si="832">HYPERLINK("https://diaocthongthai.com/ban-do-ben-tre/","Bến Tre")</f>
        <v>Bến Tre</v>
      </c>
      <c r="D9361" s="3" t="s">
        <v>658</v>
      </c>
      <c r="E9361" s="4" t="str">
        <f t="shared" ref="E9361:E9374" si="833">HYPERLINK("https://diaocthongthai.com/ban-do-tp-ben-tre-ben-tre/","Thành phố Bến Tre")</f>
        <v>Thành phố Bến Tre</v>
      </c>
      <c r="F9361" s="3" t="s">
        <v>10120</v>
      </c>
      <c r="G9361" s="4" t="str">
        <f>HYPERLINK("https://diaocthongthai.com/phuong-phu-khuong-tp-ben-tre/","Phường Phú Khương")</f>
        <v>Phường Phú Khương</v>
      </c>
    </row>
    <row r="9362" spans="1:7" x14ac:dyDescent="0.25">
      <c r="A9362" s="2">
        <v>9361</v>
      </c>
      <c r="B9362" s="3" t="s">
        <v>55</v>
      </c>
      <c r="C9362" s="4" t="str">
        <f t="shared" si="832"/>
        <v>Bến Tre</v>
      </c>
      <c r="D9362" s="3" t="s">
        <v>658</v>
      </c>
      <c r="E9362" s="4" t="str">
        <f t="shared" si="833"/>
        <v>Thành phố Bến Tre</v>
      </c>
      <c r="F9362" s="3" t="s">
        <v>10121</v>
      </c>
      <c r="G9362" s="4" t="str">
        <f>HYPERLINK("https://diaocthongthai.com/phuong-phu-tan-tp-ben-tre/","Phường Phú Tân")</f>
        <v>Phường Phú Tân</v>
      </c>
    </row>
    <row r="9363" spans="1:7" x14ac:dyDescent="0.25">
      <c r="A9363" s="2">
        <v>9362</v>
      </c>
      <c r="B9363" s="3" t="s">
        <v>55</v>
      </c>
      <c r="C9363" s="4" t="str">
        <f t="shared" si="832"/>
        <v>Bến Tre</v>
      </c>
      <c r="D9363" s="3" t="s">
        <v>658</v>
      </c>
      <c r="E9363" s="4" t="str">
        <f t="shared" si="833"/>
        <v>Thành phố Bến Tre</v>
      </c>
      <c r="F9363" s="3" t="s">
        <v>10122</v>
      </c>
      <c r="G9363" s="4" t="str">
        <f>HYPERLINK("https://diaocthongthai.com/phuong-8-tp-ben-tre/","Phường 8")</f>
        <v>Phường 8</v>
      </c>
    </row>
    <row r="9364" spans="1:7" x14ac:dyDescent="0.25">
      <c r="A9364" s="2">
        <v>9363</v>
      </c>
      <c r="B9364" s="3" t="s">
        <v>55</v>
      </c>
      <c r="C9364" s="4" t="str">
        <f t="shared" si="832"/>
        <v>Bến Tre</v>
      </c>
      <c r="D9364" s="3" t="s">
        <v>658</v>
      </c>
      <c r="E9364" s="4" t="str">
        <f t="shared" si="833"/>
        <v>Thành phố Bến Tre</v>
      </c>
      <c r="F9364" s="3" t="s">
        <v>10123</v>
      </c>
      <c r="G9364" s="4" t="str">
        <f>HYPERLINK("https://diaocthongthai.com/phuong-6-tp-ben-tre/","Phường 6")</f>
        <v>Phường 6</v>
      </c>
    </row>
    <row r="9365" spans="1:7" x14ac:dyDescent="0.25">
      <c r="A9365" s="2">
        <v>9364</v>
      </c>
      <c r="B9365" s="3" t="s">
        <v>55</v>
      </c>
      <c r="C9365" s="4" t="str">
        <f t="shared" si="832"/>
        <v>Bến Tre</v>
      </c>
      <c r="D9365" s="3" t="s">
        <v>658</v>
      </c>
      <c r="E9365" s="4" t="str">
        <f t="shared" si="833"/>
        <v>Thành phố Bến Tre</v>
      </c>
      <c r="F9365" s="3" t="s">
        <v>10124</v>
      </c>
      <c r="G9365" s="4" t="str">
        <f>HYPERLINK("https://diaocthongthai.com/phuong-4-tp-ben-tre/","Phường 4")</f>
        <v>Phường 4</v>
      </c>
    </row>
    <row r="9366" spans="1:7" x14ac:dyDescent="0.25">
      <c r="A9366" s="2">
        <v>9365</v>
      </c>
      <c r="B9366" s="3" t="s">
        <v>55</v>
      </c>
      <c r="C9366" s="4" t="str">
        <f t="shared" si="832"/>
        <v>Bến Tre</v>
      </c>
      <c r="D9366" s="3" t="s">
        <v>658</v>
      </c>
      <c r="E9366" s="4" t="str">
        <f t="shared" si="833"/>
        <v>Thành phố Bến Tre</v>
      </c>
      <c r="F9366" s="3" t="s">
        <v>10125</v>
      </c>
      <c r="G9366" s="4" t="str">
        <f>HYPERLINK("https://diaocthongthai.com/phuong-5-tp-ben-tre/","Phường 5")</f>
        <v>Phường 5</v>
      </c>
    </row>
    <row r="9367" spans="1:7" x14ac:dyDescent="0.25">
      <c r="A9367" s="2">
        <v>9366</v>
      </c>
      <c r="B9367" s="3" t="s">
        <v>55</v>
      </c>
      <c r="C9367" s="4" t="str">
        <f t="shared" si="832"/>
        <v>Bến Tre</v>
      </c>
      <c r="D9367" s="3" t="s">
        <v>658</v>
      </c>
      <c r="E9367" s="4" t="str">
        <f t="shared" si="833"/>
        <v>Thành phố Bến Tre</v>
      </c>
      <c r="F9367" s="3" t="s">
        <v>10126</v>
      </c>
      <c r="G9367" s="4" t="str">
        <f>HYPERLINK("https://diaocthongthai.com/phuong-an-hoi-tp-ben-tre/","Phường An Hội")</f>
        <v>Phường An Hội</v>
      </c>
    </row>
    <row r="9368" spans="1:7" x14ac:dyDescent="0.25">
      <c r="A9368" s="2">
        <v>9367</v>
      </c>
      <c r="B9368" s="3" t="s">
        <v>55</v>
      </c>
      <c r="C9368" s="4" t="str">
        <f t="shared" si="832"/>
        <v>Bến Tre</v>
      </c>
      <c r="D9368" s="3" t="s">
        <v>658</v>
      </c>
      <c r="E9368" s="4" t="str">
        <f t="shared" si="833"/>
        <v>Thành phố Bến Tre</v>
      </c>
      <c r="F9368" s="3" t="s">
        <v>10127</v>
      </c>
      <c r="G9368" s="4" t="str">
        <f>HYPERLINK("https://diaocthongthai.com/phuong-7-tp-ben-tre/","Phường 7")</f>
        <v>Phường 7</v>
      </c>
    </row>
    <row r="9369" spans="1:7" x14ac:dyDescent="0.25">
      <c r="A9369" s="2">
        <v>9368</v>
      </c>
      <c r="B9369" s="3" t="s">
        <v>55</v>
      </c>
      <c r="C9369" s="4" t="str">
        <f t="shared" si="832"/>
        <v>Bến Tre</v>
      </c>
      <c r="D9369" s="3" t="s">
        <v>658</v>
      </c>
      <c r="E9369" s="4" t="str">
        <f t="shared" si="833"/>
        <v>Thành phố Bến Tre</v>
      </c>
      <c r="F9369" s="3" t="s">
        <v>10128</v>
      </c>
      <c r="G9369" s="4" t="str">
        <f>HYPERLINK("https://diaocthongthai.com/xa-son-dong-tp-ben-tre/","Xã Sơn Đông")</f>
        <v>Xã Sơn Đông</v>
      </c>
    </row>
    <row r="9370" spans="1:7" x14ac:dyDescent="0.25">
      <c r="A9370" s="2">
        <v>9369</v>
      </c>
      <c r="B9370" s="3" t="s">
        <v>55</v>
      </c>
      <c r="C9370" s="4" t="str">
        <f t="shared" si="832"/>
        <v>Bến Tre</v>
      </c>
      <c r="D9370" s="3" t="s">
        <v>658</v>
      </c>
      <c r="E9370" s="4" t="str">
        <f t="shared" si="833"/>
        <v>Thành phố Bến Tre</v>
      </c>
      <c r="F9370" s="3" t="s">
        <v>10129</v>
      </c>
      <c r="G9370" s="4" t="str">
        <f>HYPERLINK("https://diaocthongthai.com/xa-phu-hung-tp-ben-tre/","Xã Phú Hưng")</f>
        <v>Xã Phú Hưng</v>
      </c>
    </row>
    <row r="9371" spans="1:7" x14ac:dyDescent="0.25">
      <c r="A9371" s="2">
        <v>9370</v>
      </c>
      <c r="B9371" s="3" t="s">
        <v>55</v>
      </c>
      <c r="C9371" s="4" t="str">
        <f t="shared" si="832"/>
        <v>Bến Tre</v>
      </c>
      <c r="D9371" s="3" t="s">
        <v>658</v>
      </c>
      <c r="E9371" s="4" t="str">
        <f t="shared" si="833"/>
        <v>Thành phố Bến Tre</v>
      </c>
      <c r="F9371" s="3" t="s">
        <v>10130</v>
      </c>
      <c r="G9371" s="4" t="str">
        <f>HYPERLINK("https://diaocthongthai.com/xa-binh-phu-tp-ben-tre/","Xã Bình Phú")</f>
        <v>Xã Bình Phú</v>
      </c>
    </row>
    <row r="9372" spans="1:7" x14ac:dyDescent="0.25">
      <c r="A9372" s="2">
        <v>9371</v>
      </c>
      <c r="B9372" s="3" t="s">
        <v>55</v>
      </c>
      <c r="C9372" s="4" t="str">
        <f t="shared" si="832"/>
        <v>Bến Tre</v>
      </c>
      <c r="D9372" s="3" t="s">
        <v>658</v>
      </c>
      <c r="E9372" s="4" t="str">
        <f t="shared" si="833"/>
        <v>Thành phố Bến Tre</v>
      </c>
      <c r="F9372" s="3" t="s">
        <v>10131</v>
      </c>
      <c r="G9372" s="4" t="str">
        <f>HYPERLINK("https://diaocthongthai.com/xa-my-thanh-an-tp-ben-tre/","Xã Mỹ Thạnh An")</f>
        <v>Xã Mỹ Thạnh An</v>
      </c>
    </row>
    <row r="9373" spans="1:7" x14ac:dyDescent="0.25">
      <c r="A9373" s="2">
        <v>9372</v>
      </c>
      <c r="B9373" s="3" t="s">
        <v>55</v>
      </c>
      <c r="C9373" s="4" t="str">
        <f t="shared" si="832"/>
        <v>Bến Tre</v>
      </c>
      <c r="D9373" s="3" t="s">
        <v>658</v>
      </c>
      <c r="E9373" s="4" t="str">
        <f t="shared" si="833"/>
        <v>Thành phố Bến Tre</v>
      </c>
      <c r="F9373" s="3" t="s">
        <v>10132</v>
      </c>
      <c r="G9373" s="4" t="str">
        <f>HYPERLINK("https://diaocthongthai.com/xa-nhon-thanh-tp-ben-tre/","Xã Nhơn Thạnh")</f>
        <v>Xã Nhơn Thạnh</v>
      </c>
    </row>
    <row r="9374" spans="1:7" x14ac:dyDescent="0.25">
      <c r="A9374" s="2">
        <v>9373</v>
      </c>
      <c r="B9374" s="3" t="s">
        <v>55</v>
      </c>
      <c r="C9374" s="4" t="str">
        <f t="shared" si="832"/>
        <v>Bến Tre</v>
      </c>
      <c r="D9374" s="3" t="s">
        <v>658</v>
      </c>
      <c r="E9374" s="4" t="str">
        <f t="shared" si="833"/>
        <v>Thành phố Bến Tre</v>
      </c>
      <c r="F9374" s="3" t="s">
        <v>10133</v>
      </c>
      <c r="G9374" s="4" t="str">
        <f>HYPERLINK("https://diaocthongthai.com/xa-phu-nhuan-tp-ben-tre/","Xã Phú Nhuận")</f>
        <v>Xã Phú Nhuận</v>
      </c>
    </row>
    <row r="9375" spans="1:7" x14ac:dyDescent="0.25">
      <c r="A9375" s="2">
        <v>9374</v>
      </c>
      <c r="B9375" s="3" t="s">
        <v>55</v>
      </c>
      <c r="C9375" s="4" t="str">
        <f t="shared" si="832"/>
        <v>Bến Tre</v>
      </c>
      <c r="D9375" s="3" t="s">
        <v>659</v>
      </c>
      <c r="E9375" s="4" t="str">
        <f t="shared" ref="E9375:E9395" si="834">HYPERLINK("https://diaocthongthai.com/ban-do-huyen-chau-thanh-ben-tre/","Huyện Châu Thành")</f>
        <v>Huyện Châu Thành</v>
      </c>
      <c r="F9375" s="3" t="s">
        <v>10134</v>
      </c>
      <c r="G9375" s="4" t="str">
        <f>HYPERLINK("https://diaocthongthai.com/thi-tran-chau-thanh-chau-thanh-ben-tre/","Thị trấn Châu Thành")</f>
        <v>Thị trấn Châu Thành</v>
      </c>
    </row>
    <row r="9376" spans="1:7" x14ac:dyDescent="0.25">
      <c r="A9376" s="2">
        <v>9375</v>
      </c>
      <c r="B9376" s="3" t="s">
        <v>55</v>
      </c>
      <c r="C9376" s="4" t="str">
        <f t="shared" si="832"/>
        <v>Bến Tre</v>
      </c>
      <c r="D9376" s="3" t="s">
        <v>659</v>
      </c>
      <c r="E9376" s="4" t="str">
        <f t="shared" si="834"/>
        <v>Huyện Châu Thành</v>
      </c>
      <c r="F9376" s="3" t="s">
        <v>10135</v>
      </c>
      <c r="G9376" s="4" t="str">
        <f>HYPERLINK("https://diaocthongthai.com/xa-tan-thach-chau-thanh-ben-tre/","Xã Tân Thạch")</f>
        <v>Xã Tân Thạch</v>
      </c>
    </row>
    <row r="9377" spans="1:7" x14ac:dyDescent="0.25">
      <c r="A9377" s="2">
        <v>9376</v>
      </c>
      <c r="B9377" s="3" t="s">
        <v>55</v>
      </c>
      <c r="C9377" s="4" t="str">
        <f t="shared" si="832"/>
        <v>Bến Tre</v>
      </c>
      <c r="D9377" s="3" t="s">
        <v>659</v>
      </c>
      <c r="E9377" s="4" t="str">
        <f t="shared" si="834"/>
        <v>Huyện Châu Thành</v>
      </c>
      <c r="F9377" s="3" t="s">
        <v>10136</v>
      </c>
      <c r="G9377" s="4" t="str">
        <f>HYPERLINK("https://diaocthongthai.com/xa-quoi-son-chau-thanh-ben-tre/","Xã Qưới Sơn")</f>
        <v>Xã Qưới Sơn</v>
      </c>
    </row>
    <row r="9378" spans="1:7" x14ac:dyDescent="0.25">
      <c r="A9378" s="2">
        <v>9377</v>
      </c>
      <c r="B9378" s="3" t="s">
        <v>55</v>
      </c>
      <c r="C9378" s="4" t="str">
        <f t="shared" si="832"/>
        <v>Bến Tre</v>
      </c>
      <c r="D9378" s="3" t="s">
        <v>659</v>
      </c>
      <c r="E9378" s="4" t="str">
        <f t="shared" si="834"/>
        <v>Huyện Châu Thành</v>
      </c>
      <c r="F9378" s="3" t="s">
        <v>10137</v>
      </c>
      <c r="G9378" s="4" t="str">
        <f>HYPERLINK("https://diaocthongthai.com/xa-an-khanh-chau-thanh-ben-tre/","Xã An Khánh")</f>
        <v>Xã An Khánh</v>
      </c>
    </row>
    <row r="9379" spans="1:7" x14ac:dyDescent="0.25">
      <c r="A9379" s="2">
        <v>9378</v>
      </c>
      <c r="B9379" s="3" t="s">
        <v>55</v>
      </c>
      <c r="C9379" s="4" t="str">
        <f t="shared" si="832"/>
        <v>Bến Tre</v>
      </c>
      <c r="D9379" s="3" t="s">
        <v>659</v>
      </c>
      <c r="E9379" s="4" t="str">
        <f t="shared" si="834"/>
        <v>Huyện Châu Thành</v>
      </c>
      <c r="F9379" s="3" t="s">
        <v>10138</v>
      </c>
      <c r="G9379" s="4" t="str">
        <f>HYPERLINK("https://diaocthongthai.com/xa-giao-long-chau-thanh-ben-tre/","Xã Giao Long")</f>
        <v>Xã Giao Long</v>
      </c>
    </row>
    <row r="9380" spans="1:7" x14ac:dyDescent="0.25">
      <c r="A9380" s="2">
        <v>9379</v>
      </c>
      <c r="B9380" s="3" t="s">
        <v>55</v>
      </c>
      <c r="C9380" s="4" t="str">
        <f t="shared" si="832"/>
        <v>Bến Tre</v>
      </c>
      <c r="D9380" s="3" t="s">
        <v>659</v>
      </c>
      <c r="E9380" s="4" t="str">
        <f t="shared" si="834"/>
        <v>Huyện Châu Thành</v>
      </c>
      <c r="F9380" s="3" t="s">
        <v>10139</v>
      </c>
      <c r="G9380" s="4" t="str">
        <f>HYPERLINK("https://diaocthongthai.com/xa-phu-tuc-chau-thanh-ben-tre/","Xã Phú Túc")</f>
        <v>Xã Phú Túc</v>
      </c>
    </row>
    <row r="9381" spans="1:7" x14ac:dyDescent="0.25">
      <c r="A9381" s="2">
        <v>9380</v>
      </c>
      <c r="B9381" s="3" t="s">
        <v>55</v>
      </c>
      <c r="C9381" s="4" t="str">
        <f t="shared" si="832"/>
        <v>Bến Tre</v>
      </c>
      <c r="D9381" s="3" t="s">
        <v>659</v>
      </c>
      <c r="E9381" s="4" t="str">
        <f t="shared" si="834"/>
        <v>Huyện Châu Thành</v>
      </c>
      <c r="F9381" s="3" t="s">
        <v>10140</v>
      </c>
      <c r="G9381" s="4" t="str">
        <f>HYPERLINK("https://diaocthongthai.com/xa-phu-duc-chau-thanh-ben-tre/","Xã Phú Đức")</f>
        <v>Xã Phú Đức</v>
      </c>
    </row>
    <row r="9382" spans="1:7" x14ac:dyDescent="0.25">
      <c r="A9382" s="2">
        <v>9381</v>
      </c>
      <c r="B9382" s="3" t="s">
        <v>55</v>
      </c>
      <c r="C9382" s="4" t="str">
        <f t="shared" si="832"/>
        <v>Bến Tre</v>
      </c>
      <c r="D9382" s="3" t="s">
        <v>659</v>
      </c>
      <c r="E9382" s="4" t="str">
        <f t="shared" si="834"/>
        <v>Huyện Châu Thành</v>
      </c>
      <c r="F9382" s="3" t="s">
        <v>10141</v>
      </c>
      <c r="G9382" s="4" t="str">
        <f>HYPERLINK("https://diaocthongthai.com/xa-phu-an-hoa-chau-thanh-ben-tre/","Xã Phú An Hòa")</f>
        <v>Xã Phú An Hòa</v>
      </c>
    </row>
    <row r="9383" spans="1:7" x14ac:dyDescent="0.25">
      <c r="A9383" s="2">
        <v>9382</v>
      </c>
      <c r="B9383" s="3" t="s">
        <v>55</v>
      </c>
      <c r="C9383" s="4" t="str">
        <f t="shared" si="832"/>
        <v>Bến Tre</v>
      </c>
      <c r="D9383" s="3" t="s">
        <v>659</v>
      </c>
      <c r="E9383" s="4" t="str">
        <f t="shared" si="834"/>
        <v>Huyện Châu Thành</v>
      </c>
      <c r="F9383" s="3" t="s">
        <v>10142</v>
      </c>
      <c r="G9383" s="4" t="str">
        <f>HYPERLINK("https://diaocthongthai.com/xa-an-phuoc-chau-thanh-ben-tre/","Xã An Phước")</f>
        <v>Xã An Phước</v>
      </c>
    </row>
    <row r="9384" spans="1:7" x14ac:dyDescent="0.25">
      <c r="A9384" s="2">
        <v>9383</v>
      </c>
      <c r="B9384" s="3" t="s">
        <v>55</v>
      </c>
      <c r="C9384" s="4" t="str">
        <f t="shared" si="832"/>
        <v>Bến Tre</v>
      </c>
      <c r="D9384" s="3" t="s">
        <v>659</v>
      </c>
      <c r="E9384" s="4" t="str">
        <f t="shared" si="834"/>
        <v>Huyện Châu Thành</v>
      </c>
      <c r="F9384" s="3" t="s">
        <v>10143</v>
      </c>
      <c r="G9384" s="4" t="str">
        <f>HYPERLINK("https://diaocthongthai.com/xa-tam-phuoc-chau-thanh-ben-tre/","Xã Tam Phước")</f>
        <v>Xã Tam Phước</v>
      </c>
    </row>
    <row r="9385" spans="1:7" x14ac:dyDescent="0.25">
      <c r="A9385" s="2">
        <v>9384</v>
      </c>
      <c r="B9385" s="3" t="s">
        <v>55</v>
      </c>
      <c r="C9385" s="4" t="str">
        <f t="shared" si="832"/>
        <v>Bến Tre</v>
      </c>
      <c r="D9385" s="3" t="s">
        <v>659</v>
      </c>
      <c r="E9385" s="4" t="str">
        <f t="shared" si="834"/>
        <v>Huyện Châu Thành</v>
      </c>
      <c r="F9385" s="3" t="s">
        <v>10144</v>
      </c>
      <c r="G9385" s="4" t="str">
        <f>HYPERLINK("https://diaocthongthai.com/xa-thanh-trieu-chau-thanh-ben-tre/","Xã Thành Triệu")</f>
        <v>Xã Thành Triệu</v>
      </c>
    </row>
    <row r="9386" spans="1:7" x14ac:dyDescent="0.25">
      <c r="A9386" s="2">
        <v>9385</v>
      </c>
      <c r="B9386" s="3" t="s">
        <v>55</v>
      </c>
      <c r="C9386" s="4" t="str">
        <f t="shared" si="832"/>
        <v>Bến Tre</v>
      </c>
      <c r="D9386" s="3" t="s">
        <v>659</v>
      </c>
      <c r="E9386" s="4" t="str">
        <f t="shared" si="834"/>
        <v>Huyện Châu Thành</v>
      </c>
      <c r="F9386" s="3" t="s">
        <v>10145</v>
      </c>
      <c r="G9386" s="4" t="str">
        <f>HYPERLINK("https://diaocthongthai.com/xa-tuong-da-chau-thanh-ben-tre/","Xã Tường Đa")</f>
        <v>Xã Tường Đa</v>
      </c>
    </row>
    <row r="9387" spans="1:7" x14ac:dyDescent="0.25">
      <c r="A9387" s="2">
        <v>9386</v>
      </c>
      <c r="B9387" s="3" t="s">
        <v>55</v>
      </c>
      <c r="C9387" s="4" t="str">
        <f t="shared" si="832"/>
        <v>Bến Tre</v>
      </c>
      <c r="D9387" s="3" t="s">
        <v>659</v>
      </c>
      <c r="E9387" s="4" t="str">
        <f t="shared" si="834"/>
        <v>Huyện Châu Thành</v>
      </c>
      <c r="F9387" s="3" t="s">
        <v>10146</v>
      </c>
      <c r="G9387" s="4" t="str">
        <f>HYPERLINK("https://diaocthongthai.com/xa-tan-phu-chau-thanh-ben-tre/","Xã Tân Phú")</f>
        <v>Xã Tân Phú</v>
      </c>
    </row>
    <row r="9388" spans="1:7" x14ac:dyDescent="0.25">
      <c r="A9388" s="2">
        <v>9387</v>
      </c>
      <c r="B9388" s="3" t="s">
        <v>55</v>
      </c>
      <c r="C9388" s="4" t="str">
        <f t="shared" si="832"/>
        <v>Bến Tre</v>
      </c>
      <c r="D9388" s="3" t="s">
        <v>659</v>
      </c>
      <c r="E9388" s="4" t="str">
        <f t="shared" si="834"/>
        <v>Huyện Châu Thành</v>
      </c>
      <c r="F9388" s="3" t="s">
        <v>10147</v>
      </c>
      <c r="G9388" s="4" t="str">
        <f>HYPERLINK("https://diaocthongthai.com/xa-quoi-thanh-chau-thanh-ben-tre/","Xã Quới Thành")</f>
        <v>Xã Quới Thành</v>
      </c>
    </row>
    <row r="9389" spans="1:7" x14ac:dyDescent="0.25">
      <c r="A9389" s="2">
        <v>9388</v>
      </c>
      <c r="B9389" s="3" t="s">
        <v>55</v>
      </c>
      <c r="C9389" s="4" t="str">
        <f t="shared" si="832"/>
        <v>Bến Tre</v>
      </c>
      <c r="D9389" s="3" t="s">
        <v>659</v>
      </c>
      <c r="E9389" s="4" t="str">
        <f t="shared" si="834"/>
        <v>Huyện Châu Thành</v>
      </c>
      <c r="F9389" s="3" t="s">
        <v>10148</v>
      </c>
      <c r="G9389" s="4" t="str">
        <f>HYPERLINK("https://diaocthongthai.com/xa-phuoc-thanh-chau-thanh-ben-tre/","Xã Phước Thạnh")</f>
        <v>Xã Phước Thạnh</v>
      </c>
    </row>
    <row r="9390" spans="1:7" x14ac:dyDescent="0.25">
      <c r="A9390" s="2">
        <v>9389</v>
      </c>
      <c r="B9390" s="3" t="s">
        <v>55</v>
      </c>
      <c r="C9390" s="4" t="str">
        <f t="shared" si="832"/>
        <v>Bến Tre</v>
      </c>
      <c r="D9390" s="3" t="s">
        <v>659</v>
      </c>
      <c r="E9390" s="4" t="str">
        <f t="shared" si="834"/>
        <v>Huyện Châu Thành</v>
      </c>
      <c r="F9390" s="3" t="s">
        <v>10149</v>
      </c>
      <c r="G9390" s="4" t="str">
        <f>HYPERLINK("https://diaocthongthai.com/xa-an-hoa-chau-thanh-ben-tre/","Xã An Hóa")</f>
        <v>Xã An Hóa</v>
      </c>
    </row>
    <row r="9391" spans="1:7" x14ac:dyDescent="0.25">
      <c r="A9391" s="2">
        <v>9390</v>
      </c>
      <c r="B9391" s="3" t="s">
        <v>55</v>
      </c>
      <c r="C9391" s="4" t="str">
        <f t="shared" si="832"/>
        <v>Bến Tre</v>
      </c>
      <c r="D9391" s="3" t="s">
        <v>659</v>
      </c>
      <c r="E9391" s="4" t="str">
        <f t="shared" si="834"/>
        <v>Huyện Châu Thành</v>
      </c>
      <c r="F9391" s="3" t="s">
        <v>10150</v>
      </c>
      <c r="G9391" s="4" t="str">
        <f>HYPERLINK("https://diaocthongthai.com/xa-tien-long-chau-thanh-ben-tre/","Xã Tiên Long")</f>
        <v>Xã Tiên Long</v>
      </c>
    </row>
    <row r="9392" spans="1:7" x14ac:dyDescent="0.25">
      <c r="A9392" s="2">
        <v>9391</v>
      </c>
      <c r="B9392" s="3" t="s">
        <v>55</v>
      </c>
      <c r="C9392" s="4" t="str">
        <f t="shared" si="832"/>
        <v>Bến Tre</v>
      </c>
      <c r="D9392" s="3" t="s">
        <v>659</v>
      </c>
      <c r="E9392" s="4" t="str">
        <f t="shared" si="834"/>
        <v>Huyện Châu Thành</v>
      </c>
      <c r="F9392" s="3" t="s">
        <v>10151</v>
      </c>
      <c r="G9392" s="4" t="str">
        <f>HYPERLINK("https://diaocthongthai.com/xa-an-hiep-chau-thanh-ben-tre/","Xã An Hiệp")</f>
        <v>Xã An Hiệp</v>
      </c>
    </row>
    <row r="9393" spans="1:7" x14ac:dyDescent="0.25">
      <c r="A9393" s="2">
        <v>9392</v>
      </c>
      <c r="B9393" s="3" t="s">
        <v>55</v>
      </c>
      <c r="C9393" s="4" t="str">
        <f t="shared" ref="C9393:C9424" si="835">HYPERLINK("https://diaocthongthai.com/ban-do-ben-tre/","Bến Tre")</f>
        <v>Bến Tre</v>
      </c>
      <c r="D9393" s="3" t="s">
        <v>659</v>
      </c>
      <c r="E9393" s="4" t="str">
        <f t="shared" si="834"/>
        <v>Huyện Châu Thành</v>
      </c>
      <c r="F9393" s="3" t="s">
        <v>10152</v>
      </c>
      <c r="G9393" s="4" t="str">
        <f>HYPERLINK("https://diaocthongthai.com/xa-huu-dinh-chau-thanh-ben-tre/","Xã Hữu Định")</f>
        <v>Xã Hữu Định</v>
      </c>
    </row>
    <row r="9394" spans="1:7" x14ac:dyDescent="0.25">
      <c r="A9394" s="2">
        <v>9393</v>
      </c>
      <c r="B9394" s="3" t="s">
        <v>55</v>
      </c>
      <c r="C9394" s="4" t="str">
        <f t="shared" si="835"/>
        <v>Bến Tre</v>
      </c>
      <c r="D9394" s="3" t="s">
        <v>659</v>
      </c>
      <c r="E9394" s="4" t="str">
        <f t="shared" si="834"/>
        <v>Huyện Châu Thành</v>
      </c>
      <c r="F9394" s="3" t="s">
        <v>10153</v>
      </c>
      <c r="G9394" s="4" t="str">
        <f>HYPERLINK("https://diaocthongthai.com/xa-tien-thuy-chau-thanh-ben-tre/","Xã Tiên Thủy")</f>
        <v>Xã Tiên Thủy</v>
      </c>
    </row>
    <row r="9395" spans="1:7" x14ac:dyDescent="0.25">
      <c r="A9395" s="2">
        <v>9394</v>
      </c>
      <c r="B9395" s="3" t="s">
        <v>55</v>
      </c>
      <c r="C9395" s="4" t="str">
        <f t="shared" si="835"/>
        <v>Bến Tre</v>
      </c>
      <c r="D9395" s="3" t="s">
        <v>659</v>
      </c>
      <c r="E9395" s="4" t="str">
        <f t="shared" si="834"/>
        <v>Huyện Châu Thành</v>
      </c>
      <c r="F9395" s="3" t="s">
        <v>10154</v>
      </c>
      <c r="G9395" s="4" t="str">
        <f>HYPERLINK("https://diaocthongthai.com/xa-son-hoa-chau-thanh-ben-tre/","Xã Sơn Hòa")</f>
        <v>Xã Sơn Hòa</v>
      </c>
    </row>
    <row r="9396" spans="1:7" x14ac:dyDescent="0.25">
      <c r="A9396" s="2">
        <v>9395</v>
      </c>
      <c r="B9396" s="3" t="s">
        <v>55</v>
      </c>
      <c r="C9396" s="4" t="str">
        <f t="shared" si="835"/>
        <v>Bến Tre</v>
      </c>
      <c r="D9396" s="3" t="s">
        <v>660</v>
      </c>
      <c r="E9396" s="4" t="str">
        <f t="shared" ref="E9396:E9406" si="836">HYPERLINK("https://diaocthongthai.com/ban-do-huyen-cho-lach-ben-tre/","Huyện Chợ Lách")</f>
        <v>Huyện Chợ Lách</v>
      </c>
      <c r="F9396" s="3" t="s">
        <v>10155</v>
      </c>
      <c r="G9396" s="4" t="str">
        <f>HYPERLINK("https://diaocthongthai.com/thi-tran-cho-lach-cho-lach/","Thị trấn Chợ Lách")</f>
        <v>Thị trấn Chợ Lách</v>
      </c>
    </row>
    <row r="9397" spans="1:7" x14ac:dyDescent="0.25">
      <c r="A9397" s="2">
        <v>9396</v>
      </c>
      <c r="B9397" s="3" t="s">
        <v>55</v>
      </c>
      <c r="C9397" s="4" t="str">
        <f t="shared" si="835"/>
        <v>Bến Tre</v>
      </c>
      <c r="D9397" s="3" t="s">
        <v>660</v>
      </c>
      <c r="E9397" s="4" t="str">
        <f t="shared" si="836"/>
        <v>Huyện Chợ Lách</v>
      </c>
      <c r="F9397" s="3" t="s">
        <v>10156</v>
      </c>
      <c r="G9397" s="4" t="str">
        <f>HYPERLINK("https://diaocthongthai.com/xa-phu-phung-cho-lach/","Xã Phú Phụng")</f>
        <v>Xã Phú Phụng</v>
      </c>
    </row>
    <row r="9398" spans="1:7" x14ac:dyDescent="0.25">
      <c r="A9398" s="2">
        <v>9397</v>
      </c>
      <c r="B9398" s="3" t="s">
        <v>55</v>
      </c>
      <c r="C9398" s="4" t="str">
        <f t="shared" si="835"/>
        <v>Bến Tre</v>
      </c>
      <c r="D9398" s="3" t="s">
        <v>660</v>
      </c>
      <c r="E9398" s="4" t="str">
        <f t="shared" si="836"/>
        <v>Huyện Chợ Lách</v>
      </c>
      <c r="F9398" s="3" t="s">
        <v>10157</v>
      </c>
      <c r="G9398" s="4" t="str">
        <f>HYPERLINK("https://diaocthongthai.com/xa-son-dinh-cho-lach/","Xã Sơn Định")</f>
        <v>Xã Sơn Định</v>
      </c>
    </row>
    <row r="9399" spans="1:7" x14ac:dyDescent="0.25">
      <c r="A9399" s="2">
        <v>9398</v>
      </c>
      <c r="B9399" s="3" t="s">
        <v>55</v>
      </c>
      <c r="C9399" s="4" t="str">
        <f t="shared" si="835"/>
        <v>Bến Tre</v>
      </c>
      <c r="D9399" s="3" t="s">
        <v>660</v>
      </c>
      <c r="E9399" s="4" t="str">
        <f t="shared" si="836"/>
        <v>Huyện Chợ Lách</v>
      </c>
      <c r="F9399" s="3" t="s">
        <v>10158</v>
      </c>
      <c r="G9399" s="4" t="str">
        <f>HYPERLINK("https://diaocthongthai.com/xa-vinh-binh-cho-lach/","Xã Vĩnh Bình")</f>
        <v>Xã Vĩnh Bình</v>
      </c>
    </row>
    <row r="9400" spans="1:7" x14ac:dyDescent="0.25">
      <c r="A9400" s="2">
        <v>9399</v>
      </c>
      <c r="B9400" s="3" t="s">
        <v>55</v>
      </c>
      <c r="C9400" s="4" t="str">
        <f t="shared" si="835"/>
        <v>Bến Tre</v>
      </c>
      <c r="D9400" s="3" t="s">
        <v>660</v>
      </c>
      <c r="E9400" s="4" t="str">
        <f t="shared" si="836"/>
        <v>Huyện Chợ Lách</v>
      </c>
      <c r="F9400" s="3" t="s">
        <v>10159</v>
      </c>
      <c r="G9400" s="4" t="str">
        <f>HYPERLINK("https://diaocthongthai.com/xa-hoa-nghia-cho-lach/","Xã Hòa Nghĩa")</f>
        <v>Xã Hòa Nghĩa</v>
      </c>
    </row>
    <row r="9401" spans="1:7" x14ac:dyDescent="0.25">
      <c r="A9401" s="2">
        <v>9400</v>
      </c>
      <c r="B9401" s="3" t="s">
        <v>55</v>
      </c>
      <c r="C9401" s="4" t="str">
        <f t="shared" si="835"/>
        <v>Bến Tre</v>
      </c>
      <c r="D9401" s="3" t="s">
        <v>660</v>
      </c>
      <c r="E9401" s="4" t="str">
        <f t="shared" si="836"/>
        <v>Huyện Chợ Lách</v>
      </c>
      <c r="F9401" s="3" t="s">
        <v>10160</v>
      </c>
      <c r="G9401" s="4" t="str">
        <f>HYPERLINK("https://diaocthongthai.com/xa-long-thoi-cho-lach/","Xã Long Thới")</f>
        <v>Xã Long Thới</v>
      </c>
    </row>
    <row r="9402" spans="1:7" x14ac:dyDescent="0.25">
      <c r="A9402" s="2">
        <v>9401</v>
      </c>
      <c r="B9402" s="3" t="s">
        <v>55</v>
      </c>
      <c r="C9402" s="4" t="str">
        <f t="shared" si="835"/>
        <v>Bến Tre</v>
      </c>
      <c r="D9402" s="3" t="s">
        <v>660</v>
      </c>
      <c r="E9402" s="4" t="str">
        <f t="shared" si="836"/>
        <v>Huyện Chợ Lách</v>
      </c>
      <c r="F9402" s="3" t="s">
        <v>10161</v>
      </c>
      <c r="G9402" s="4" t="str">
        <f>HYPERLINK("https://diaocthongthai.com/xa-phu-son-cho-lach/","Xã Phú Sơn")</f>
        <v>Xã Phú Sơn</v>
      </c>
    </row>
    <row r="9403" spans="1:7" x14ac:dyDescent="0.25">
      <c r="A9403" s="2">
        <v>9402</v>
      </c>
      <c r="B9403" s="3" t="s">
        <v>55</v>
      </c>
      <c r="C9403" s="4" t="str">
        <f t="shared" si="835"/>
        <v>Bến Tre</v>
      </c>
      <c r="D9403" s="3" t="s">
        <v>660</v>
      </c>
      <c r="E9403" s="4" t="str">
        <f t="shared" si="836"/>
        <v>Huyện Chợ Lách</v>
      </c>
      <c r="F9403" s="3" t="s">
        <v>10162</v>
      </c>
      <c r="G9403" s="4" t="str">
        <f>HYPERLINK("https://diaocthongthai.com/xa-tan-thieng-cho-lach/","Xã Tân Thiềng")</f>
        <v>Xã Tân Thiềng</v>
      </c>
    </row>
    <row r="9404" spans="1:7" x14ac:dyDescent="0.25">
      <c r="A9404" s="2">
        <v>9403</v>
      </c>
      <c r="B9404" s="3" t="s">
        <v>55</v>
      </c>
      <c r="C9404" s="4" t="str">
        <f t="shared" si="835"/>
        <v>Bến Tre</v>
      </c>
      <c r="D9404" s="3" t="s">
        <v>660</v>
      </c>
      <c r="E9404" s="4" t="str">
        <f t="shared" si="836"/>
        <v>Huyện Chợ Lách</v>
      </c>
      <c r="F9404" s="3" t="s">
        <v>10163</v>
      </c>
      <c r="G9404" s="4" t="str">
        <f>HYPERLINK("https://diaocthongthai.com/xa-vinh-thanh-cho-lach/","Xã Vĩnh Thành")</f>
        <v>Xã Vĩnh Thành</v>
      </c>
    </row>
    <row r="9405" spans="1:7" x14ac:dyDescent="0.25">
      <c r="A9405" s="2">
        <v>9404</v>
      </c>
      <c r="B9405" s="3" t="s">
        <v>55</v>
      </c>
      <c r="C9405" s="4" t="str">
        <f t="shared" si="835"/>
        <v>Bến Tre</v>
      </c>
      <c r="D9405" s="3" t="s">
        <v>660</v>
      </c>
      <c r="E9405" s="4" t="str">
        <f t="shared" si="836"/>
        <v>Huyện Chợ Lách</v>
      </c>
      <c r="F9405" s="3" t="s">
        <v>10164</v>
      </c>
      <c r="G9405" s="4" t="str">
        <f>HYPERLINK("https://diaocthongthai.com/xa-vinh-hoa-cho-lach/","Xã Vĩnh Hòa")</f>
        <v>Xã Vĩnh Hòa</v>
      </c>
    </row>
    <row r="9406" spans="1:7" x14ac:dyDescent="0.25">
      <c r="A9406" s="2">
        <v>9405</v>
      </c>
      <c r="B9406" s="3" t="s">
        <v>55</v>
      </c>
      <c r="C9406" s="4" t="str">
        <f t="shared" si="835"/>
        <v>Bến Tre</v>
      </c>
      <c r="D9406" s="3" t="s">
        <v>660</v>
      </c>
      <c r="E9406" s="4" t="str">
        <f t="shared" si="836"/>
        <v>Huyện Chợ Lách</v>
      </c>
      <c r="F9406" s="3" t="s">
        <v>10165</v>
      </c>
      <c r="G9406" s="4" t="str">
        <f>HYPERLINK("https://diaocthongthai.com/xa-hung-khanh-trung-b-cho-lach/","Xã Hưng Khánh Trung B")</f>
        <v>Xã Hưng Khánh Trung B</v>
      </c>
    </row>
    <row r="9407" spans="1:7" x14ac:dyDescent="0.25">
      <c r="A9407" s="2">
        <v>9406</v>
      </c>
      <c r="B9407" s="3" t="s">
        <v>55</v>
      </c>
      <c r="C9407" s="4" t="str">
        <f t="shared" si="835"/>
        <v>Bến Tre</v>
      </c>
      <c r="D9407" s="3" t="s">
        <v>661</v>
      </c>
      <c r="E9407" s="4" t="str">
        <f t="shared" ref="E9407:E9422" si="837">HYPERLINK("https://diaocthongthai.com/ban-do-huyen-mo-cay-nam-ben-tre/","Huyện Mỏ Cày Nam")</f>
        <v>Huyện Mỏ Cày Nam</v>
      </c>
      <c r="F9407" s="3" t="s">
        <v>10166</v>
      </c>
      <c r="G9407" s="4" t="str">
        <f>HYPERLINK("https://diaocthongthai.com/thi-tran-mo-cay-mo-cay-nam/","Thị trấn Mỏ Cày")</f>
        <v>Thị trấn Mỏ Cày</v>
      </c>
    </row>
    <row r="9408" spans="1:7" x14ac:dyDescent="0.25">
      <c r="A9408" s="2">
        <v>9407</v>
      </c>
      <c r="B9408" s="3" t="s">
        <v>55</v>
      </c>
      <c r="C9408" s="4" t="str">
        <f t="shared" si="835"/>
        <v>Bến Tre</v>
      </c>
      <c r="D9408" s="3" t="s">
        <v>661</v>
      </c>
      <c r="E9408" s="4" t="str">
        <f t="shared" si="837"/>
        <v>Huyện Mỏ Cày Nam</v>
      </c>
      <c r="F9408" s="3" t="s">
        <v>10167</v>
      </c>
      <c r="G9408" s="4" t="str">
        <f>HYPERLINK("https://diaocthongthai.com/xa-dinh-thuy-mo-cay-nam/","Xã Định Thủy")</f>
        <v>Xã Định Thủy</v>
      </c>
    </row>
    <row r="9409" spans="1:7" x14ac:dyDescent="0.25">
      <c r="A9409" s="2">
        <v>9408</v>
      </c>
      <c r="B9409" s="3" t="s">
        <v>55</v>
      </c>
      <c r="C9409" s="4" t="str">
        <f t="shared" si="835"/>
        <v>Bến Tre</v>
      </c>
      <c r="D9409" s="3" t="s">
        <v>661</v>
      </c>
      <c r="E9409" s="4" t="str">
        <f t="shared" si="837"/>
        <v>Huyện Mỏ Cày Nam</v>
      </c>
      <c r="F9409" s="3" t="s">
        <v>10168</v>
      </c>
      <c r="G9409" s="4" t="str">
        <f>HYPERLINK("https://diaocthongthai.com/xa-da-phuoc-hoi-mo-cay-nam/","Xã Đa Phước Hội")</f>
        <v>Xã Đa Phước Hội</v>
      </c>
    </row>
    <row r="9410" spans="1:7" x14ac:dyDescent="0.25">
      <c r="A9410" s="2">
        <v>9409</v>
      </c>
      <c r="B9410" s="3" t="s">
        <v>55</v>
      </c>
      <c r="C9410" s="4" t="str">
        <f t="shared" si="835"/>
        <v>Bến Tre</v>
      </c>
      <c r="D9410" s="3" t="s">
        <v>661</v>
      </c>
      <c r="E9410" s="4" t="str">
        <f t="shared" si="837"/>
        <v>Huyện Mỏ Cày Nam</v>
      </c>
      <c r="F9410" s="3" t="s">
        <v>10169</v>
      </c>
      <c r="G9410" s="4" t="str">
        <f>HYPERLINK("https://diaocthongthai.com/xa-tan-hoi-mo-cay-nam/","Xã Tân Hội")</f>
        <v>Xã Tân Hội</v>
      </c>
    </row>
    <row r="9411" spans="1:7" x14ac:dyDescent="0.25">
      <c r="A9411" s="2">
        <v>9410</v>
      </c>
      <c r="B9411" s="3" t="s">
        <v>55</v>
      </c>
      <c r="C9411" s="4" t="str">
        <f t="shared" si="835"/>
        <v>Bến Tre</v>
      </c>
      <c r="D9411" s="3" t="s">
        <v>661</v>
      </c>
      <c r="E9411" s="4" t="str">
        <f t="shared" si="837"/>
        <v>Huyện Mỏ Cày Nam</v>
      </c>
      <c r="F9411" s="3" t="s">
        <v>10170</v>
      </c>
      <c r="G9411" s="4" t="str">
        <f>HYPERLINK("https://diaocthongthai.com/xa-phuoc-hiep-mo-cay-nam/","Xã Phước Hiệp")</f>
        <v>Xã Phước Hiệp</v>
      </c>
    </row>
    <row r="9412" spans="1:7" x14ac:dyDescent="0.25">
      <c r="A9412" s="2">
        <v>9411</v>
      </c>
      <c r="B9412" s="3" t="s">
        <v>55</v>
      </c>
      <c r="C9412" s="4" t="str">
        <f t="shared" si="835"/>
        <v>Bến Tre</v>
      </c>
      <c r="D9412" s="3" t="s">
        <v>661</v>
      </c>
      <c r="E9412" s="4" t="str">
        <f t="shared" si="837"/>
        <v>Huyện Mỏ Cày Nam</v>
      </c>
      <c r="F9412" s="3" t="s">
        <v>10171</v>
      </c>
      <c r="G9412" s="4" t="str">
        <f>HYPERLINK("https://diaocthongthai.com/xa-binh-khanh-mo-cay-nam/","Xã Bình Khánh ")</f>
        <v xml:space="preserve">Xã Bình Khánh </v>
      </c>
    </row>
    <row r="9413" spans="1:7" x14ac:dyDescent="0.25">
      <c r="A9413" s="2">
        <v>9412</v>
      </c>
      <c r="B9413" s="3" t="s">
        <v>55</v>
      </c>
      <c r="C9413" s="4" t="str">
        <f t="shared" si="835"/>
        <v>Bến Tre</v>
      </c>
      <c r="D9413" s="3" t="s">
        <v>661</v>
      </c>
      <c r="E9413" s="4" t="str">
        <f t="shared" si="837"/>
        <v>Huyện Mỏ Cày Nam</v>
      </c>
      <c r="F9413" s="3" t="s">
        <v>10172</v>
      </c>
      <c r="G9413" s="4" t="str">
        <f>HYPERLINK("https://diaocthongthai.com/xa-an-thanh-mo-cay-nam/","Xã An Thạnh")</f>
        <v>Xã An Thạnh</v>
      </c>
    </row>
    <row r="9414" spans="1:7" x14ac:dyDescent="0.25">
      <c r="A9414" s="2">
        <v>9413</v>
      </c>
      <c r="B9414" s="3" t="s">
        <v>55</v>
      </c>
      <c r="C9414" s="4" t="str">
        <f t="shared" si="835"/>
        <v>Bến Tre</v>
      </c>
      <c r="D9414" s="3" t="s">
        <v>661</v>
      </c>
      <c r="E9414" s="4" t="str">
        <f t="shared" si="837"/>
        <v>Huyện Mỏ Cày Nam</v>
      </c>
      <c r="F9414" s="3" t="s">
        <v>10173</v>
      </c>
      <c r="G9414" s="4" t="str">
        <f>HYPERLINK("https://diaocthongthai.com/xa-an-dinh-mo-cay-nam/","Xã An Định")</f>
        <v>Xã An Định</v>
      </c>
    </row>
    <row r="9415" spans="1:7" x14ac:dyDescent="0.25">
      <c r="A9415" s="2">
        <v>9414</v>
      </c>
      <c r="B9415" s="3" t="s">
        <v>55</v>
      </c>
      <c r="C9415" s="4" t="str">
        <f t="shared" si="835"/>
        <v>Bến Tre</v>
      </c>
      <c r="D9415" s="3" t="s">
        <v>661</v>
      </c>
      <c r="E9415" s="4" t="str">
        <f t="shared" si="837"/>
        <v>Huyện Mỏ Cày Nam</v>
      </c>
      <c r="F9415" s="3" t="s">
        <v>10174</v>
      </c>
      <c r="G9415" s="4" t="str">
        <f>HYPERLINK("https://diaocthongthai.com/xa-thanh-thoi-b-mo-cay-nam/","Xã Thành Thới B")</f>
        <v>Xã Thành Thới B</v>
      </c>
    </row>
    <row r="9416" spans="1:7" x14ac:dyDescent="0.25">
      <c r="A9416" s="2">
        <v>9415</v>
      </c>
      <c r="B9416" s="3" t="s">
        <v>55</v>
      </c>
      <c r="C9416" s="4" t="str">
        <f t="shared" si="835"/>
        <v>Bến Tre</v>
      </c>
      <c r="D9416" s="3" t="s">
        <v>661</v>
      </c>
      <c r="E9416" s="4" t="str">
        <f t="shared" si="837"/>
        <v>Huyện Mỏ Cày Nam</v>
      </c>
      <c r="F9416" s="3" t="s">
        <v>10175</v>
      </c>
      <c r="G9416" s="4" t="str">
        <f>HYPERLINK("https://diaocthongthai.com/xa-tan-trung-mo-cay-nam/","Xã Tân Trung")</f>
        <v>Xã Tân Trung</v>
      </c>
    </row>
    <row r="9417" spans="1:7" x14ac:dyDescent="0.25">
      <c r="A9417" s="2">
        <v>9416</v>
      </c>
      <c r="B9417" s="3" t="s">
        <v>55</v>
      </c>
      <c r="C9417" s="4" t="str">
        <f t="shared" si="835"/>
        <v>Bến Tre</v>
      </c>
      <c r="D9417" s="3" t="s">
        <v>661</v>
      </c>
      <c r="E9417" s="4" t="str">
        <f t="shared" si="837"/>
        <v>Huyện Mỏ Cày Nam</v>
      </c>
      <c r="F9417" s="3" t="s">
        <v>10176</v>
      </c>
      <c r="G9417" s="4" t="str">
        <f>HYPERLINK("https://diaocthongthai.com/xa-an-thoi-mo-cay-nam/","Xã An Thới")</f>
        <v>Xã An Thới</v>
      </c>
    </row>
    <row r="9418" spans="1:7" x14ac:dyDescent="0.25">
      <c r="A9418" s="2">
        <v>9417</v>
      </c>
      <c r="B9418" s="3" t="s">
        <v>55</v>
      </c>
      <c r="C9418" s="4" t="str">
        <f t="shared" si="835"/>
        <v>Bến Tre</v>
      </c>
      <c r="D9418" s="3" t="s">
        <v>661</v>
      </c>
      <c r="E9418" s="4" t="str">
        <f t="shared" si="837"/>
        <v>Huyện Mỏ Cày Nam</v>
      </c>
      <c r="F9418" s="3" t="s">
        <v>10177</v>
      </c>
      <c r="G9418" s="4" t="str">
        <f>HYPERLINK("https://diaocthongthai.com/xa-thanh-thoi-a-mo-cay-nam/","Xã Thành Thới A")</f>
        <v>Xã Thành Thới A</v>
      </c>
    </row>
    <row r="9419" spans="1:7" x14ac:dyDescent="0.25">
      <c r="A9419" s="2">
        <v>9418</v>
      </c>
      <c r="B9419" s="3" t="s">
        <v>55</v>
      </c>
      <c r="C9419" s="4" t="str">
        <f t="shared" si="835"/>
        <v>Bến Tre</v>
      </c>
      <c r="D9419" s="3" t="s">
        <v>661</v>
      </c>
      <c r="E9419" s="4" t="str">
        <f t="shared" si="837"/>
        <v>Huyện Mỏ Cày Nam</v>
      </c>
      <c r="F9419" s="3" t="s">
        <v>10178</v>
      </c>
      <c r="G9419" s="4" t="str">
        <f>HYPERLINK("https://diaocthongthai.com/xa-minh-duc-mo-cay-nam/","Xã Minh Đức")</f>
        <v>Xã Minh Đức</v>
      </c>
    </row>
    <row r="9420" spans="1:7" x14ac:dyDescent="0.25">
      <c r="A9420" s="2">
        <v>9419</v>
      </c>
      <c r="B9420" s="3" t="s">
        <v>55</v>
      </c>
      <c r="C9420" s="4" t="str">
        <f t="shared" si="835"/>
        <v>Bến Tre</v>
      </c>
      <c r="D9420" s="3" t="s">
        <v>661</v>
      </c>
      <c r="E9420" s="4" t="str">
        <f t="shared" si="837"/>
        <v>Huyện Mỏ Cày Nam</v>
      </c>
      <c r="F9420" s="3" t="s">
        <v>10179</v>
      </c>
      <c r="G9420" s="4" t="str">
        <f>HYPERLINK("https://diaocthongthai.com/xa-ngai-dang-mo-cay-nam/","Xã Ngãi Đăng")</f>
        <v>Xã Ngãi Đăng</v>
      </c>
    </row>
    <row r="9421" spans="1:7" x14ac:dyDescent="0.25">
      <c r="A9421" s="2">
        <v>9420</v>
      </c>
      <c r="B9421" s="3" t="s">
        <v>55</v>
      </c>
      <c r="C9421" s="4" t="str">
        <f t="shared" si="835"/>
        <v>Bến Tre</v>
      </c>
      <c r="D9421" s="3" t="s">
        <v>661</v>
      </c>
      <c r="E9421" s="4" t="str">
        <f t="shared" si="837"/>
        <v>Huyện Mỏ Cày Nam</v>
      </c>
      <c r="F9421" s="3" t="s">
        <v>10180</v>
      </c>
      <c r="G9421" s="4" t="str">
        <f>HYPERLINK("https://diaocthongthai.com/xa-cam-son-mo-cay-nam/","Xã Cẩm Sơn")</f>
        <v>Xã Cẩm Sơn</v>
      </c>
    </row>
    <row r="9422" spans="1:7" x14ac:dyDescent="0.25">
      <c r="A9422" s="2">
        <v>9421</v>
      </c>
      <c r="B9422" s="3" t="s">
        <v>55</v>
      </c>
      <c r="C9422" s="4" t="str">
        <f t="shared" si="835"/>
        <v>Bến Tre</v>
      </c>
      <c r="D9422" s="3" t="s">
        <v>661</v>
      </c>
      <c r="E9422" s="4" t="str">
        <f t="shared" si="837"/>
        <v>Huyện Mỏ Cày Nam</v>
      </c>
      <c r="F9422" s="3" t="s">
        <v>10181</v>
      </c>
      <c r="G9422" s="4" t="str">
        <f>HYPERLINK("https://diaocthongthai.com/xa-huong-my-mo-cay-nam/","Xã Hương Mỹ")</f>
        <v>Xã Hương Mỹ</v>
      </c>
    </row>
    <row r="9423" spans="1:7" x14ac:dyDescent="0.25">
      <c r="A9423" s="2">
        <v>9422</v>
      </c>
      <c r="B9423" s="3" t="s">
        <v>55</v>
      </c>
      <c r="C9423" s="4" t="str">
        <f t="shared" si="835"/>
        <v>Bến Tre</v>
      </c>
      <c r="D9423" s="3" t="s">
        <v>662</v>
      </c>
      <c r="E9423" s="4" t="str">
        <f t="shared" ref="E9423:E9443" si="838">HYPERLINK("https://diaocthongthai.com/ban-do-huyen-giong-trom-ben-tre/","Huyện Giồng Trôm")</f>
        <v>Huyện Giồng Trôm</v>
      </c>
      <c r="F9423" s="3" t="s">
        <v>10182</v>
      </c>
      <c r="G9423" s="4" t="str">
        <f>HYPERLINK("https://diaocthongthai.com/thi-tran-giong-trom-giong-trom/","Thị trấn Giồng Trôm")</f>
        <v>Thị trấn Giồng Trôm</v>
      </c>
    </row>
    <row r="9424" spans="1:7" x14ac:dyDescent="0.25">
      <c r="A9424" s="2">
        <v>9423</v>
      </c>
      <c r="B9424" s="3" t="s">
        <v>55</v>
      </c>
      <c r="C9424" s="4" t="str">
        <f t="shared" si="835"/>
        <v>Bến Tre</v>
      </c>
      <c r="D9424" s="3" t="s">
        <v>662</v>
      </c>
      <c r="E9424" s="4" t="str">
        <f t="shared" si="838"/>
        <v>Huyện Giồng Trôm</v>
      </c>
      <c r="F9424" s="3" t="s">
        <v>10183</v>
      </c>
      <c r="G9424" s="4" t="str">
        <f>HYPERLINK("https://diaocthongthai.com/xa-phong-nam-giong-trom/","Xã Phong Nẫm")</f>
        <v>Xã Phong Nẫm</v>
      </c>
    </row>
    <row r="9425" spans="1:7" x14ac:dyDescent="0.25">
      <c r="A9425" s="2">
        <v>9424</v>
      </c>
      <c r="B9425" s="3" t="s">
        <v>55</v>
      </c>
      <c r="C9425" s="4" t="str">
        <f t="shared" ref="C9425:C9456" si="839">HYPERLINK("https://diaocthongthai.com/ban-do-ben-tre/","Bến Tre")</f>
        <v>Bến Tre</v>
      </c>
      <c r="D9425" s="3" t="s">
        <v>662</v>
      </c>
      <c r="E9425" s="4" t="str">
        <f t="shared" si="838"/>
        <v>Huyện Giồng Trôm</v>
      </c>
      <c r="F9425" s="3" t="s">
        <v>10184</v>
      </c>
      <c r="G9425" s="4" t="str">
        <f>HYPERLINK("https://diaocthongthai.com/xa-my-thanh-giong-trom/","Xã Mỹ Thạnh")</f>
        <v>Xã Mỹ Thạnh</v>
      </c>
    </row>
    <row r="9426" spans="1:7" x14ac:dyDescent="0.25">
      <c r="A9426" s="2">
        <v>9425</v>
      </c>
      <c r="B9426" s="3" t="s">
        <v>55</v>
      </c>
      <c r="C9426" s="4" t="str">
        <f t="shared" si="839"/>
        <v>Bến Tre</v>
      </c>
      <c r="D9426" s="3" t="s">
        <v>662</v>
      </c>
      <c r="E9426" s="4" t="str">
        <f t="shared" si="838"/>
        <v>Huyện Giồng Trôm</v>
      </c>
      <c r="F9426" s="3" t="s">
        <v>10185</v>
      </c>
      <c r="G9426" s="4" t="str">
        <f>HYPERLINK("https://diaocthongthai.com/xa-chau-hoa-giong-trom/","Xã Châu Hòa")</f>
        <v>Xã Châu Hòa</v>
      </c>
    </row>
    <row r="9427" spans="1:7" x14ac:dyDescent="0.25">
      <c r="A9427" s="2">
        <v>9426</v>
      </c>
      <c r="B9427" s="3" t="s">
        <v>55</v>
      </c>
      <c r="C9427" s="4" t="str">
        <f t="shared" si="839"/>
        <v>Bến Tre</v>
      </c>
      <c r="D9427" s="3" t="s">
        <v>662</v>
      </c>
      <c r="E9427" s="4" t="str">
        <f t="shared" si="838"/>
        <v>Huyện Giồng Trôm</v>
      </c>
      <c r="F9427" s="3" t="s">
        <v>10186</v>
      </c>
      <c r="G9427" s="4" t="str">
        <f>HYPERLINK("https://diaocthongthai.com/xa-luong-hoa-giong-trom/","Xã Lương Hòa")</f>
        <v>Xã Lương Hòa</v>
      </c>
    </row>
    <row r="9428" spans="1:7" x14ac:dyDescent="0.25">
      <c r="A9428" s="2">
        <v>9427</v>
      </c>
      <c r="B9428" s="3" t="s">
        <v>55</v>
      </c>
      <c r="C9428" s="4" t="str">
        <f t="shared" si="839"/>
        <v>Bến Tre</v>
      </c>
      <c r="D9428" s="3" t="s">
        <v>662</v>
      </c>
      <c r="E9428" s="4" t="str">
        <f t="shared" si="838"/>
        <v>Huyện Giồng Trôm</v>
      </c>
      <c r="F9428" s="3" t="s">
        <v>10187</v>
      </c>
      <c r="G9428" s="4" t="str">
        <f>HYPERLINK("https://diaocthongthai.com/xa-luong-quoi-giong-trom/","Xã Lương Quới")</f>
        <v>Xã Lương Quới</v>
      </c>
    </row>
    <row r="9429" spans="1:7" x14ac:dyDescent="0.25">
      <c r="A9429" s="2">
        <v>9428</v>
      </c>
      <c r="B9429" s="3" t="s">
        <v>55</v>
      </c>
      <c r="C9429" s="4" t="str">
        <f t="shared" si="839"/>
        <v>Bến Tre</v>
      </c>
      <c r="D9429" s="3" t="s">
        <v>662</v>
      </c>
      <c r="E9429" s="4" t="str">
        <f t="shared" si="838"/>
        <v>Huyện Giồng Trôm</v>
      </c>
      <c r="F9429" s="3" t="s">
        <v>10188</v>
      </c>
      <c r="G9429" s="4" t="str">
        <f>HYPERLINK("https://diaocthongthai.com/xa-luong-phu-giong-trom/","Xã Lương Phú")</f>
        <v>Xã Lương Phú</v>
      </c>
    </row>
    <row r="9430" spans="1:7" x14ac:dyDescent="0.25">
      <c r="A9430" s="2">
        <v>9429</v>
      </c>
      <c r="B9430" s="3" t="s">
        <v>55</v>
      </c>
      <c r="C9430" s="4" t="str">
        <f t="shared" si="839"/>
        <v>Bến Tre</v>
      </c>
      <c r="D9430" s="3" t="s">
        <v>662</v>
      </c>
      <c r="E9430" s="4" t="str">
        <f t="shared" si="838"/>
        <v>Huyện Giồng Trôm</v>
      </c>
      <c r="F9430" s="3" t="s">
        <v>10189</v>
      </c>
      <c r="G9430" s="4" t="str">
        <f>HYPERLINK("https://diaocthongthai.com/xa-chau-binh-giong-trom/","Xã Châu Bình")</f>
        <v>Xã Châu Bình</v>
      </c>
    </row>
    <row r="9431" spans="1:7" x14ac:dyDescent="0.25">
      <c r="A9431" s="2">
        <v>9430</v>
      </c>
      <c r="B9431" s="3" t="s">
        <v>55</v>
      </c>
      <c r="C9431" s="4" t="str">
        <f t="shared" si="839"/>
        <v>Bến Tre</v>
      </c>
      <c r="D9431" s="3" t="s">
        <v>662</v>
      </c>
      <c r="E9431" s="4" t="str">
        <f t="shared" si="838"/>
        <v>Huyện Giồng Trôm</v>
      </c>
      <c r="F9431" s="3" t="s">
        <v>10190</v>
      </c>
      <c r="G9431" s="4" t="str">
        <f>HYPERLINK("https://diaocthongthai.com/xa-thuan-dien-giong-trom/","Xã Thuận Điền")</f>
        <v>Xã Thuận Điền</v>
      </c>
    </row>
    <row r="9432" spans="1:7" x14ac:dyDescent="0.25">
      <c r="A9432" s="2">
        <v>9431</v>
      </c>
      <c r="B9432" s="3" t="s">
        <v>55</v>
      </c>
      <c r="C9432" s="4" t="str">
        <f t="shared" si="839"/>
        <v>Bến Tre</v>
      </c>
      <c r="D9432" s="3" t="s">
        <v>662</v>
      </c>
      <c r="E9432" s="4" t="str">
        <f t="shared" si="838"/>
        <v>Huyện Giồng Trôm</v>
      </c>
      <c r="F9432" s="3" t="s">
        <v>10191</v>
      </c>
      <c r="G9432" s="4" t="str">
        <f>HYPERLINK("https://diaocthongthai.com/xa-son-phu-giong-trom/","Xã Sơn Phú")</f>
        <v>Xã Sơn Phú</v>
      </c>
    </row>
    <row r="9433" spans="1:7" x14ac:dyDescent="0.25">
      <c r="A9433" s="2">
        <v>9432</v>
      </c>
      <c r="B9433" s="3" t="s">
        <v>55</v>
      </c>
      <c r="C9433" s="4" t="str">
        <f t="shared" si="839"/>
        <v>Bến Tre</v>
      </c>
      <c r="D9433" s="3" t="s">
        <v>662</v>
      </c>
      <c r="E9433" s="4" t="str">
        <f t="shared" si="838"/>
        <v>Huyện Giồng Trôm</v>
      </c>
      <c r="F9433" s="3" t="s">
        <v>10192</v>
      </c>
      <c r="G9433" s="4" t="str">
        <f>HYPERLINK("https://diaocthongthai.com/xa-binh-hoa-giong-trom/","Xã Bình Hoà")</f>
        <v>Xã Bình Hoà</v>
      </c>
    </row>
    <row r="9434" spans="1:7" x14ac:dyDescent="0.25">
      <c r="A9434" s="2">
        <v>9433</v>
      </c>
      <c r="B9434" s="3" t="s">
        <v>55</v>
      </c>
      <c r="C9434" s="4" t="str">
        <f t="shared" si="839"/>
        <v>Bến Tre</v>
      </c>
      <c r="D9434" s="3" t="s">
        <v>662</v>
      </c>
      <c r="E9434" s="4" t="str">
        <f t="shared" si="838"/>
        <v>Huyện Giồng Trôm</v>
      </c>
      <c r="F9434" s="3" t="s">
        <v>10193</v>
      </c>
      <c r="G9434" s="4" t="str">
        <f>HYPERLINK("https://diaocthongthai.com/xa-phuoc-long-giong-trom/","Xã Phước Long")</f>
        <v>Xã Phước Long</v>
      </c>
    </row>
    <row r="9435" spans="1:7" x14ac:dyDescent="0.25">
      <c r="A9435" s="2">
        <v>9434</v>
      </c>
      <c r="B9435" s="3" t="s">
        <v>55</v>
      </c>
      <c r="C9435" s="4" t="str">
        <f t="shared" si="839"/>
        <v>Bến Tre</v>
      </c>
      <c r="D9435" s="3" t="s">
        <v>662</v>
      </c>
      <c r="E9435" s="4" t="str">
        <f t="shared" si="838"/>
        <v>Huyện Giồng Trôm</v>
      </c>
      <c r="F9435" s="3" t="s">
        <v>10194</v>
      </c>
      <c r="G9435" s="4" t="str">
        <f>HYPERLINK("https://diaocthongthai.com/xa-hung-phong-giong-trom/","Xã Hưng Phong")</f>
        <v>Xã Hưng Phong</v>
      </c>
    </row>
    <row r="9436" spans="1:7" x14ac:dyDescent="0.25">
      <c r="A9436" s="2">
        <v>9435</v>
      </c>
      <c r="B9436" s="3" t="s">
        <v>55</v>
      </c>
      <c r="C9436" s="4" t="str">
        <f t="shared" si="839"/>
        <v>Bến Tre</v>
      </c>
      <c r="D9436" s="3" t="s">
        <v>662</v>
      </c>
      <c r="E9436" s="4" t="str">
        <f t="shared" si="838"/>
        <v>Huyện Giồng Trôm</v>
      </c>
      <c r="F9436" s="3" t="s">
        <v>10195</v>
      </c>
      <c r="G9436" s="4" t="str">
        <f>HYPERLINK("https://diaocthongthai.com/xa-long-my-giong-trom/","Xã Long Mỹ")</f>
        <v>Xã Long Mỹ</v>
      </c>
    </row>
    <row r="9437" spans="1:7" x14ac:dyDescent="0.25">
      <c r="A9437" s="2">
        <v>9436</v>
      </c>
      <c r="B9437" s="3" t="s">
        <v>55</v>
      </c>
      <c r="C9437" s="4" t="str">
        <f t="shared" si="839"/>
        <v>Bến Tre</v>
      </c>
      <c r="D9437" s="3" t="s">
        <v>662</v>
      </c>
      <c r="E9437" s="4" t="str">
        <f t="shared" si="838"/>
        <v>Huyện Giồng Trôm</v>
      </c>
      <c r="F9437" s="3" t="s">
        <v>10196</v>
      </c>
      <c r="G9437" s="4" t="str">
        <f>HYPERLINK("https://diaocthongthai.com/xa-tan-hao-giong-trom/","Xã Tân Hào")</f>
        <v>Xã Tân Hào</v>
      </c>
    </row>
    <row r="9438" spans="1:7" x14ac:dyDescent="0.25">
      <c r="A9438" s="2">
        <v>9437</v>
      </c>
      <c r="B9438" s="3" t="s">
        <v>55</v>
      </c>
      <c r="C9438" s="4" t="str">
        <f t="shared" si="839"/>
        <v>Bến Tre</v>
      </c>
      <c r="D9438" s="3" t="s">
        <v>662</v>
      </c>
      <c r="E9438" s="4" t="str">
        <f t="shared" si="838"/>
        <v>Huyện Giồng Trôm</v>
      </c>
      <c r="F9438" s="3" t="s">
        <v>10197</v>
      </c>
      <c r="G9438" s="4" t="str">
        <f>HYPERLINK("https://diaocthongthai.com/xa-binh-thanh-giong-trom/","Xã Bình Thành")</f>
        <v>Xã Bình Thành</v>
      </c>
    </row>
    <row r="9439" spans="1:7" x14ac:dyDescent="0.25">
      <c r="A9439" s="2">
        <v>9438</v>
      </c>
      <c r="B9439" s="3" t="s">
        <v>55</v>
      </c>
      <c r="C9439" s="4" t="str">
        <f t="shared" si="839"/>
        <v>Bến Tre</v>
      </c>
      <c r="D9439" s="3" t="s">
        <v>662</v>
      </c>
      <c r="E9439" s="4" t="str">
        <f t="shared" si="838"/>
        <v>Huyện Giồng Trôm</v>
      </c>
      <c r="F9439" s="3" t="s">
        <v>10198</v>
      </c>
      <c r="G9439" s="4" t="str">
        <f>HYPERLINK("https://diaocthongthai.com/xa-tan-thanh-giong-trom/","Xã Tân Thanh")</f>
        <v>Xã Tân Thanh</v>
      </c>
    </row>
    <row r="9440" spans="1:7" x14ac:dyDescent="0.25">
      <c r="A9440" s="2">
        <v>9439</v>
      </c>
      <c r="B9440" s="3" t="s">
        <v>55</v>
      </c>
      <c r="C9440" s="4" t="str">
        <f t="shared" si="839"/>
        <v>Bến Tre</v>
      </c>
      <c r="D9440" s="3" t="s">
        <v>662</v>
      </c>
      <c r="E9440" s="4" t="str">
        <f t="shared" si="838"/>
        <v>Huyện Giồng Trôm</v>
      </c>
      <c r="F9440" s="3" t="s">
        <v>10199</v>
      </c>
      <c r="G9440" s="4" t="str">
        <f>HYPERLINK("https://diaocthongthai.com/xa-tan-loi-thanh-giong-trom/","Xã Tân Lợi Thạnh")</f>
        <v>Xã Tân Lợi Thạnh</v>
      </c>
    </row>
    <row r="9441" spans="1:7" x14ac:dyDescent="0.25">
      <c r="A9441" s="2">
        <v>9440</v>
      </c>
      <c r="B9441" s="3" t="s">
        <v>55</v>
      </c>
      <c r="C9441" s="4" t="str">
        <f t="shared" si="839"/>
        <v>Bến Tre</v>
      </c>
      <c r="D9441" s="3" t="s">
        <v>662</v>
      </c>
      <c r="E9441" s="4" t="str">
        <f t="shared" si="838"/>
        <v>Huyện Giồng Trôm</v>
      </c>
      <c r="F9441" s="3" t="s">
        <v>10200</v>
      </c>
      <c r="G9441" s="4" t="str">
        <f>HYPERLINK("https://diaocthongthai.com/xa-thanh-phu-dong-giong-trom/","Xã Thạnh Phú Đông")</f>
        <v>Xã Thạnh Phú Đông</v>
      </c>
    </row>
    <row r="9442" spans="1:7" x14ac:dyDescent="0.25">
      <c r="A9442" s="2">
        <v>9441</v>
      </c>
      <c r="B9442" s="3" t="s">
        <v>55</v>
      </c>
      <c r="C9442" s="4" t="str">
        <f t="shared" si="839"/>
        <v>Bến Tre</v>
      </c>
      <c r="D9442" s="3" t="s">
        <v>662</v>
      </c>
      <c r="E9442" s="4" t="str">
        <f t="shared" si="838"/>
        <v>Huyện Giồng Trôm</v>
      </c>
      <c r="F9442" s="3" t="s">
        <v>10201</v>
      </c>
      <c r="G9442" s="4" t="str">
        <f>HYPERLINK("https://diaocthongthai.com/xa-hung-nhuong-giong-trom/","Xã Hưng Nhượng")</f>
        <v>Xã Hưng Nhượng</v>
      </c>
    </row>
    <row r="9443" spans="1:7" x14ac:dyDescent="0.25">
      <c r="A9443" s="2">
        <v>9442</v>
      </c>
      <c r="B9443" s="3" t="s">
        <v>55</v>
      </c>
      <c r="C9443" s="4" t="str">
        <f t="shared" si="839"/>
        <v>Bến Tre</v>
      </c>
      <c r="D9443" s="3" t="s">
        <v>662</v>
      </c>
      <c r="E9443" s="4" t="str">
        <f t="shared" si="838"/>
        <v>Huyện Giồng Trôm</v>
      </c>
      <c r="F9443" s="3" t="s">
        <v>10202</v>
      </c>
      <c r="G9443" s="4" t="str">
        <f>HYPERLINK("https://diaocthongthai.com/xa-hung-le-giong-trom/","Xã Hưng Lễ")</f>
        <v>Xã Hưng Lễ</v>
      </c>
    </row>
    <row r="9444" spans="1:7" x14ac:dyDescent="0.25">
      <c r="A9444" s="2">
        <v>9443</v>
      </c>
      <c r="B9444" s="3" t="s">
        <v>55</v>
      </c>
      <c r="C9444" s="4" t="str">
        <f t="shared" si="839"/>
        <v>Bến Tre</v>
      </c>
      <c r="D9444" s="3" t="s">
        <v>663</v>
      </c>
      <c r="E9444" s="4" t="str">
        <f t="shared" ref="E9444:E9463" si="840">HYPERLINK("https://diaocthongthai.com/ban-do-huyen-binh-dai-ben-tre/","Huyện Bình Đại")</f>
        <v>Huyện Bình Đại</v>
      </c>
      <c r="F9444" s="3" t="s">
        <v>10203</v>
      </c>
      <c r="G9444" s="4" t="str">
        <f>HYPERLINK("https://diaocthongthai.com/thi-tran-binh-dai-binh-dai/","Thị trấn Bình Đại")</f>
        <v>Thị trấn Bình Đại</v>
      </c>
    </row>
    <row r="9445" spans="1:7" x14ac:dyDescent="0.25">
      <c r="A9445" s="2">
        <v>9444</v>
      </c>
      <c r="B9445" s="3" t="s">
        <v>55</v>
      </c>
      <c r="C9445" s="4" t="str">
        <f t="shared" si="839"/>
        <v>Bến Tre</v>
      </c>
      <c r="D9445" s="3" t="s">
        <v>663</v>
      </c>
      <c r="E9445" s="4" t="str">
        <f t="shared" si="840"/>
        <v>Huyện Bình Đại</v>
      </c>
      <c r="F9445" s="3" t="s">
        <v>10204</v>
      </c>
      <c r="G9445" s="4" t="str">
        <f>HYPERLINK("https://diaocthongthai.com/xa-tam-hiep-binh-dai/","Xã Tam Hiệp")</f>
        <v>Xã Tam Hiệp</v>
      </c>
    </row>
    <row r="9446" spans="1:7" x14ac:dyDescent="0.25">
      <c r="A9446" s="2">
        <v>9445</v>
      </c>
      <c r="B9446" s="3" t="s">
        <v>55</v>
      </c>
      <c r="C9446" s="4" t="str">
        <f t="shared" si="839"/>
        <v>Bến Tre</v>
      </c>
      <c r="D9446" s="3" t="s">
        <v>663</v>
      </c>
      <c r="E9446" s="4" t="str">
        <f t="shared" si="840"/>
        <v>Huyện Bình Đại</v>
      </c>
      <c r="F9446" s="3" t="s">
        <v>10205</v>
      </c>
      <c r="G9446" s="4" t="str">
        <f>HYPERLINK("https://diaocthongthai.com/xa-long-dinh-binh-dai/","Xã Long Định")</f>
        <v>Xã Long Định</v>
      </c>
    </row>
    <row r="9447" spans="1:7" x14ac:dyDescent="0.25">
      <c r="A9447" s="2">
        <v>9446</v>
      </c>
      <c r="B9447" s="3" t="s">
        <v>55</v>
      </c>
      <c r="C9447" s="4" t="str">
        <f t="shared" si="839"/>
        <v>Bến Tre</v>
      </c>
      <c r="D9447" s="3" t="s">
        <v>663</v>
      </c>
      <c r="E9447" s="4" t="str">
        <f t="shared" si="840"/>
        <v>Huyện Bình Đại</v>
      </c>
      <c r="F9447" s="3" t="s">
        <v>10206</v>
      </c>
      <c r="G9447" s="4" t="str">
        <f>HYPERLINK("https://diaocthongthai.com/xa-long-hoa-binh-dai/","Xã Long Hòa")</f>
        <v>Xã Long Hòa</v>
      </c>
    </row>
    <row r="9448" spans="1:7" x14ac:dyDescent="0.25">
      <c r="A9448" s="2">
        <v>9447</v>
      </c>
      <c r="B9448" s="3" t="s">
        <v>55</v>
      </c>
      <c r="C9448" s="4" t="str">
        <f t="shared" si="839"/>
        <v>Bến Tre</v>
      </c>
      <c r="D9448" s="3" t="s">
        <v>663</v>
      </c>
      <c r="E9448" s="4" t="str">
        <f t="shared" si="840"/>
        <v>Huyện Bình Đại</v>
      </c>
      <c r="F9448" s="3" t="s">
        <v>10207</v>
      </c>
      <c r="G9448" s="4" t="str">
        <f>HYPERLINK("https://diaocthongthai.com/xa-phu-thuan-binh-dai/","Xã Phú Thuận")</f>
        <v>Xã Phú Thuận</v>
      </c>
    </row>
    <row r="9449" spans="1:7" x14ac:dyDescent="0.25">
      <c r="A9449" s="2">
        <v>9448</v>
      </c>
      <c r="B9449" s="3" t="s">
        <v>55</v>
      </c>
      <c r="C9449" s="4" t="str">
        <f t="shared" si="839"/>
        <v>Bến Tre</v>
      </c>
      <c r="D9449" s="3" t="s">
        <v>663</v>
      </c>
      <c r="E9449" s="4" t="str">
        <f t="shared" si="840"/>
        <v>Huyện Bình Đại</v>
      </c>
      <c r="F9449" s="3" t="s">
        <v>10208</v>
      </c>
      <c r="G9449" s="4" t="str">
        <f>HYPERLINK("https://diaocthongthai.com/xa-vang-quoi-tay-binh-dai/","Xã Vang Quới Tây")</f>
        <v>Xã Vang Quới Tây</v>
      </c>
    </row>
    <row r="9450" spans="1:7" x14ac:dyDescent="0.25">
      <c r="A9450" s="2">
        <v>9449</v>
      </c>
      <c r="B9450" s="3" t="s">
        <v>55</v>
      </c>
      <c r="C9450" s="4" t="str">
        <f t="shared" si="839"/>
        <v>Bến Tre</v>
      </c>
      <c r="D9450" s="3" t="s">
        <v>663</v>
      </c>
      <c r="E9450" s="4" t="str">
        <f t="shared" si="840"/>
        <v>Huyện Bình Đại</v>
      </c>
      <c r="F9450" s="3" t="s">
        <v>10209</v>
      </c>
      <c r="G9450" s="4" t="str">
        <f>HYPERLINK("https://diaocthongthai.com/xa-vang-quoi-dong-binh-dai/","Xã Vang Quới Đông")</f>
        <v>Xã Vang Quới Đông</v>
      </c>
    </row>
    <row r="9451" spans="1:7" x14ac:dyDescent="0.25">
      <c r="A9451" s="2">
        <v>9450</v>
      </c>
      <c r="B9451" s="3" t="s">
        <v>55</v>
      </c>
      <c r="C9451" s="4" t="str">
        <f t="shared" si="839"/>
        <v>Bến Tre</v>
      </c>
      <c r="D9451" s="3" t="s">
        <v>663</v>
      </c>
      <c r="E9451" s="4" t="str">
        <f t="shared" si="840"/>
        <v>Huyện Bình Đại</v>
      </c>
      <c r="F9451" s="3" t="s">
        <v>10210</v>
      </c>
      <c r="G9451" s="4" t="str">
        <f>HYPERLINK("https://diaocthongthai.com/xa-chau-hung-binh-dai/","Xã Châu Hưng")</f>
        <v>Xã Châu Hưng</v>
      </c>
    </row>
    <row r="9452" spans="1:7" x14ac:dyDescent="0.25">
      <c r="A9452" s="2">
        <v>9451</v>
      </c>
      <c r="B9452" s="3" t="s">
        <v>55</v>
      </c>
      <c r="C9452" s="4" t="str">
        <f t="shared" si="839"/>
        <v>Bến Tre</v>
      </c>
      <c r="D9452" s="3" t="s">
        <v>663</v>
      </c>
      <c r="E9452" s="4" t="str">
        <f t="shared" si="840"/>
        <v>Huyện Bình Đại</v>
      </c>
      <c r="F9452" s="3" t="s">
        <v>10211</v>
      </c>
      <c r="G9452" s="4" t="str">
        <f>HYPERLINK("https://diaocthongthai.com/xa-phu-vang-binh-dai/","Xã Phú Vang")</f>
        <v>Xã Phú Vang</v>
      </c>
    </row>
    <row r="9453" spans="1:7" x14ac:dyDescent="0.25">
      <c r="A9453" s="2">
        <v>9452</v>
      </c>
      <c r="B9453" s="3" t="s">
        <v>55</v>
      </c>
      <c r="C9453" s="4" t="str">
        <f t="shared" si="839"/>
        <v>Bến Tre</v>
      </c>
      <c r="D9453" s="3" t="s">
        <v>663</v>
      </c>
      <c r="E9453" s="4" t="str">
        <f t="shared" si="840"/>
        <v>Huyện Bình Đại</v>
      </c>
      <c r="F9453" s="3" t="s">
        <v>10212</v>
      </c>
      <c r="G9453" s="4" t="str">
        <f>HYPERLINK("https://diaocthongthai.com/xa-loc-thuan-binh-dai/","Xã Lộc Thuận")</f>
        <v>Xã Lộc Thuận</v>
      </c>
    </row>
    <row r="9454" spans="1:7" x14ac:dyDescent="0.25">
      <c r="A9454" s="2">
        <v>9453</v>
      </c>
      <c r="B9454" s="3" t="s">
        <v>55</v>
      </c>
      <c r="C9454" s="4" t="str">
        <f t="shared" si="839"/>
        <v>Bến Tre</v>
      </c>
      <c r="D9454" s="3" t="s">
        <v>663</v>
      </c>
      <c r="E9454" s="4" t="str">
        <f t="shared" si="840"/>
        <v>Huyện Bình Đại</v>
      </c>
      <c r="F9454" s="3" t="s">
        <v>10213</v>
      </c>
      <c r="G9454" s="4" t="str">
        <f>HYPERLINK("https://diaocthongthai.com/xa-dinh-trung-binh-dai/","Xã Định Trung")</f>
        <v>Xã Định Trung</v>
      </c>
    </row>
    <row r="9455" spans="1:7" x14ac:dyDescent="0.25">
      <c r="A9455" s="2">
        <v>9454</v>
      </c>
      <c r="B9455" s="3" t="s">
        <v>55</v>
      </c>
      <c r="C9455" s="4" t="str">
        <f t="shared" si="839"/>
        <v>Bến Tre</v>
      </c>
      <c r="D9455" s="3" t="s">
        <v>663</v>
      </c>
      <c r="E9455" s="4" t="str">
        <f t="shared" si="840"/>
        <v>Huyện Bình Đại</v>
      </c>
      <c r="F9455" s="3" t="s">
        <v>10214</v>
      </c>
      <c r="G9455" s="4" t="str">
        <f>HYPERLINK("https://diaocthongthai.com/xa-thoi-lai-binh-dai/","Xã Thới Lai")</f>
        <v>Xã Thới Lai</v>
      </c>
    </row>
    <row r="9456" spans="1:7" x14ac:dyDescent="0.25">
      <c r="A9456" s="2">
        <v>9455</v>
      </c>
      <c r="B9456" s="3" t="s">
        <v>55</v>
      </c>
      <c r="C9456" s="4" t="str">
        <f t="shared" si="839"/>
        <v>Bến Tre</v>
      </c>
      <c r="D9456" s="3" t="s">
        <v>663</v>
      </c>
      <c r="E9456" s="4" t="str">
        <f t="shared" si="840"/>
        <v>Huyện Bình Đại</v>
      </c>
      <c r="F9456" s="3" t="s">
        <v>10215</v>
      </c>
      <c r="G9456" s="4" t="str">
        <f>HYPERLINK("https://diaocthongthai.com/xa-binh-thoi-binh-dai/","Xã Bình Thới")</f>
        <v>Xã Bình Thới</v>
      </c>
    </row>
    <row r="9457" spans="1:7" x14ac:dyDescent="0.25">
      <c r="A9457" s="2">
        <v>9456</v>
      </c>
      <c r="B9457" s="3" t="s">
        <v>55</v>
      </c>
      <c r="C9457" s="4" t="str">
        <f t="shared" ref="C9457:C9488" si="841">HYPERLINK("https://diaocthongthai.com/ban-do-ben-tre/","Bến Tre")</f>
        <v>Bến Tre</v>
      </c>
      <c r="D9457" s="3" t="s">
        <v>663</v>
      </c>
      <c r="E9457" s="4" t="str">
        <f t="shared" si="840"/>
        <v>Huyện Bình Đại</v>
      </c>
      <c r="F9457" s="3" t="s">
        <v>10216</v>
      </c>
      <c r="G9457" s="4" t="str">
        <f>HYPERLINK("https://diaocthongthai.com/xa-phu-long-binh-dai/","Xã Phú Long")</f>
        <v>Xã Phú Long</v>
      </c>
    </row>
    <row r="9458" spans="1:7" x14ac:dyDescent="0.25">
      <c r="A9458" s="2">
        <v>9457</v>
      </c>
      <c r="B9458" s="3" t="s">
        <v>55</v>
      </c>
      <c r="C9458" s="4" t="str">
        <f t="shared" si="841"/>
        <v>Bến Tre</v>
      </c>
      <c r="D9458" s="3" t="s">
        <v>663</v>
      </c>
      <c r="E9458" s="4" t="str">
        <f t="shared" si="840"/>
        <v>Huyện Bình Đại</v>
      </c>
      <c r="F9458" s="3" t="s">
        <v>10217</v>
      </c>
      <c r="G9458" s="4" t="str">
        <f>HYPERLINK("https://diaocthongthai.com/xa-binh-thang-binh-dai/","Xã Bình Thắng")</f>
        <v>Xã Bình Thắng</v>
      </c>
    </row>
    <row r="9459" spans="1:7" x14ac:dyDescent="0.25">
      <c r="A9459" s="2">
        <v>9458</v>
      </c>
      <c r="B9459" s="3" t="s">
        <v>55</v>
      </c>
      <c r="C9459" s="4" t="str">
        <f t="shared" si="841"/>
        <v>Bến Tre</v>
      </c>
      <c r="D9459" s="3" t="s">
        <v>663</v>
      </c>
      <c r="E9459" s="4" t="str">
        <f t="shared" si="840"/>
        <v>Huyện Bình Đại</v>
      </c>
      <c r="F9459" s="3" t="s">
        <v>10218</v>
      </c>
      <c r="G9459" s="4" t="str">
        <f>HYPERLINK("https://diaocthongthai.com/xa-thanh-tri-binh-dai/","Xã Thạnh Trị")</f>
        <v>Xã Thạnh Trị</v>
      </c>
    </row>
    <row r="9460" spans="1:7" x14ac:dyDescent="0.25">
      <c r="A9460" s="2">
        <v>9459</v>
      </c>
      <c r="B9460" s="3" t="s">
        <v>55</v>
      </c>
      <c r="C9460" s="4" t="str">
        <f t="shared" si="841"/>
        <v>Bến Tre</v>
      </c>
      <c r="D9460" s="3" t="s">
        <v>663</v>
      </c>
      <c r="E9460" s="4" t="str">
        <f t="shared" si="840"/>
        <v>Huyện Bình Đại</v>
      </c>
      <c r="F9460" s="3" t="s">
        <v>10219</v>
      </c>
      <c r="G9460" s="4" t="str">
        <f>HYPERLINK("https://diaocthongthai.com/xa-dai-hoa-loc-binh-dai/","Xã Đại Hòa Lộc")</f>
        <v>Xã Đại Hòa Lộc</v>
      </c>
    </row>
    <row r="9461" spans="1:7" x14ac:dyDescent="0.25">
      <c r="A9461" s="2">
        <v>9460</v>
      </c>
      <c r="B9461" s="3" t="s">
        <v>55</v>
      </c>
      <c r="C9461" s="4" t="str">
        <f t="shared" si="841"/>
        <v>Bến Tre</v>
      </c>
      <c r="D9461" s="3" t="s">
        <v>663</v>
      </c>
      <c r="E9461" s="4" t="str">
        <f t="shared" si="840"/>
        <v>Huyện Bình Đại</v>
      </c>
      <c r="F9461" s="3" t="s">
        <v>10220</v>
      </c>
      <c r="G9461" s="4" t="str">
        <f>HYPERLINK("https://diaocthongthai.com/xa-thua-duc-binh-dai/","Xã Thừa Đức")</f>
        <v>Xã Thừa Đức</v>
      </c>
    </row>
    <row r="9462" spans="1:7" x14ac:dyDescent="0.25">
      <c r="A9462" s="2">
        <v>9461</v>
      </c>
      <c r="B9462" s="3" t="s">
        <v>55</v>
      </c>
      <c r="C9462" s="4" t="str">
        <f t="shared" si="841"/>
        <v>Bến Tre</v>
      </c>
      <c r="D9462" s="3" t="s">
        <v>663</v>
      </c>
      <c r="E9462" s="4" t="str">
        <f t="shared" si="840"/>
        <v>Huyện Bình Đại</v>
      </c>
      <c r="F9462" s="3" t="s">
        <v>10221</v>
      </c>
      <c r="G9462" s="4" t="str">
        <f>HYPERLINK("https://diaocthongthai.com/xa-thanh-phuoc-binh-dai/","Xã Thạnh Phước")</f>
        <v>Xã Thạnh Phước</v>
      </c>
    </row>
    <row r="9463" spans="1:7" x14ac:dyDescent="0.25">
      <c r="A9463" s="2">
        <v>9462</v>
      </c>
      <c r="B9463" s="3" t="s">
        <v>55</v>
      </c>
      <c r="C9463" s="4" t="str">
        <f t="shared" si="841"/>
        <v>Bến Tre</v>
      </c>
      <c r="D9463" s="3" t="s">
        <v>663</v>
      </c>
      <c r="E9463" s="4" t="str">
        <f t="shared" si="840"/>
        <v>Huyện Bình Đại</v>
      </c>
      <c r="F9463" s="3" t="s">
        <v>10222</v>
      </c>
      <c r="G9463" s="4" t="str">
        <f>HYPERLINK("https://diaocthongthai.com/xa-thoi-thuan-binh-dai/","Xã Thới Thuận")</f>
        <v>Xã Thới Thuận</v>
      </c>
    </row>
    <row r="9464" spans="1:7" x14ac:dyDescent="0.25">
      <c r="A9464" s="2">
        <v>9463</v>
      </c>
      <c r="B9464" s="3" t="s">
        <v>55</v>
      </c>
      <c r="C9464" s="4" t="str">
        <f t="shared" si="841"/>
        <v>Bến Tre</v>
      </c>
      <c r="D9464" s="3" t="s">
        <v>664</v>
      </c>
      <c r="E9464" s="4" t="str">
        <f t="shared" ref="E9464:E9486" si="842">HYPERLINK("https://diaocthongthai.com/ban-do-huyen-ba-tri-ben-tre/","Huyện Ba Tri")</f>
        <v>Huyện Ba Tri</v>
      </c>
      <c r="F9464" s="3" t="s">
        <v>10223</v>
      </c>
      <c r="G9464" s="4" t="str">
        <f>HYPERLINK("https://diaocthongthai.com/thi-tran-ba-tri-ba-tri/","Thị trấn Ba Tri")</f>
        <v>Thị trấn Ba Tri</v>
      </c>
    </row>
    <row r="9465" spans="1:7" x14ac:dyDescent="0.25">
      <c r="A9465" s="2">
        <v>9464</v>
      </c>
      <c r="B9465" s="3" t="s">
        <v>55</v>
      </c>
      <c r="C9465" s="4" t="str">
        <f t="shared" si="841"/>
        <v>Bến Tre</v>
      </c>
      <c r="D9465" s="3" t="s">
        <v>664</v>
      </c>
      <c r="E9465" s="4" t="str">
        <f t="shared" si="842"/>
        <v>Huyện Ba Tri</v>
      </c>
      <c r="F9465" s="3" t="s">
        <v>10224</v>
      </c>
      <c r="G9465" s="4" t="str">
        <f>HYPERLINK("https://diaocthongthai.com/xa-tan-my-ba-tri/","Xã Tân Mỹ")</f>
        <v>Xã Tân Mỹ</v>
      </c>
    </row>
    <row r="9466" spans="1:7" x14ac:dyDescent="0.25">
      <c r="A9466" s="2">
        <v>9465</v>
      </c>
      <c r="B9466" s="3" t="s">
        <v>55</v>
      </c>
      <c r="C9466" s="4" t="str">
        <f t="shared" si="841"/>
        <v>Bến Tre</v>
      </c>
      <c r="D9466" s="3" t="s">
        <v>664</v>
      </c>
      <c r="E9466" s="4" t="str">
        <f t="shared" si="842"/>
        <v>Huyện Ba Tri</v>
      </c>
      <c r="F9466" s="3" t="s">
        <v>10225</v>
      </c>
      <c r="G9466" s="4" t="str">
        <f>HYPERLINK("https://diaocthongthai.com/xa-my-hoa-ba-tri/","Xã Mỹ Hòa")</f>
        <v>Xã Mỹ Hòa</v>
      </c>
    </row>
    <row r="9467" spans="1:7" x14ac:dyDescent="0.25">
      <c r="A9467" s="2">
        <v>9466</v>
      </c>
      <c r="B9467" s="3" t="s">
        <v>55</v>
      </c>
      <c r="C9467" s="4" t="str">
        <f t="shared" si="841"/>
        <v>Bến Tre</v>
      </c>
      <c r="D9467" s="3" t="s">
        <v>664</v>
      </c>
      <c r="E9467" s="4" t="str">
        <f t="shared" si="842"/>
        <v>Huyện Ba Tri</v>
      </c>
      <c r="F9467" s="3" t="s">
        <v>10226</v>
      </c>
      <c r="G9467" s="4" t="str">
        <f>HYPERLINK("https://diaocthongthai.com/xa-tan-xuan-ba-tri/","Xã Tân Xuân")</f>
        <v>Xã Tân Xuân</v>
      </c>
    </row>
    <row r="9468" spans="1:7" x14ac:dyDescent="0.25">
      <c r="A9468" s="2">
        <v>9467</v>
      </c>
      <c r="B9468" s="3" t="s">
        <v>55</v>
      </c>
      <c r="C9468" s="4" t="str">
        <f t="shared" si="841"/>
        <v>Bến Tre</v>
      </c>
      <c r="D9468" s="3" t="s">
        <v>664</v>
      </c>
      <c r="E9468" s="4" t="str">
        <f t="shared" si="842"/>
        <v>Huyện Ba Tri</v>
      </c>
      <c r="F9468" s="3" t="s">
        <v>10227</v>
      </c>
      <c r="G9468" s="4" t="str">
        <f>HYPERLINK("https://diaocthongthai.com/xa-my-chanh-ba-tri/","Xã Mỹ Chánh")</f>
        <v>Xã Mỹ Chánh</v>
      </c>
    </row>
    <row r="9469" spans="1:7" x14ac:dyDescent="0.25">
      <c r="A9469" s="2">
        <v>9468</v>
      </c>
      <c r="B9469" s="3" t="s">
        <v>55</v>
      </c>
      <c r="C9469" s="4" t="str">
        <f t="shared" si="841"/>
        <v>Bến Tre</v>
      </c>
      <c r="D9469" s="3" t="s">
        <v>664</v>
      </c>
      <c r="E9469" s="4" t="str">
        <f t="shared" si="842"/>
        <v>Huyện Ba Tri</v>
      </c>
      <c r="F9469" s="3" t="s">
        <v>10228</v>
      </c>
      <c r="G9469" s="4" t="str">
        <f>HYPERLINK("https://diaocthongthai.com/xa-bao-thanh-ba-tri/","Xã Bảo Thạnh")</f>
        <v>Xã Bảo Thạnh</v>
      </c>
    </row>
    <row r="9470" spans="1:7" x14ac:dyDescent="0.25">
      <c r="A9470" s="2">
        <v>9469</v>
      </c>
      <c r="B9470" s="3" t="s">
        <v>55</v>
      </c>
      <c r="C9470" s="4" t="str">
        <f t="shared" si="841"/>
        <v>Bến Tre</v>
      </c>
      <c r="D9470" s="3" t="s">
        <v>664</v>
      </c>
      <c r="E9470" s="4" t="str">
        <f t="shared" si="842"/>
        <v>Huyện Ba Tri</v>
      </c>
      <c r="F9470" s="3" t="s">
        <v>10229</v>
      </c>
      <c r="G9470" s="4" t="str">
        <f>HYPERLINK("https://diaocthongthai.com/xa-an-phu-trung-ba-tri/","Xã An Phú Trung")</f>
        <v>Xã An Phú Trung</v>
      </c>
    </row>
    <row r="9471" spans="1:7" x14ac:dyDescent="0.25">
      <c r="A9471" s="2">
        <v>9470</v>
      </c>
      <c r="B9471" s="3" t="s">
        <v>55</v>
      </c>
      <c r="C9471" s="4" t="str">
        <f t="shared" si="841"/>
        <v>Bến Tre</v>
      </c>
      <c r="D9471" s="3" t="s">
        <v>664</v>
      </c>
      <c r="E9471" s="4" t="str">
        <f t="shared" si="842"/>
        <v>Huyện Ba Tri</v>
      </c>
      <c r="F9471" s="3" t="s">
        <v>10230</v>
      </c>
      <c r="G9471" s="4" t="str">
        <f>HYPERLINK("https://diaocthongthai.com/xa-my-thanh-ba-tri/","Xã Mỹ Thạnh")</f>
        <v>Xã Mỹ Thạnh</v>
      </c>
    </row>
    <row r="9472" spans="1:7" x14ac:dyDescent="0.25">
      <c r="A9472" s="2">
        <v>9471</v>
      </c>
      <c r="B9472" s="3" t="s">
        <v>55</v>
      </c>
      <c r="C9472" s="4" t="str">
        <f t="shared" si="841"/>
        <v>Bến Tre</v>
      </c>
      <c r="D9472" s="3" t="s">
        <v>664</v>
      </c>
      <c r="E9472" s="4" t="str">
        <f t="shared" si="842"/>
        <v>Huyện Ba Tri</v>
      </c>
      <c r="F9472" s="3" t="s">
        <v>10231</v>
      </c>
      <c r="G9472" s="4" t="str">
        <f>HYPERLINK("https://diaocthongthai.com/xa-my-nhon-ba-tri/","Xã Mỹ Nhơn")</f>
        <v>Xã Mỹ Nhơn</v>
      </c>
    </row>
    <row r="9473" spans="1:7" x14ac:dyDescent="0.25">
      <c r="A9473" s="2">
        <v>9472</v>
      </c>
      <c r="B9473" s="3" t="s">
        <v>55</v>
      </c>
      <c r="C9473" s="4" t="str">
        <f t="shared" si="841"/>
        <v>Bến Tre</v>
      </c>
      <c r="D9473" s="3" t="s">
        <v>664</v>
      </c>
      <c r="E9473" s="4" t="str">
        <f t="shared" si="842"/>
        <v>Huyện Ba Tri</v>
      </c>
      <c r="F9473" s="3" t="s">
        <v>10232</v>
      </c>
      <c r="G9473" s="4" t="str">
        <f>HYPERLINK("https://diaocthongthai.com/xa-phuoc-ngai-ba-tri/","Xã Phước Ngãi")</f>
        <v>Xã Phước Ngãi</v>
      </c>
    </row>
    <row r="9474" spans="1:7" x14ac:dyDescent="0.25">
      <c r="A9474" s="2">
        <v>9473</v>
      </c>
      <c r="B9474" s="3" t="s">
        <v>55</v>
      </c>
      <c r="C9474" s="4" t="str">
        <f t="shared" si="841"/>
        <v>Bến Tre</v>
      </c>
      <c r="D9474" s="3" t="s">
        <v>664</v>
      </c>
      <c r="E9474" s="4" t="str">
        <f t="shared" si="842"/>
        <v>Huyện Ba Tri</v>
      </c>
      <c r="F9474" s="3" t="s">
        <v>10233</v>
      </c>
      <c r="G9474" s="4" t="str">
        <f>HYPERLINK("https://diaocthongthai.com/xa-an-ngai-trung-ba-tri/","Xã An Ngãi Trung")</f>
        <v>Xã An Ngãi Trung</v>
      </c>
    </row>
    <row r="9475" spans="1:7" x14ac:dyDescent="0.25">
      <c r="A9475" s="2">
        <v>9474</v>
      </c>
      <c r="B9475" s="3" t="s">
        <v>55</v>
      </c>
      <c r="C9475" s="4" t="str">
        <f t="shared" si="841"/>
        <v>Bến Tre</v>
      </c>
      <c r="D9475" s="3" t="s">
        <v>664</v>
      </c>
      <c r="E9475" s="4" t="str">
        <f t="shared" si="842"/>
        <v>Huyện Ba Tri</v>
      </c>
      <c r="F9475" s="3" t="s">
        <v>10234</v>
      </c>
      <c r="G9475" s="4" t="str">
        <f>HYPERLINK("https://diaocthongthai.com/xa-phu-le-ba-tri/","Xã Phú Lễ")</f>
        <v>Xã Phú Lễ</v>
      </c>
    </row>
    <row r="9476" spans="1:7" x14ac:dyDescent="0.25">
      <c r="A9476" s="2">
        <v>9475</v>
      </c>
      <c r="B9476" s="3" t="s">
        <v>55</v>
      </c>
      <c r="C9476" s="4" t="str">
        <f t="shared" si="841"/>
        <v>Bến Tre</v>
      </c>
      <c r="D9476" s="3" t="s">
        <v>664</v>
      </c>
      <c r="E9476" s="4" t="str">
        <f t="shared" si="842"/>
        <v>Huyện Ba Tri</v>
      </c>
      <c r="F9476" s="3" t="s">
        <v>10235</v>
      </c>
      <c r="G9476" s="4" t="str">
        <f>HYPERLINK("https://diaocthongthai.com/xa-an-binh-tay-ba-tri/","Xã An Bình Tây")</f>
        <v>Xã An Bình Tây</v>
      </c>
    </row>
    <row r="9477" spans="1:7" x14ac:dyDescent="0.25">
      <c r="A9477" s="2">
        <v>9476</v>
      </c>
      <c r="B9477" s="3" t="s">
        <v>55</v>
      </c>
      <c r="C9477" s="4" t="str">
        <f t="shared" si="841"/>
        <v>Bến Tre</v>
      </c>
      <c r="D9477" s="3" t="s">
        <v>664</v>
      </c>
      <c r="E9477" s="4" t="str">
        <f t="shared" si="842"/>
        <v>Huyện Ba Tri</v>
      </c>
      <c r="F9477" s="3" t="s">
        <v>10236</v>
      </c>
      <c r="G9477" s="4" t="str">
        <f>HYPERLINK("https://diaocthongthai.com/xa-bao-thuan-ba-tri/","Xã Bảo Thuận")</f>
        <v>Xã Bảo Thuận</v>
      </c>
    </row>
    <row r="9478" spans="1:7" x14ac:dyDescent="0.25">
      <c r="A9478" s="2">
        <v>9477</v>
      </c>
      <c r="B9478" s="3" t="s">
        <v>55</v>
      </c>
      <c r="C9478" s="4" t="str">
        <f t="shared" si="841"/>
        <v>Bến Tre</v>
      </c>
      <c r="D9478" s="3" t="s">
        <v>664</v>
      </c>
      <c r="E9478" s="4" t="str">
        <f t="shared" si="842"/>
        <v>Huyện Ba Tri</v>
      </c>
      <c r="F9478" s="3" t="s">
        <v>10237</v>
      </c>
      <c r="G9478" s="4" t="str">
        <f>HYPERLINK("https://diaocthongthai.com/xa-tan-hung-ba-tri/","Xã Tân Hưng")</f>
        <v>Xã Tân Hưng</v>
      </c>
    </row>
    <row r="9479" spans="1:7" x14ac:dyDescent="0.25">
      <c r="A9479" s="2">
        <v>9478</v>
      </c>
      <c r="B9479" s="3" t="s">
        <v>55</v>
      </c>
      <c r="C9479" s="4" t="str">
        <f t="shared" si="841"/>
        <v>Bến Tre</v>
      </c>
      <c r="D9479" s="3" t="s">
        <v>664</v>
      </c>
      <c r="E9479" s="4" t="str">
        <f t="shared" si="842"/>
        <v>Huyện Ba Tri</v>
      </c>
      <c r="F9479" s="3" t="s">
        <v>10238</v>
      </c>
      <c r="G9479" s="4" t="str">
        <f>HYPERLINK("https://diaocthongthai.com/xa-an-ngai-tay-ba-tri/","Xã An Ngãi Tây")</f>
        <v>Xã An Ngãi Tây</v>
      </c>
    </row>
    <row r="9480" spans="1:7" x14ac:dyDescent="0.25">
      <c r="A9480" s="2">
        <v>9479</v>
      </c>
      <c r="B9480" s="3" t="s">
        <v>55</v>
      </c>
      <c r="C9480" s="4" t="str">
        <f t="shared" si="841"/>
        <v>Bến Tre</v>
      </c>
      <c r="D9480" s="3" t="s">
        <v>664</v>
      </c>
      <c r="E9480" s="4" t="str">
        <f t="shared" si="842"/>
        <v>Huyện Ba Tri</v>
      </c>
      <c r="F9480" s="3" t="s">
        <v>10239</v>
      </c>
      <c r="G9480" s="4" t="str">
        <f>HYPERLINK("https://diaocthongthai.com/xa-an-hiep-ba-tri/","Xã An Hiệp")</f>
        <v>Xã An Hiệp</v>
      </c>
    </row>
    <row r="9481" spans="1:7" x14ac:dyDescent="0.25">
      <c r="A9481" s="2">
        <v>9480</v>
      </c>
      <c r="B9481" s="3" t="s">
        <v>55</v>
      </c>
      <c r="C9481" s="4" t="str">
        <f t="shared" si="841"/>
        <v>Bến Tre</v>
      </c>
      <c r="D9481" s="3" t="s">
        <v>664</v>
      </c>
      <c r="E9481" s="4" t="str">
        <f t="shared" si="842"/>
        <v>Huyện Ba Tri</v>
      </c>
      <c r="F9481" s="3" t="s">
        <v>10240</v>
      </c>
      <c r="G9481" s="4" t="str">
        <f>HYPERLINK("https://diaocthongthai.com/xa-vinh-hoa-ba-tri/","Xã Vĩnh Hòa")</f>
        <v>Xã Vĩnh Hòa</v>
      </c>
    </row>
    <row r="9482" spans="1:7" x14ac:dyDescent="0.25">
      <c r="A9482" s="2">
        <v>9481</v>
      </c>
      <c r="B9482" s="3" t="s">
        <v>55</v>
      </c>
      <c r="C9482" s="4" t="str">
        <f t="shared" si="841"/>
        <v>Bến Tre</v>
      </c>
      <c r="D9482" s="3" t="s">
        <v>664</v>
      </c>
      <c r="E9482" s="4" t="str">
        <f t="shared" si="842"/>
        <v>Huyện Ba Tri</v>
      </c>
      <c r="F9482" s="3" t="s">
        <v>10241</v>
      </c>
      <c r="G9482" s="4" t="str">
        <f>HYPERLINK("https://diaocthongthai.com/xa-tan-thuy-ba-tri/","Xã Tân Thủy")</f>
        <v>Xã Tân Thủy</v>
      </c>
    </row>
    <row r="9483" spans="1:7" x14ac:dyDescent="0.25">
      <c r="A9483" s="2">
        <v>9482</v>
      </c>
      <c r="B9483" s="3" t="s">
        <v>55</v>
      </c>
      <c r="C9483" s="4" t="str">
        <f t="shared" si="841"/>
        <v>Bến Tre</v>
      </c>
      <c r="D9483" s="3" t="s">
        <v>664</v>
      </c>
      <c r="E9483" s="4" t="str">
        <f t="shared" si="842"/>
        <v>Huyện Ba Tri</v>
      </c>
      <c r="F9483" s="3" t="s">
        <v>10242</v>
      </c>
      <c r="G9483" s="4" t="str">
        <f>HYPERLINK("https://diaocthongthai.com/xa-vinh-an-ba-tri/","Xã Vĩnh An")</f>
        <v>Xã Vĩnh An</v>
      </c>
    </row>
    <row r="9484" spans="1:7" x14ac:dyDescent="0.25">
      <c r="A9484" s="2">
        <v>9483</v>
      </c>
      <c r="B9484" s="3" t="s">
        <v>55</v>
      </c>
      <c r="C9484" s="4" t="str">
        <f t="shared" si="841"/>
        <v>Bến Tre</v>
      </c>
      <c r="D9484" s="3" t="s">
        <v>664</v>
      </c>
      <c r="E9484" s="4" t="str">
        <f t="shared" si="842"/>
        <v>Huyện Ba Tri</v>
      </c>
      <c r="F9484" s="3" t="s">
        <v>10243</v>
      </c>
      <c r="G9484" s="4" t="str">
        <f>HYPERLINK("https://diaocthongthai.com/xa-an-duc-ba-tri/","Xã An Đức")</f>
        <v>Xã An Đức</v>
      </c>
    </row>
    <row r="9485" spans="1:7" x14ac:dyDescent="0.25">
      <c r="A9485" s="2">
        <v>9484</v>
      </c>
      <c r="B9485" s="3" t="s">
        <v>55</v>
      </c>
      <c r="C9485" s="4" t="str">
        <f t="shared" si="841"/>
        <v>Bến Tre</v>
      </c>
      <c r="D9485" s="3" t="s">
        <v>664</v>
      </c>
      <c r="E9485" s="4" t="str">
        <f t="shared" si="842"/>
        <v>Huyện Ba Tri</v>
      </c>
      <c r="F9485" s="3" t="s">
        <v>10244</v>
      </c>
      <c r="G9485" s="4" t="str">
        <f>HYPERLINK("https://diaocthongthai.com/xa-an-hoa-tay-ba-tri/","Xã An Hòa Tây")</f>
        <v>Xã An Hòa Tây</v>
      </c>
    </row>
    <row r="9486" spans="1:7" x14ac:dyDescent="0.25">
      <c r="A9486" s="2">
        <v>9485</v>
      </c>
      <c r="B9486" s="3" t="s">
        <v>55</v>
      </c>
      <c r="C9486" s="4" t="str">
        <f t="shared" si="841"/>
        <v>Bến Tre</v>
      </c>
      <c r="D9486" s="3" t="s">
        <v>664</v>
      </c>
      <c r="E9486" s="4" t="str">
        <f t="shared" si="842"/>
        <v>Huyện Ba Tri</v>
      </c>
      <c r="F9486" s="3" t="s">
        <v>10245</v>
      </c>
      <c r="G9486" s="4" t="str">
        <f>HYPERLINK("https://diaocthongthai.com/xa-an-thuy-ba-tri/","Xã An Thủy")</f>
        <v>Xã An Thủy</v>
      </c>
    </row>
    <row r="9487" spans="1:7" x14ac:dyDescent="0.25">
      <c r="A9487" s="2">
        <v>9486</v>
      </c>
      <c r="B9487" s="3" t="s">
        <v>55</v>
      </c>
      <c r="C9487" s="4" t="str">
        <f t="shared" si="841"/>
        <v>Bến Tre</v>
      </c>
      <c r="D9487" s="3" t="s">
        <v>665</v>
      </c>
      <c r="E9487" s="4" t="str">
        <f t="shared" ref="E9487:E9504" si="843">HYPERLINK("https://diaocthongthai.com/ban-do-huyen-thanh-phu-ben-tre/","Huyện Thạnh Phú")</f>
        <v>Huyện Thạnh Phú</v>
      </c>
      <c r="F9487" s="3" t="s">
        <v>10246</v>
      </c>
      <c r="G9487" s="4" t="str">
        <f>HYPERLINK("https://diaocthongthai.com/thi-tran-thanh-phu-thanh-phu/","Thị trấn Thạnh Phú")</f>
        <v>Thị trấn Thạnh Phú</v>
      </c>
    </row>
    <row r="9488" spans="1:7" x14ac:dyDescent="0.25">
      <c r="A9488" s="2">
        <v>9487</v>
      </c>
      <c r="B9488" s="3" t="s">
        <v>55</v>
      </c>
      <c r="C9488" s="4" t="str">
        <f t="shared" si="841"/>
        <v>Bến Tre</v>
      </c>
      <c r="D9488" s="3" t="s">
        <v>665</v>
      </c>
      <c r="E9488" s="4" t="str">
        <f t="shared" si="843"/>
        <v>Huyện Thạnh Phú</v>
      </c>
      <c r="F9488" s="3" t="s">
        <v>10247</v>
      </c>
      <c r="G9488" s="4" t="str">
        <f>HYPERLINK("https://diaocthongthai.com/xa-phu-khanh-thanh-phu/","Xã Phú Khánh")</f>
        <v>Xã Phú Khánh</v>
      </c>
    </row>
    <row r="9489" spans="1:7" x14ac:dyDescent="0.25">
      <c r="A9489" s="2">
        <v>9488</v>
      </c>
      <c r="B9489" s="3" t="s">
        <v>55</v>
      </c>
      <c r="C9489" s="4" t="str">
        <f t="shared" ref="C9489:C9517" si="844">HYPERLINK("https://diaocthongthai.com/ban-do-ben-tre/","Bến Tre")</f>
        <v>Bến Tre</v>
      </c>
      <c r="D9489" s="3" t="s">
        <v>665</v>
      </c>
      <c r="E9489" s="4" t="str">
        <f t="shared" si="843"/>
        <v>Huyện Thạnh Phú</v>
      </c>
      <c r="F9489" s="3" t="s">
        <v>10248</v>
      </c>
      <c r="G9489" s="4" t="str">
        <f>HYPERLINK("https://diaocthongthai.com/xa-dai-dien-thanh-phu/","Xã Đại Điền")</f>
        <v>Xã Đại Điền</v>
      </c>
    </row>
    <row r="9490" spans="1:7" x14ac:dyDescent="0.25">
      <c r="A9490" s="2">
        <v>9489</v>
      </c>
      <c r="B9490" s="3" t="s">
        <v>55</v>
      </c>
      <c r="C9490" s="4" t="str">
        <f t="shared" si="844"/>
        <v>Bến Tre</v>
      </c>
      <c r="D9490" s="3" t="s">
        <v>665</v>
      </c>
      <c r="E9490" s="4" t="str">
        <f t="shared" si="843"/>
        <v>Huyện Thạnh Phú</v>
      </c>
      <c r="F9490" s="3" t="s">
        <v>10249</v>
      </c>
      <c r="G9490" s="4" t="str">
        <f>HYPERLINK("https://diaocthongthai.com/xa-quoi-dien-thanh-phu/","Xã Quới Điền")</f>
        <v>Xã Quới Điền</v>
      </c>
    </row>
    <row r="9491" spans="1:7" x14ac:dyDescent="0.25">
      <c r="A9491" s="2">
        <v>9490</v>
      </c>
      <c r="B9491" s="3" t="s">
        <v>55</v>
      </c>
      <c r="C9491" s="4" t="str">
        <f t="shared" si="844"/>
        <v>Bến Tre</v>
      </c>
      <c r="D9491" s="3" t="s">
        <v>665</v>
      </c>
      <c r="E9491" s="4" t="str">
        <f t="shared" si="843"/>
        <v>Huyện Thạnh Phú</v>
      </c>
      <c r="F9491" s="3" t="s">
        <v>10250</v>
      </c>
      <c r="G9491" s="4" t="str">
        <f>HYPERLINK("https://diaocthongthai.com/xa-tan-phong-thanh-phu/","Xã Tân Phong")</f>
        <v>Xã Tân Phong</v>
      </c>
    </row>
    <row r="9492" spans="1:7" x14ac:dyDescent="0.25">
      <c r="A9492" s="2">
        <v>9491</v>
      </c>
      <c r="B9492" s="3" t="s">
        <v>55</v>
      </c>
      <c r="C9492" s="4" t="str">
        <f t="shared" si="844"/>
        <v>Bến Tre</v>
      </c>
      <c r="D9492" s="3" t="s">
        <v>665</v>
      </c>
      <c r="E9492" s="4" t="str">
        <f t="shared" si="843"/>
        <v>Huyện Thạnh Phú</v>
      </c>
      <c r="F9492" s="3" t="s">
        <v>10251</v>
      </c>
      <c r="G9492" s="4" t="str">
        <f>HYPERLINK("https://diaocthongthai.com/xa-my-hung-thanh-phu/","Xã Mỹ Hưng")</f>
        <v>Xã Mỹ Hưng</v>
      </c>
    </row>
    <row r="9493" spans="1:7" x14ac:dyDescent="0.25">
      <c r="A9493" s="2">
        <v>9492</v>
      </c>
      <c r="B9493" s="3" t="s">
        <v>55</v>
      </c>
      <c r="C9493" s="4" t="str">
        <f t="shared" si="844"/>
        <v>Bến Tre</v>
      </c>
      <c r="D9493" s="3" t="s">
        <v>665</v>
      </c>
      <c r="E9493" s="4" t="str">
        <f t="shared" si="843"/>
        <v>Huyện Thạnh Phú</v>
      </c>
      <c r="F9493" s="3" t="s">
        <v>10252</v>
      </c>
      <c r="G9493" s="4" t="str">
        <f>HYPERLINK("https://diaocthongthai.com/xa-an-thanh-thanh-phu/","Xã An Thạnh")</f>
        <v>Xã An Thạnh</v>
      </c>
    </row>
    <row r="9494" spans="1:7" x14ac:dyDescent="0.25">
      <c r="A9494" s="2">
        <v>9493</v>
      </c>
      <c r="B9494" s="3" t="s">
        <v>55</v>
      </c>
      <c r="C9494" s="4" t="str">
        <f t="shared" si="844"/>
        <v>Bến Tre</v>
      </c>
      <c r="D9494" s="3" t="s">
        <v>665</v>
      </c>
      <c r="E9494" s="4" t="str">
        <f t="shared" si="843"/>
        <v>Huyện Thạnh Phú</v>
      </c>
      <c r="F9494" s="3" t="s">
        <v>10253</v>
      </c>
      <c r="G9494" s="4" t="str">
        <f>HYPERLINK("https://diaocthongthai.com/xa-thoi-thanh-thanh-phu/","Xã Thới Thạnh")</f>
        <v>Xã Thới Thạnh</v>
      </c>
    </row>
    <row r="9495" spans="1:7" x14ac:dyDescent="0.25">
      <c r="A9495" s="2">
        <v>9494</v>
      </c>
      <c r="B9495" s="3" t="s">
        <v>55</v>
      </c>
      <c r="C9495" s="4" t="str">
        <f t="shared" si="844"/>
        <v>Bến Tre</v>
      </c>
      <c r="D9495" s="3" t="s">
        <v>665</v>
      </c>
      <c r="E9495" s="4" t="str">
        <f t="shared" si="843"/>
        <v>Huyện Thạnh Phú</v>
      </c>
      <c r="F9495" s="3" t="s">
        <v>10254</v>
      </c>
      <c r="G9495" s="4" t="str">
        <f>HYPERLINK("https://diaocthongthai.com/xa-hoa-loi-thanh-phu/","Xã Hòa Lợi")</f>
        <v>Xã Hòa Lợi</v>
      </c>
    </row>
    <row r="9496" spans="1:7" x14ac:dyDescent="0.25">
      <c r="A9496" s="2">
        <v>9495</v>
      </c>
      <c r="B9496" s="3" t="s">
        <v>55</v>
      </c>
      <c r="C9496" s="4" t="str">
        <f t="shared" si="844"/>
        <v>Bến Tre</v>
      </c>
      <c r="D9496" s="3" t="s">
        <v>665</v>
      </c>
      <c r="E9496" s="4" t="str">
        <f t="shared" si="843"/>
        <v>Huyện Thạnh Phú</v>
      </c>
      <c r="F9496" s="3" t="s">
        <v>10255</v>
      </c>
      <c r="G9496" s="4" t="str">
        <f>HYPERLINK("https://diaocthongthai.com/xa-an-dien-thanh-phu/","Xã An Điền")</f>
        <v>Xã An Điền</v>
      </c>
    </row>
    <row r="9497" spans="1:7" x14ac:dyDescent="0.25">
      <c r="A9497" s="2">
        <v>9496</v>
      </c>
      <c r="B9497" s="3" t="s">
        <v>55</v>
      </c>
      <c r="C9497" s="4" t="str">
        <f t="shared" si="844"/>
        <v>Bến Tre</v>
      </c>
      <c r="D9497" s="3" t="s">
        <v>665</v>
      </c>
      <c r="E9497" s="4" t="str">
        <f t="shared" si="843"/>
        <v>Huyện Thạnh Phú</v>
      </c>
      <c r="F9497" s="3" t="s">
        <v>10256</v>
      </c>
      <c r="G9497" s="4" t="str">
        <f>HYPERLINK("https://diaocthongthai.com/xa-binh-thanh-thanh-phu/","Xã Bình Thạnh")</f>
        <v>Xã Bình Thạnh</v>
      </c>
    </row>
    <row r="9498" spans="1:7" x14ac:dyDescent="0.25">
      <c r="A9498" s="2">
        <v>9497</v>
      </c>
      <c r="B9498" s="3" t="s">
        <v>55</v>
      </c>
      <c r="C9498" s="4" t="str">
        <f t="shared" si="844"/>
        <v>Bến Tre</v>
      </c>
      <c r="D9498" s="3" t="s">
        <v>665</v>
      </c>
      <c r="E9498" s="4" t="str">
        <f t="shared" si="843"/>
        <v>Huyện Thạnh Phú</v>
      </c>
      <c r="F9498" s="3" t="s">
        <v>10257</v>
      </c>
      <c r="G9498" s="4" t="str">
        <f>HYPERLINK("https://diaocthongthai.com/xa-an-thuan-thanh-phu/","Xã An Thuận")</f>
        <v>Xã An Thuận</v>
      </c>
    </row>
    <row r="9499" spans="1:7" x14ac:dyDescent="0.25">
      <c r="A9499" s="2">
        <v>9498</v>
      </c>
      <c r="B9499" s="3" t="s">
        <v>55</v>
      </c>
      <c r="C9499" s="4" t="str">
        <f t="shared" si="844"/>
        <v>Bến Tre</v>
      </c>
      <c r="D9499" s="3" t="s">
        <v>665</v>
      </c>
      <c r="E9499" s="4" t="str">
        <f t="shared" si="843"/>
        <v>Huyện Thạnh Phú</v>
      </c>
      <c r="F9499" s="3" t="s">
        <v>10258</v>
      </c>
      <c r="G9499" s="4" t="str">
        <f>HYPERLINK("https://diaocthongthai.com/xa-an-quy-thanh-phu/","Xã An Quy")</f>
        <v>Xã An Quy</v>
      </c>
    </row>
    <row r="9500" spans="1:7" x14ac:dyDescent="0.25">
      <c r="A9500" s="2">
        <v>9499</v>
      </c>
      <c r="B9500" s="3" t="s">
        <v>55</v>
      </c>
      <c r="C9500" s="4" t="str">
        <f t="shared" si="844"/>
        <v>Bến Tre</v>
      </c>
      <c r="D9500" s="3" t="s">
        <v>665</v>
      </c>
      <c r="E9500" s="4" t="str">
        <f t="shared" si="843"/>
        <v>Huyện Thạnh Phú</v>
      </c>
      <c r="F9500" s="3" t="s">
        <v>10259</v>
      </c>
      <c r="G9500" s="4" t="str">
        <f>HYPERLINK("https://diaocthongthai.com/xa-thanh-hai-thanh-phu/","Xã Thạnh Hải")</f>
        <v>Xã Thạnh Hải</v>
      </c>
    </row>
    <row r="9501" spans="1:7" x14ac:dyDescent="0.25">
      <c r="A9501" s="2">
        <v>9500</v>
      </c>
      <c r="B9501" s="3" t="s">
        <v>55</v>
      </c>
      <c r="C9501" s="4" t="str">
        <f t="shared" si="844"/>
        <v>Bến Tre</v>
      </c>
      <c r="D9501" s="3" t="s">
        <v>665</v>
      </c>
      <c r="E9501" s="4" t="str">
        <f t="shared" si="843"/>
        <v>Huyện Thạnh Phú</v>
      </c>
      <c r="F9501" s="3" t="s">
        <v>10260</v>
      </c>
      <c r="G9501" s="4" t="str">
        <f>HYPERLINK("https://diaocthongthai.com/xa-an-nhon-thanh-phu/","Xã An Nhơn")</f>
        <v>Xã An Nhơn</v>
      </c>
    </row>
    <row r="9502" spans="1:7" x14ac:dyDescent="0.25">
      <c r="A9502" s="2">
        <v>9501</v>
      </c>
      <c r="B9502" s="3" t="s">
        <v>55</v>
      </c>
      <c r="C9502" s="4" t="str">
        <f t="shared" si="844"/>
        <v>Bến Tre</v>
      </c>
      <c r="D9502" s="3" t="s">
        <v>665</v>
      </c>
      <c r="E9502" s="4" t="str">
        <f t="shared" si="843"/>
        <v>Huyện Thạnh Phú</v>
      </c>
      <c r="F9502" s="3" t="s">
        <v>10261</v>
      </c>
      <c r="G9502" s="4" t="str">
        <f>HYPERLINK("https://diaocthongthai.com/xa-giao-thanh-thanh-phu/","Xã Giao Thạnh")</f>
        <v>Xã Giao Thạnh</v>
      </c>
    </row>
    <row r="9503" spans="1:7" x14ac:dyDescent="0.25">
      <c r="A9503" s="2">
        <v>9502</v>
      </c>
      <c r="B9503" s="3" t="s">
        <v>55</v>
      </c>
      <c r="C9503" s="4" t="str">
        <f t="shared" si="844"/>
        <v>Bến Tre</v>
      </c>
      <c r="D9503" s="3" t="s">
        <v>665</v>
      </c>
      <c r="E9503" s="4" t="str">
        <f t="shared" si="843"/>
        <v>Huyện Thạnh Phú</v>
      </c>
      <c r="F9503" s="3" t="s">
        <v>10262</v>
      </c>
      <c r="G9503" s="4" t="str">
        <f>HYPERLINK("https://diaocthongthai.com/xa-thanh-phong-thanh-phu/","Xã Thạnh Phong")</f>
        <v>Xã Thạnh Phong</v>
      </c>
    </row>
    <row r="9504" spans="1:7" x14ac:dyDescent="0.25">
      <c r="A9504" s="2">
        <v>9503</v>
      </c>
      <c r="B9504" s="3" t="s">
        <v>55</v>
      </c>
      <c r="C9504" s="4" t="str">
        <f t="shared" si="844"/>
        <v>Bến Tre</v>
      </c>
      <c r="D9504" s="3" t="s">
        <v>665</v>
      </c>
      <c r="E9504" s="4" t="str">
        <f t="shared" si="843"/>
        <v>Huyện Thạnh Phú</v>
      </c>
      <c r="F9504" s="3" t="s">
        <v>10263</v>
      </c>
      <c r="G9504" s="4" t="str">
        <f>HYPERLINK("https://diaocthongthai.com/xa-my-an-thanh-phu/","Xã Mỹ An")</f>
        <v>Xã Mỹ An</v>
      </c>
    </row>
    <row r="9505" spans="1:7" x14ac:dyDescent="0.25">
      <c r="A9505" s="2">
        <v>9504</v>
      </c>
      <c r="B9505" s="3" t="s">
        <v>55</v>
      </c>
      <c r="C9505" s="4" t="str">
        <f t="shared" si="844"/>
        <v>Bến Tre</v>
      </c>
      <c r="D9505" s="3" t="s">
        <v>666</v>
      </c>
      <c r="E9505" s="4" t="str">
        <f t="shared" ref="E9505:E9517" si="845">HYPERLINK("https://diaocthongthai.com/ban-do-huyen-mo-cay-bac-ben-tre/","Huyện Mỏ Cày Bắc")</f>
        <v>Huyện Mỏ Cày Bắc</v>
      </c>
      <c r="F9505" s="3" t="s">
        <v>10264</v>
      </c>
      <c r="G9505" s="4" t="str">
        <f>HYPERLINK("https://diaocthongthai.com/xa-phu-my-mo-cay-bac/","Xã Phú Mỹ")</f>
        <v>Xã Phú Mỹ</v>
      </c>
    </row>
    <row r="9506" spans="1:7" x14ac:dyDescent="0.25">
      <c r="A9506" s="2">
        <v>9505</v>
      </c>
      <c r="B9506" s="3" t="s">
        <v>55</v>
      </c>
      <c r="C9506" s="4" t="str">
        <f t="shared" si="844"/>
        <v>Bến Tre</v>
      </c>
      <c r="D9506" s="3" t="s">
        <v>666</v>
      </c>
      <c r="E9506" s="4" t="str">
        <f t="shared" si="845"/>
        <v>Huyện Mỏ Cày Bắc</v>
      </c>
      <c r="F9506" s="3" t="s">
        <v>10265</v>
      </c>
      <c r="G9506" s="4" t="str">
        <f>HYPERLINK("https://diaocthongthai.com/xa-hung-khanh-trung-a-mo-cay-bac/","Xã Hưng Khánh Trung A")</f>
        <v>Xã Hưng Khánh Trung A</v>
      </c>
    </row>
    <row r="9507" spans="1:7" x14ac:dyDescent="0.25">
      <c r="A9507" s="2">
        <v>9506</v>
      </c>
      <c r="B9507" s="3" t="s">
        <v>55</v>
      </c>
      <c r="C9507" s="4" t="str">
        <f t="shared" si="844"/>
        <v>Bến Tre</v>
      </c>
      <c r="D9507" s="3" t="s">
        <v>666</v>
      </c>
      <c r="E9507" s="4" t="str">
        <f t="shared" si="845"/>
        <v>Huyện Mỏ Cày Bắc</v>
      </c>
      <c r="F9507" s="3" t="s">
        <v>10266</v>
      </c>
      <c r="G9507" s="4" t="str">
        <f>HYPERLINK("https://diaocthongthai.com/xa-thanh-tan-mo-cay-bac/","Xã Thanh Tân")</f>
        <v>Xã Thanh Tân</v>
      </c>
    </row>
    <row r="9508" spans="1:7" x14ac:dyDescent="0.25">
      <c r="A9508" s="2">
        <v>9507</v>
      </c>
      <c r="B9508" s="3" t="s">
        <v>55</v>
      </c>
      <c r="C9508" s="4" t="str">
        <f t="shared" si="844"/>
        <v>Bến Tre</v>
      </c>
      <c r="D9508" s="3" t="s">
        <v>666</v>
      </c>
      <c r="E9508" s="4" t="str">
        <f t="shared" si="845"/>
        <v>Huyện Mỏ Cày Bắc</v>
      </c>
      <c r="F9508" s="3" t="s">
        <v>10267</v>
      </c>
      <c r="G9508" s="4" t="str">
        <f>HYPERLINK("https://diaocthongthai.com/xa-thanh-ngai-mo-cay-bac/","Xã Thạnh Ngãi")</f>
        <v>Xã Thạnh Ngãi</v>
      </c>
    </row>
    <row r="9509" spans="1:7" x14ac:dyDescent="0.25">
      <c r="A9509" s="2">
        <v>9508</v>
      </c>
      <c r="B9509" s="3" t="s">
        <v>55</v>
      </c>
      <c r="C9509" s="4" t="str">
        <f t="shared" si="844"/>
        <v>Bến Tre</v>
      </c>
      <c r="D9509" s="3" t="s">
        <v>666</v>
      </c>
      <c r="E9509" s="4" t="str">
        <f t="shared" si="845"/>
        <v>Huyện Mỏ Cày Bắc</v>
      </c>
      <c r="F9509" s="3" t="s">
        <v>10268</v>
      </c>
      <c r="G9509" s="4" t="str">
        <f>HYPERLINK("https://diaocthongthai.com/xa-tan-phu-tay-mo-cay-bac/","Xã Tân Phú Tây")</f>
        <v>Xã Tân Phú Tây</v>
      </c>
    </row>
    <row r="9510" spans="1:7" x14ac:dyDescent="0.25">
      <c r="A9510" s="2">
        <v>9509</v>
      </c>
      <c r="B9510" s="3" t="s">
        <v>55</v>
      </c>
      <c r="C9510" s="4" t="str">
        <f t="shared" si="844"/>
        <v>Bến Tre</v>
      </c>
      <c r="D9510" s="3" t="s">
        <v>666</v>
      </c>
      <c r="E9510" s="4" t="str">
        <f t="shared" si="845"/>
        <v>Huyện Mỏ Cày Bắc</v>
      </c>
      <c r="F9510" s="3" t="s">
        <v>10269</v>
      </c>
      <c r="G9510" s="4" t="str">
        <f>HYPERLINK("https://diaocthongthai.com/xa-phuoc-my-trung-mo-cay-bac/","Xã Phước Mỹ Trung")</f>
        <v>Xã Phước Mỹ Trung</v>
      </c>
    </row>
    <row r="9511" spans="1:7" x14ac:dyDescent="0.25">
      <c r="A9511" s="2">
        <v>9510</v>
      </c>
      <c r="B9511" s="3" t="s">
        <v>55</v>
      </c>
      <c r="C9511" s="4" t="str">
        <f t="shared" si="844"/>
        <v>Bến Tre</v>
      </c>
      <c r="D9511" s="3" t="s">
        <v>666</v>
      </c>
      <c r="E9511" s="4" t="str">
        <f t="shared" si="845"/>
        <v>Huyện Mỏ Cày Bắc</v>
      </c>
      <c r="F9511" s="3" t="s">
        <v>10270</v>
      </c>
      <c r="G9511" s="4" t="str">
        <f>HYPERLINK("https://diaocthongthai.com/xa-tan-thanh-binh-mo-cay-bac/","Xã Tân Thành Bình")</f>
        <v>Xã Tân Thành Bình</v>
      </c>
    </row>
    <row r="9512" spans="1:7" x14ac:dyDescent="0.25">
      <c r="A9512" s="2">
        <v>9511</v>
      </c>
      <c r="B9512" s="3" t="s">
        <v>55</v>
      </c>
      <c r="C9512" s="4" t="str">
        <f t="shared" si="844"/>
        <v>Bến Tre</v>
      </c>
      <c r="D9512" s="3" t="s">
        <v>666</v>
      </c>
      <c r="E9512" s="4" t="str">
        <f t="shared" si="845"/>
        <v>Huyện Mỏ Cày Bắc</v>
      </c>
      <c r="F9512" s="3" t="s">
        <v>10271</v>
      </c>
      <c r="G9512" s="4" t="str">
        <f>HYPERLINK("https://diaocthongthai.com/xa-thanh-an-mo-cay-bac/","Xã Thành An")</f>
        <v>Xã Thành An</v>
      </c>
    </row>
    <row r="9513" spans="1:7" x14ac:dyDescent="0.25">
      <c r="A9513" s="2">
        <v>9512</v>
      </c>
      <c r="B9513" s="3" t="s">
        <v>55</v>
      </c>
      <c r="C9513" s="4" t="str">
        <f t="shared" si="844"/>
        <v>Bến Tre</v>
      </c>
      <c r="D9513" s="3" t="s">
        <v>666</v>
      </c>
      <c r="E9513" s="4" t="str">
        <f t="shared" si="845"/>
        <v>Huyện Mỏ Cày Bắc</v>
      </c>
      <c r="F9513" s="3" t="s">
        <v>10272</v>
      </c>
      <c r="G9513" s="4" t="str">
        <f>HYPERLINK("https://diaocthongthai.com/xa-hoa-loc-mo-cay-bac/","Xã Hòa Lộc")</f>
        <v>Xã Hòa Lộc</v>
      </c>
    </row>
    <row r="9514" spans="1:7" x14ac:dyDescent="0.25">
      <c r="A9514" s="2">
        <v>9513</v>
      </c>
      <c r="B9514" s="3" t="s">
        <v>55</v>
      </c>
      <c r="C9514" s="4" t="str">
        <f t="shared" si="844"/>
        <v>Bến Tre</v>
      </c>
      <c r="D9514" s="3" t="s">
        <v>666</v>
      </c>
      <c r="E9514" s="4" t="str">
        <f t="shared" si="845"/>
        <v>Huyện Mỏ Cày Bắc</v>
      </c>
      <c r="F9514" s="3" t="s">
        <v>10273</v>
      </c>
      <c r="G9514" s="4" t="str">
        <f>HYPERLINK("https://diaocthongthai.com/xa-tan-thanh-tay-mo-cay-bac/","Xã Tân Thanh Tây")</f>
        <v>Xã Tân Thanh Tây</v>
      </c>
    </row>
    <row r="9515" spans="1:7" x14ac:dyDescent="0.25">
      <c r="A9515" s="2">
        <v>9514</v>
      </c>
      <c r="B9515" s="3" t="s">
        <v>55</v>
      </c>
      <c r="C9515" s="4" t="str">
        <f t="shared" si="844"/>
        <v>Bến Tre</v>
      </c>
      <c r="D9515" s="3" t="s">
        <v>666</v>
      </c>
      <c r="E9515" s="4" t="str">
        <f t="shared" si="845"/>
        <v>Huyện Mỏ Cày Bắc</v>
      </c>
      <c r="F9515" s="3" t="s">
        <v>10274</v>
      </c>
      <c r="G9515" s="4" t="str">
        <f>HYPERLINK("https://diaocthongthai.com/xa-tan-binh-mo-cay-bac/","Xã Tân Bình")</f>
        <v>Xã Tân Bình</v>
      </c>
    </row>
    <row r="9516" spans="1:7" x14ac:dyDescent="0.25">
      <c r="A9516" s="2">
        <v>9515</v>
      </c>
      <c r="B9516" s="3" t="s">
        <v>55</v>
      </c>
      <c r="C9516" s="4" t="str">
        <f t="shared" si="844"/>
        <v>Bến Tre</v>
      </c>
      <c r="D9516" s="3" t="s">
        <v>666</v>
      </c>
      <c r="E9516" s="4" t="str">
        <f t="shared" si="845"/>
        <v>Huyện Mỏ Cày Bắc</v>
      </c>
      <c r="F9516" s="3" t="s">
        <v>10275</v>
      </c>
      <c r="G9516" s="4" t="str">
        <f>HYPERLINK("https://diaocthongthai.com/xa-nhuan-phu-tan-mo-cay-bac/","Xã Nhuận Phú Tân")</f>
        <v>Xã Nhuận Phú Tân</v>
      </c>
    </row>
    <row r="9517" spans="1:7" x14ac:dyDescent="0.25">
      <c r="A9517" s="2">
        <v>9516</v>
      </c>
      <c r="B9517" s="3" t="s">
        <v>55</v>
      </c>
      <c r="C9517" s="4" t="str">
        <f t="shared" si="844"/>
        <v>Bến Tre</v>
      </c>
      <c r="D9517" s="3" t="s">
        <v>666</v>
      </c>
      <c r="E9517" s="4" t="str">
        <f t="shared" si="845"/>
        <v>Huyện Mỏ Cày Bắc</v>
      </c>
      <c r="F9517" s="3" t="s">
        <v>10276</v>
      </c>
      <c r="G9517" s="4" t="str">
        <f>HYPERLINK("https://diaocthongthai.com/xa-khanh-thanh-tan-mo-cay-bac/","Xã Khánh Thạnh Tân")</f>
        <v>Xã Khánh Thạnh Tân</v>
      </c>
    </row>
    <row r="9518" spans="1:7" x14ac:dyDescent="0.25">
      <c r="A9518" s="2">
        <v>9517</v>
      </c>
      <c r="B9518" s="3" t="s">
        <v>56</v>
      </c>
      <c r="C9518" s="4" t="str">
        <f t="shared" ref="C9518:C9549" si="846">HYPERLINK("https://diaocthongthai.com/ban-do-tra-vinh/","Trà Vinh")</f>
        <v>Trà Vinh</v>
      </c>
      <c r="D9518" s="3" t="s">
        <v>667</v>
      </c>
      <c r="E9518" s="4" t="str">
        <f t="shared" ref="E9518:E9527" si="847">HYPERLINK("https://diaocthongthai.com/ban-do-tp-tra-vinh-tra-vinh/","Thành phố Trà Vinh")</f>
        <v>Thành phố Trà Vinh</v>
      </c>
      <c r="F9518" s="3" t="s">
        <v>10277</v>
      </c>
      <c r="G9518" s="4" t="str">
        <f>HYPERLINK("https://diaocthongthai.com/phuong-4-tp-tra-vinh/","Phường 4")</f>
        <v>Phường 4</v>
      </c>
    </row>
    <row r="9519" spans="1:7" x14ac:dyDescent="0.25">
      <c r="A9519" s="2">
        <v>9518</v>
      </c>
      <c r="B9519" s="3" t="s">
        <v>56</v>
      </c>
      <c r="C9519" s="4" t="str">
        <f t="shared" si="846"/>
        <v>Trà Vinh</v>
      </c>
      <c r="D9519" s="3" t="s">
        <v>667</v>
      </c>
      <c r="E9519" s="4" t="str">
        <f t="shared" si="847"/>
        <v>Thành phố Trà Vinh</v>
      </c>
      <c r="F9519" s="3" t="s">
        <v>10278</v>
      </c>
      <c r="G9519" s="4" t="str">
        <f>HYPERLINK("https://diaocthongthai.com/phuong-1-tp-tra-vinh/","Phường 1")</f>
        <v>Phường 1</v>
      </c>
    </row>
    <row r="9520" spans="1:7" x14ac:dyDescent="0.25">
      <c r="A9520" s="2">
        <v>9519</v>
      </c>
      <c r="B9520" s="3" t="s">
        <v>56</v>
      </c>
      <c r="C9520" s="4" t="str">
        <f t="shared" si="846"/>
        <v>Trà Vinh</v>
      </c>
      <c r="D9520" s="3" t="s">
        <v>667</v>
      </c>
      <c r="E9520" s="4" t="str">
        <f t="shared" si="847"/>
        <v>Thành phố Trà Vinh</v>
      </c>
      <c r="F9520" s="3" t="s">
        <v>10279</v>
      </c>
      <c r="G9520" s="4" t="str">
        <f>HYPERLINK("https://diaocthongthai.com/phuong-3-tp-tra-vinh/","Phường 3")</f>
        <v>Phường 3</v>
      </c>
    </row>
    <row r="9521" spans="1:7" x14ac:dyDescent="0.25">
      <c r="A9521" s="2">
        <v>9520</v>
      </c>
      <c r="B9521" s="3" t="s">
        <v>56</v>
      </c>
      <c r="C9521" s="4" t="str">
        <f t="shared" si="846"/>
        <v>Trà Vinh</v>
      </c>
      <c r="D9521" s="3" t="s">
        <v>667</v>
      </c>
      <c r="E9521" s="4" t="str">
        <f t="shared" si="847"/>
        <v>Thành phố Trà Vinh</v>
      </c>
      <c r="F9521" s="3" t="s">
        <v>10280</v>
      </c>
      <c r="G9521" s="4" t="str">
        <f>HYPERLINK("https://diaocthongthai.com/phuong-2-tp-tra-vinh/","Phường 2")</f>
        <v>Phường 2</v>
      </c>
    </row>
    <row r="9522" spans="1:7" x14ac:dyDescent="0.25">
      <c r="A9522" s="2">
        <v>9521</v>
      </c>
      <c r="B9522" s="3" t="s">
        <v>56</v>
      </c>
      <c r="C9522" s="4" t="str">
        <f t="shared" si="846"/>
        <v>Trà Vinh</v>
      </c>
      <c r="D9522" s="3" t="s">
        <v>667</v>
      </c>
      <c r="E9522" s="4" t="str">
        <f t="shared" si="847"/>
        <v>Thành phố Trà Vinh</v>
      </c>
      <c r="F9522" s="3" t="s">
        <v>10281</v>
      </c>
      <c r="G9522" s="4" t="str">
        <f>HYPERLINK("https://diaocthongthai.com/phuong-5-tp-tra-vinh/","Phường 5")</f>
        <v>Phường 5</v>
      </c>
    </row>
    <row r="9523" spans="1:7" x14ac:dyDescent="0.25">
      <c r="A9523" s="2">
        <v>9522</v>
      </c>
      <c r="B9523" s="3" t="s">
        <v>56</v>
      </c>
      <c r="C9523" s="4" t="str">
        <f t="shared" si="846"/>
        <v>Trà Vinh</v>
      </c>
      <c r="D9523" s="3" t="s">
        <v>667</v>
      </c>
      <c r="E9523" s="4" t="str">
        <f t="shared" si="847"/>
        <v>Thành phố Trà Vinh</v>
      </c>
      <c r="F9523" s="3" t="s">
        <v>10282</v>
      </c>
      <c r="G9523" s="4" t="str">
        <f>HYPERLINK("https://diaocthongthai.com/phuong-6-tp-tra-vinh/","Phường 6")</f>
        <v>Phường 6</v>
      </c>
    </row>
    <row r="9524" spans="1:7" x14ac:dyDescent="0.25">
      <c r="A9524" s="2">
        <v>9523</v>
      </c>
      <c r="B9524" s="3" t="s">
        <v>56</v>
      </c>
      <c r="C9524" s="4" t="str">
        <f t="shared" si="846"/>
        <v>Trà Vinh</v>
      </c>
      <c r="D9524" s="3" t="s">
        <v>667</v>
      </c>
      <c r="E9524" s="4" t="str">
        <f t="shared" si="847"/>
        <v>Thành phố Trà Vinh</v>
      </c>
      <c r="F9524" s="3" t="s">
        <v>10283</v>
      </c>
      <c r="G9524" s="4" t="str">
        <f>HYPERLINK("https://diaocthongthai.com/phuong-7-tp-tra-vinh/","Phường 7")</f>
        <v>Phường 7</v>
      </c>
    </row>
    <row r="9525" spans="1:7" x14ac:dyDescent="0.25">
      <c r="A9525" s="2">
        <v>9524</v>
      </c>
      <c r="B9525" s="3" t="s">
        <v>56</v>
      </c>
      <c r="C9525" s="4" t="str">
        <f t="shared" si="846"/>
        <v>Trà Vinh</v>
      </c>
      <c r="D9525" s="3" t="s">
        <v>667</v>
      </c>
      <c r="E9525" s="4" t="str">
        <f t="shared" si="847"/>
        <v>Thành phố Trà Vinh</v>
      </c>
      <c r="F9525" s="3" t="s">
        <v>10284</v>
      </c>
      <c r="G9525" s="4" t="str">
        <f>HYPERLINK("https://diaocthongthai.com/phuong-8-tp-tra-vinh/","Phường 8")</f>
        <v>Phường 8</v>
      </c>
    </row>
    <row r="9526" spans="1:7" x14ac:dyDescent="0.25">
      <c r="A9526" s="2">
        <v>9525</v>
      </c>
      <c r="B9526" s="3" t="s">
        <v>56</v>
      </c>
      <c r="C9526" s="4" t="str">
        <f t="shared" si="846"/>
        <v>Trà Vinh</v>
      </c>
      <c r="D9526" s="3" t="s">
        <v>667</v>
      </c>
      <c r="E9526" s="4" t="str">
        <f t="shared" si="847"/>
        <v>Thành phố Trà Vinh</v>
      </c>
      <c r="F9526" s="3" t="s">
        <v>10285</v>
      </c>
      <c r="G9526" s="4" t="str">
        <f>HYPERLINK("https://diaocthongthai.com/phuong-9-tp-tra-vinh/","Phường 9")</f>
        <v>Phường 9</v>
      </c>
    </row>
    <row r="9527" spans="1:7" x14ac:dyDescent="0.25">
      <c r="A9527" s="2">
        <v>9526</v>
      </c>
      <c r="B9527" s="3" t="s">
        <v>56</v>
      </c>
      <c r="C9527" s="4" t="str">
        <f t="shared" si="846"/>
        <v>Trà Vinh</v>
      </c>
      <c r="D9527" s="3" t="s">
        <v>667</v>
      </c>
      <c r="E9527" s="4" t="str">
        <f t="shared" si="847"/>
        <v>Thành phố Trà Vinh</v>
      </c>
      <c r="F9527" s="3" t="s">
        <v>10286</v>
      </c>
      <c r="G9527" s="4" t="str">
        <f>HYPERLINK("https://diaocthongthai.com/xa-long-duc-tp-tra-vinh/","Xã Long Đức")</f>
        <v>Xã Long Đức</v>
      </c>
    </row>
    <row r="9528" spans="1:7" x14ac:dyDescent="0.25">
      <c r="A9528" s="2">
        <v>9527</v>
      </c>
      <c r="B9528" s="3" t="s">
        <v>56</v>
      </c>
      <c r="C9528" s="4" t="str">
        <f t="shared" si="846"/>
        <v>Trà Vinh</v>
      </c>
      <c r="D9528" s="3" t="s">
        <v>668</v>
      </c>
      <c r="E9528" s="4" t="str">
        <f t="shared" ref="E9528:E9541" si="848">HYPERLINK("https://diaocthongthai.com/ban-do-huyen-cang-long-tra-vinh/","Huyện Càng Long")</f>
        <v>Huyện Càng Long</v>
      </c>
      <c r="F9528" s="3" t="s">
        <v>10287</v>
      </c>
      <c r="G9528" s="4" t="str">
        <f>HYPERLINK("https://diaocthongthai.com/thi-tran-cang-long-cang-long/","Thị trấn Càng Long")</f>
        <v>Thị trấn Càng Long</v>
      </c>
    </row>
    <row r="9529" spans="1:7" x14ac:dyDescent="0.25">
      <c r="A9529" s="2">
        <v>9528</v>
      </c>
      <c r="B9529" s="3" t="s">
        <v>56</v>
      </c>
      <c r="C9529" s="4" t="str">
        <f t="shared" si="846"/>
        <v>Trà Vinh</v>
      </c>
      <c r="D9529" s="3" t="s">
        <v>668</v>
      </c>
      <c r="E9529" s="4" t="str">
        <f t="shared" si="848"/>
        <v>Huyện Càng Long</v>
      </c>
      <c r="F9529" s="3" t="s">
        <v>10288</v>
      </c>
      <c r="G9529" s="4" t="str">
        <f>HYPERLINK("https://diaocthongthai.com/xa-my-cam-cang-long/","Xã Mỹ Cẩm")</f>
        <v>Xã Mỹ Cẩm</v>
      </c>
    </row>
    <row r="9530" spans="1:7" x14ac:dyDescent="0.25">
      <c r="A9530" s="2">
        <v>9529</v>
      </c>
      <c r="B9530" s="3" t="s">
        <v>56</v>
      </c>
      <c r="C9530" s="4" t="str">
        <f t="shared" si="846"/>
        <v>Trà Vinh</v>
      </c>
      <c r="D9530" s="3" t="s">
        <v>668</v>
      </c>
      <c r="E9530" s="4" t="str">
        <f t="shared" si="848"/>
        <v>Huyện Càng Long</v>
      </c>
      <c r="F9530" s="3" t="s">
        <v>10289</v>
      </c>
      <c r="G9530" s="4" t="str">
        <f>HYPERLINK("https://diaocthongthai.com/xa-an-truong-a-cang-long/","Xã An Trường A")</f>
        <v>Xã An Trường A</v>
      </c>
    </row>
    <row r="9531" spans="1:7" x14ac:dyDescent="0.25">
      <c r="A9531" s="2">
        <v>9530</v>
      </c>
      <c r="B9531" s="3" t="s">
        <v>56</v>
      </c>
      <c r="C9531" s="4" t="str">
        <f t="shared" si="846"/>
        <v>Trà Vinh</v>
      </c>
      <c r="D9531" s="3" t="s">
        <v>668</v>
      </c>
      <c r="E9531" s="4" t="str">
        <f t="shared" si="848"/>
        <v>Huyện Càng Long</v>
      </c>
      <c r="F9531" s="3" t="s">
        <v>10290</v>
      </c>
      <c r="G9531" s="4" t="str">
        <f>HYPERLINK("https://diaocthongthai.com/xa-an-truong-cang-long/","Xã An Trường")</f>
        <v>Xã An Trường</v>
      </c>
    </row>
    <row r="9532" spans="1:7" x14ac:dyDescent="0.25">
      <c r="A9532" s="2">
        <v>9531</v>
      </c>
      <c r="B9532" s="3" t="s">
        <v>56</v>
      </c>
      <c r="C9532" s="4" t="str">
        <f t="shared" si="846"/>
        <v>Trà Vinh</v>
      </c>
      <c r="D9532" s="3" t="s">
        <v>668</v>
      </c>
      <c r="E9532" s="4" t="str">
        <f t="shared" si="848"/>
        <v>Huyện Càng Long</v>
      </c>
      <c r="F9532" s="3" t="s">
        <v>10291</v>
      </c>
      <c r="G9532" s="4" t="str">
        <f>HYPERLINK("https://diaocthongthai.com/xa-huyen-hoi-cang-long/","Xã Huyền Hội")</f>
        <v>Xã Huyền Hội</v>
      </c>
    </row>
    <row r="9533" spans="1:7" x14ac:dyDescent="0.25">
      <c r="A9533" s="2">
        <v>9532</v>
      </c>
      <c r="B9533" s="3" t="s">
        <v>56</v>
      </c>
      <c r="C9533" s="4" t="str">
        <f t="shared" si="846"/>
        <v>Trà Vinh</v>
      </c>
      <c r="D9533" s="3" t="s">
        <v>668</v>
      </c>
      <c r="E9533" s="4" t="str">
        <f t="shared" si="848"/>
        <v>Huyện Càng Long</v>
      </c>
      <c r="F9533" s="3" t="s">
        <v>10292</v>
      </c>
      <c r="G9533" s="4" t="str">
        <f>HYPERLINK("https://diaocthongthai.com/xa-tan-an-cang-long/","Xã Tân An")</f>
        <v>Xã Tân An</v>
      </c>
    </row>
    <row r="9534" spans="1:7" x14ac:dyDescent="0.25">
      <c r="A9534" s="2">
        <v>9533</v>
      </c>
      <c r="B9534" s="3" t="s">
        <v>56</v>
      </c>
      <c r="C9534" s="4" t="str">
        <f t="shared" si="846"/>
        <v>Trà Vinh</v>
      </c>
      <c r="D9534" s="3" t="s">
        <v>668</v>
      </c>
      <c r="E9534" s="4" t="str">
        <f t="shared" si="848"/>
        <v>Huyện Càng Long</v>
      </c>
      <c r="F9534" s="3" t="s">
        <v>10293</v>
      </c>
      <c r="G9534" s="4" t="str">
        <f>HYPERLINK("https://diaocthongthai.com/xa-tan-binh-cang-long/","Xã Tân Bình")</f>
        <v>Xã Tân Bình</v>
      </c>
    </row>
    <row r="9535" spans="1:7" x14ac:dyDescent="0.25">
      <c r="A9535" s="2">
        <v>9534</v>
      </c>
      <c r="B9535" s="3" t="s">
        <v>56</v>
      </c>
      <c r="C9535" s="4" t="str">
        <f t="shared" si="846"/>
        <v>Trà Vinh</v>
      </c>
      <c r="D9535" s="3" t="s">
        <v>668</v>
      </c>
      <c r="E9535" s="4" t="str">
        <f t="shared" si="848"/>
        <v>Huyện Càng Long</v>
      </c>
      <c r="F9535" s="3" t="s">
        <v>10294</v>
      </c>
      <c r="G9535" s="4" t="str">
        <f>HYPERLINK("https://diaocthongthai.com/xa-binh-phu-cang-long/","Xã Bình Phú")</f>
        <v>Xã Bình Phú</v>
      </c>
    </row>
    <row r="9536" spans="1:7" x14ac:dyDescent="0.25">
      <c r="A9536" s="2">
        <v>9535</v>
      </c>
      <c r="B9536" s="3" t="s">
        <v>56</v>
      </c>
      <c r="C9536" s="4" t="str">
        <f t="shared" si="846"/>
        <v>Trà Vinh</v>
      </c>
      <c r="D9536" s="3" t="s">
        <v>668</v>
      </c>
      <c r="E9536" s="4" t="str">
        <f t="shared" si="848"/>
        <v>Huyện Càng Long</v>
      </c>
      <c r="F9536" s="3" t="s">
        <v>10295</v>
      </c>
      <c r="G9536" s="4" t="str">
        <f>HYPERLINK("https://diaocthongthai.com/xa-phuong-thanh-cang-long/","Xã Phương Thạnh")</f>
        <v>Xã Phương Thạnh</v>
      </c>
    </row>
    <row r="9537" spans="1:7" x14ac:dyDescent="0.25">
      <c r="A9537" s="2">
        <v>9536</v>
      </c>
      <c r="B9537" s="3" t="s">
        <v>56</v>
      </c>
      <c r="C9537" s="4" t="str">
        <f t="shared" si="846"/>
        <v>Trà Vinh</v>
      </c>
      <c r="D9537" s="3" t="s">
        <v>668</v>
      </c>
      <c r="E9537" s="4" t="str">
        <f t="shared" si="848"/>
        <v>Huyện Càng Long</v>
      </c>
      <c r="F9537" s="3" t="s">
        <v>10296</v>
      </c>
      <c r="G9537" s="4" t="str">
        <f>HYPERLINK("https://diaocthongthai.com/xa-dai-phuc-cang-long/","Xã Đại Phúc")</f>
        <v>Xã Đại Phúc</v>
      </c>
    </row>
    <row r="9538" spans="1:7" x14ac:dyDescent="0.25">
      <c r="A9538" s="2">
        <v>9537</v>
      </c>
      <c r="B9538" s="3" t="s">
        <v>56</v>
      </c>
      <c r="C9538" s="4" t="str">
        <f t="shared" si="846"/>
        <v>Trà Vinh</v>
      </c>
      <c r="D9538" s="3" t="s">
        <v>668</v>
      </c>
      <c r="E9538" s="4" t="str">
        <f t="shared" si="848"/>
        <v>Huyện Càng Long</v>
      </c>
      <c r="F9538" s="3" t="s">
        <v>10297</v>
      </c>
      <c r="G9538" s="4" t="str">
        <f>HYPERLINK("https://diaocthongthai.com/xa-dai-phuoc-cang-long/","Xã Đại Phước")</f>
        <v>Xã Đại Phước</v>
      </c>
    </row>
    <row r="9539" spans="1:7" x14ac:dyDescent="0.25">
      <c r="A9539" s="2">
        <v>9538</v>
      </c>
      <c r="B9539" s="3" t="s">
        <v>56</v>
      </c>
      <c r="C9539" s="4" t="str">
        <f t="shared" si="846"/>
        <v>Trà Vinh</v>
      </c>
      <c r="D9539" s="3" t="s">
        <v>668</v>
      </c>
      <c r="E9539" s="4" t="str">
        <f t="shared" si="848"/>
        <v>Huyện Càng Long</v>
      </c>
      <c r="F9539" s="3" t="s">
        <v>10298</v>
      </c>
      <c r="G9539" s="4" t="str">
        <f>HYPERLINK("https://diaocthongthai.com/xa-nhi-long-phu-cang-long/","Xã Nhị Long Phú")</f>
        <v>Xã Nhị Long Phú</v>
      </c>
    </row>
    <row r="9540" spans="1:7" x14ac:dyDescent="0.25">
      <c r="A9540" s="2">
        <v>9539</v>
      </c>
      <c r="B9540" s="3" t="s">
        <v>56</v>
      </c>
      <c r="C9540" s="4" t="str">
        <f t="shared" si="846"/>
        <v>Trà Vinh</v>
      </c>
      <c r="D9540" s="3" t="s">
        <v>668</v>
      </c>
      <c r="E9540" s="4" t="str">
        <f t="shared" si="848"/>
        <v>Huyện Càng Long</v>
      </c>
      <c r="F9540" s="3" t="s">
        <v>10299</v>
      </c>
      <c r="G9540" s="4" t="str">
        <f>HYPERLINK("https://diaocthongthai.com/xa-nhi-long-cang-long/","Xã Nhị Long")</f>
        <v>Xã Nhị Long</v>
      </c>
    </row>
    <row r="9541" spans="1:7" x14ac:dyDescent="0.25">
      <c r="A9541" s="2">
        <v>9540</v>
      </c>
      <c r="B9541" s="3" t="s">
        <v>56</v>
      </c>
      <c r="C9541" s="4" t="str">
        <f t="shared" si="846"/>
        <v>Trà Vinh</v>
      </c>
      <c r="D9541" s="3" t="s">
        <v>668</v>
      </c>
      <c r="E9541" s="4" t="str">
        <f t="shared" si="848"/>
        <v>Huyện Càng Long</v>
      </c>
      <c r="F9541" s="3" t="s">
        <v>10300</v>
      </c>
      <c r="G9541" s="4" t="str">
        <f>HYPERLINK("https://diaocthongthai.com/xa-duc-my-cang-long/","Xã Đức Mỹ")</f>
        <v>Xã Đức Mỹ</v>
      </c>
    </row>
    <row r="9542" spans="1:7" x14ac:dyDescent="0.25">
      <c r="A9542" s="2">
        <v>9541</v>
      </c>
      <c r="B9542" s="3" t="s">
        <v>56</v>
      </c>
      <c r="C9542" s="4" t="str">
        <f t="shared" si="846"/>
        <v>Trà Vinh</v>
      </c>
      <c r="D9542" s="3" t="s">
        <v>669</v>
      </c>
      <c r="E9542" s="4" t="str">
        <f t="shared" ref="E9542:E9552" si="849">HYPERLINK("https://diaocthongthai.com/ban-do-huyen-cau-ke-tra-vinh/","Huyện Cầu Kè")</f>
        <v>Huyện Cầu Kè</v>
      </c>
      <c r="F9542" s="3" t="s">
        <v>10301</v>
      </c>
      <c r="G9542" s="4" t="str">
        <f>HYPERLINK("https://diaocthongthai.com/thi-tran-cau-ke-cau-ke/","Thị trấn Cầu Kè")</f>
        <v>Thị trấn Cầu Kè</v>
      </c>
    </row>
    <row r="9543" spans="1:7" x14ac:dyDescent="0.25">
      <c r="A9543" s="2">
        <v>9542</v>
      </c>
      <c r="B9543" s="3" t="s">
        <v>56</v>
      </c>
      <c r="C9543" s="4" t="str">
        <f t="shared" si="846"/>
        <v>Trà Vinh</v>
      </c>
      <c r="D9543" s="3" t="s">
        <v>669</v>
      </c>
      <c r="E9543" s="4" t="str">
        <f t="shared" si="849"/>
        <v>Huyện Cầu Kè</v>
      </c>
      <c r="F9543" s="3" t="s">
        <v>10302</v>
      </c>
      <c r="G9543" s="4" t="str">
        <f>HYPERLINK("https://diaocthongthai.com/xa-hoa-an-cau-ke/","Xã Hòa Ân")</f>
        <v>Xã Hòa Ân</v>
      </c>
    </row>
    <row r="9544" spans="1:7" x14ac:dyDescent="0.25">
      <c r="A9544" s="2">
        <v>9543</v>
      </c>
      <c r="B9544" s="3" t="s">
        <v>56</v>
      </c>
      <c r="C9544" s="4" t="str">
        <f t="shared" si="846"/>
        <v>Trà Vinh</v>
      </c>
      <c r="D9544" s="3" t="s">
        <v>669</v>
      </c>
      <c r="E9544" s="4" t="str">
        <f t="shared" si="849"/>
        <v>Huyện Cầu Kè</v>
      </c>
      <c r="F9544" s="3" t="s">
        <v>10303</v>
      </c>
      <c r="G9544" s="4" t="str">
        <f>HYPERLINK("https://diaocthongthai.com/xa-chau-dien-cau-ke/","Xã Châu Điền")</f>
        <v>Xã Châu Điền</v>
      </c>
    </row>
    <row r="9545" spans="1:7" x14ac:dyDescent="0.25">
      <c r="A9545" s="2">
        <v>9544</v>
      </c>
      <c r="B9545" s="3" t="s">
        <v>56</v>
      </c>
      <c r="C9545" s="4" t="str">
        <f t="shared" si="846"/>
        <v>Trà Vinh</v>
      </c>
      <c r="D9545" s="3" t="s">
        <v>669</v>
      </c>
      <c r="E9545" s="4" t="str">
        <f t="shared" si="849"/>
        <v>Huyện Cầu Kè</v>
      </c>
      <c r="F9545" s="3" t="s">
        <v>10304</v>
      </c>
      <c r="G9545" s="4" t="str">
        <f>HYPERLINK("https://diaocthongthai.com/xa-an-phu-tan-cau-ke/","Xã An Phú Tân")</f>
        <v>Xã An Phú Tân</v>
      </c>
    </row>
    <row r="9546" spans="1:7" x14ac:dyDescent="0.25">
      <c r="A9546" s="2">
        <v>9545</v>
      </c>
      <c r="B9546" s="3" t="s">
        <v>56</v>
      </c>
      <c r="C9546" s="4" t="str">
        <f t="shared" si="846"/>
        <v>Trà Vinh</v>
      </c>
      <c r="D9546" s="3" t="s">
        <v>669</v>
      </c>
      <c r="E9546" s="4" t="str">
        <f t="shared" si="849"/>
        <v>Huyện Cầu Kè</v>
      </c>
      <c r="F9546" s="3" t="s">
        <v>10305</v>
      </c>
      <c r="G9546" s="4" t="str">
        <f>HYPERLINK("https://diaocthongthai.com/xa-hoa-tan-cau-ke/","Xã Hoà Tân")</f>
        <v>Xã Hoà Tân</v>
      </c>
    </row>
    <row r="9547" spans="1:7" x14ac:dyDescent="0.25">
      <c r="A9547" s="2">
        <v>9546</v>
      </c>
      <c r="B9547" s="3" t="s">
        <v>56</v>
      </c>
      <c r="C9547" s="4" t="str">
        <f t="shared" si="846"/>
        <v>Trà Vinh</v>
      </c>
      <c r="D9547" s="3" t="s">
        <v>669</v>
      </c>
      <c r="E9547" s="4" t="str">
        <f t="shared" si="849"/>
        <v>Huyện Cầu Kè</v>
      </c>
      <c r="F9547" s="3" t="s">
        <v>10306</v>
      </c>
      <c r="G9547" s="4" t="str">
        <f>HYPERLINK("https://diaocthongthai.com/xa-ninh-thoi-cau-ke/","Xã Ninh Thới")</f>
        <v>Xã Ninh Thới</v>
      </c>
    </row>
    <row r="9548" spans="1:7" x14ac:dyDescent="0.25">
      <c r="A9548" s="2">
        <v>9547</v>
      </c>
      <c r="B9548" s="3" t="s">
        <v>56</v>
      </c>
      <c r="C9548" s="4" t="str">
        <f t="shared" si="846"/>
        <v>Trà Vinh</v>
      </c>
      <c r="D9548" s="3" t="s">
        <v>669</v>
      </c>
      <c r="E9548" s="4" t="str">
        <f t="shared" si="849"/>
        <v>Huyện Cầu Kè</v>
      </c>
      <c r="F9548" s="3" t="s">
        <v>10307</v>
      </c>
      <c r="G9548" s="4" t="str">
        <f>HYPERLINK("https://diaocthongthai.com/xa-phong-phu-cau-ke/","Xã Phong Phú")</f>
        <v>Xã Phong Phú</v>
      </c>
    </row>
    <row r="9549" spans="1:7" x14ac:dyDescent="0.25">
      <c r="A9549" s="2">
        <v>9548</v>
      </c>
      <c r="B9549" s="3" t="s">
        <v>56</v>
      </c>
      <c r="C9549" s="4" t="str">
        <f t="shared" si="846"/>
        <v>Trà Vinh</v>
      </c>
      <c r="D9549" s="3" t="s">
        <v>669</v>
      </c>
      <c r="E9549" s="4" t="str">
        <f t="shared" si="849"/>
        <v>Huyện Cầu Kè</v>
      </c>
      <c r="F9549" s="3" t="s">
        <v>10308</v>
      </c>
      <c r="G9549" s="4" t="str">
        <f>HYPERLINK("https://diaocthongthai.com/xa-phong-thanh-cau-ke/","Xã Phong Thạnh")</f>
        <v>Xã Phong Thạnh</v>
      </c>
    </row>
    <row r="9550" spans="1:7" x14ac:dyDescent="0.25">
      <c r="A9550" s="2">
        <v>9549</v>
      </c>
      <c r="B9550" s="3" t="s">
        <v>56</v>
      </c>
      <c r="C9550" s="4" t="str">
        <f t="shared" ref="C9550:C9581" si="850">HYPERLINK("https://diaocthongthai.com/ban-do-tra-vinh/","Trà Vinh")</f>
        <v>Trà Vinh</v>
      </c>
      <c r="D9550" s="3" t="s">
        <v>669</v>
      </c>
      <c r="E9550" s="4" t="str">
        <f t="shared" si="849"/>
        <v>Huyện Cầu Kè</v>
      </c>
      <c r="F9550" s="3" t="s">
        <v>10309</v>
      </c>
      <c r="G9550" s="4" t="str">
        <f>HYPERLINK("https://diaocthongthai.com/xa-tam-ngai-cau-ke/","Xã Tam Ngãi")</f>
        <v>Xã Tam Ngãi</v>
      </c>
    </row>
    <row r="9551" spans="1:7" x14ac:dyDescent="0.25">
      <c r="A9551" s="2">
        <v>9550</v>
      </c>
      <c r="B9551" s="3" t="s">
        <v>56</v>
      </c>
      <c r="C9551" s="4" t="str">
        <f t="shared" si="850"/>
        <v>Trà Vinh</v>
      </c>
      <c r="D9551" s="3" t="s">
        <v>669</v>
      </c>
      <c r="E9551" s="4" t="str">
        <f t="shared" si="849"/>
        <v>Huyện Cầu Kè</v>
      </c>
      <c r="F9551" s="3" t="s">
        <v>10310</v>
      </c>
      <c r="G9551" s="4" t="str">
        <f>HYPERLINK("https://diaocthongthai.com/xa-thong-hoa-cau-ke/","Xã Thông Hòa")</f>
        <v>Xã Thông Hòa</v>
      </c>
    </row>
    <row r="9552" spans="1:7" x14ac:dyDescent="0.25">
      <c r="A9552" s="2">
        <v>9551</v>
      </c>
      <c r="B9552" s="3" t="s">
        <v>56</v>
      </c>
      <c r="C9552" s="4" t="str">
        <f t="shared" si="850"/>
        <v>Trà Vinh</v>
      </c>
      <c r="D9552" s="3" t="s">
        <v>669</v>
      </c>
      <c r="E9552" s="4" t="str">
        <f t="shared" si="849"/>
        <v>Huyện Cầu Kè</v>
      </c>
      <c r="F9552" s="3" t="s">
        <v>10311</v>
      </c>
      <c r="G9552" s="4" t="str">
        <f>HYPERLINK("https://diaocthongthai.com/xa-thanh-phu-cau-ke/","Xã Thạnh Phú")</f>
        <v>Xã Thạnh Phú</v>
      </c>
    </row>
    <row r="9553" spans="1:7" x14ac:dyDescent="0.25">
      <c r="A9553" s="2">
        <v>9552</v>
      </c>
      <c r="B9553" s="3" t="s">
        <v>56</v>
      </c>
      <c r="C9553" s="4" t="str">
        <f t="shared" si="850"/>
        <v>Trà Vinh</v>
      </c>
      <c r="D9553" s="3" t="s">
        <v>670</v>
      </c>
      <c r="E9553" s="4" t="str">
        <f t="shared" ref="E9553:E9563" si="851">HYPERLINK("https://diaocthongthai.com/ban-do-huyen-tieu-can-tra-vinh/","Huyện Tiểu Cần")</f>
        <v>Huyện Tiểu Cần</v>
      </c>
      <c r="F9553" s="3" t="s">
        <v>10312</v>
      </c>
      <c r="G9553" s="4" t="str">
        <f>HYPERLINK("https://diaocthongthai.com/thi-tran-tieu-can-tieu-can/","Thị trấn Tiểu Cần")</f>
        <v>Thị trấn Tiểu Cần</v>
      </c>
    </row>
    <row r="9554" spans="1:7" x14ac:dyDescent="0.25">
      <c r="A9554" s="2">
        <v>9553</v>
      </c>
      <c r="B9554" s="3" t="s">
        <v>56</v>
      </c>
      <c r="C9554" s="4" t="str">
        <f t="shared" si="850"/>
        <v>Trà Vinh</v>
      </c>
      <c r="D9554" s="3" t="s">
        <v>670</v>
      </c>
      <c r="E9554" s="4" t="str">
        <f t="shared" si="851"/>
        <v>Huyện Tiểu Cần</v>
      </c>
      <c r="F9554" s="3" t="s">
        <v>10313</v>
      </c>
      <c r="G9554" s="4" t="str">
        <f>HYPERLINK("https://diaocthongthai.com/thi-tran-cau-quan-tieu-can/","Thị trấn Cầu Quan")</f>
        <v>Thị trấn Cầu Quan</v>
      </c>
    </row>
    <row r="9555" spans="1:7" x14ac:dyDescent="0.25">
      <c r="A9555" s="2">
        <v>9554</v>
      </c>
      <c r="B9555" s="3" t="s">
        <v>56</v>
      </c>
      <c r="C9555" s="4" t="str">
        <f t="shared" si="850"/>
        <v>Trà Vinh</v>
      </c>
      <c r="D9555" s="3" t="s">
        <v>670</v>
      </c>
      <c r="E9555" s="4" t="str">
        <f t="shared" si="851"/>
        <v>Huyện Tiểu Cần</v>
      </c>
      <c r="F9555" s="3" t="s">
        <v>10314</v>
      </c>
      <c r="G9555" s="4" t="str">
        <f>HYPERLINK("https://diaocthongthai.com/xa-phu-can-tieu-can/","Xã Phú Cần")</f>
        <v>Xã Phú Cần</v>
      </c>
    </row>
    <row r="9556" spans="1:7" x14ac:dyDescent="0.25">
      <c r="A9556" s="2">
        <v>9555</v>
      </c>
      <c r="B9556" s="3" t="s">
        <v>56</v>
      </c>
      <c r="C9556" s="4" t="str">
        <f t="shared" si="850"/>
        <v>Trà Vinh</v>
      </c>
      <c r="D9556" s="3" t="s">
        <v>670</v>
      </c>
      <c r="E9556" s="4" t="str">
        <f t="shared" si="851"/>
        <v>Huyện Tiểu Cần</v>
      </c>
      <c r="F9556" s="3" t="s">
        <v>10315</v>
      </c>
      <c r="G9556" s="4" t="str">
        <f>HYPERLINK("https://diaocthongthai.com/xa-hieu-tu-tieu-can/","Xã Hiếu Tử")</f>
        <v>Xã Hiếu Tử</v>
      </c>
    </row>
    <row r="9557" spans="1:7" x14ac:dyDescent="0.25">
      <c r="A9557" s="2">
        <v>9556</v>
      </c>
      <c r="B9557" s="3" t="s">
        <v>56</v>
      </c>
      <c r="C9557" s="4" t="str">
        <f t="shared" si="850"/>
        <v>Trà Vinh</v>
      </c>
      <c r="D9557" s="3" t="s">
        <v>670</v>
      </c>
      <c r="E9557" s="4" t="str">
        <f t="shared" si="851"/>
        <v>Huyện Tiểu Cần</v>
      </c>
      <c r="F9557" s="3" t="s">
        <v>10316</v>
      </c>
      <c r="G9557" s="4" t="str">
        <f>HYPERLINK("https://diaocthongthai.com/xa-hieu-trung-tieu-can/","Xã Hiếu Trung")</f>
        <v>Xã Hiếu Trung</v>
      </c>
    </row>
    <row r="9558" spans="1:7" x14ac:dyDescent="0.25">
      <c r="A9558" s="2">
        <v>9557</v>
      </c>
      <c r="B9558" s="3" t="s">
        <v>56</v>
      </c>
      <c r="C9558" s="4" t="str">
        <f t="shared" si="850"/>
        <v>Trà Vinh</v>
      </c>
      <c r="D9558" s="3" t="s">
        <v>670</v>
      </c>
      <c r="E9558" s="4" t="str">
        <f t="shared" si="851"/>
        <v>Huyện Tiểu Cần</v>
      </c>
      <c r="F9558" s="3" t="s">
        <v>10317</v>
      </c>
      <c r="G9558" s="4" t="str">
        <f>HYPERLINK("https://diaocthongthai.com/xa-long-thoi-tieu-can/","Xã Long Thới")</f>
        <v>Xã Long Thới</v>
      </c>
    </row>
    <row r="9559" spans="1:7" x14ac:dyDescent="0.25">
      <c r="A9559" s="2">
        <v>9558</v>
      </c>
      <c r="B9559" s="3" t="s">
        <v>56</v>
      </c>
      <c r="C9559" s="4" t="str">
        <f t="shared" si="850"/>
        <v>Trà Vinh</v>
      </c>
      <c r="D9559" s="3" t="s">
        <v>670</v>
      </c>
      <c r="E9559" s="4" t="str">
        <f t="shared" si="851"/>
        <v>Huyện Tiểu Cần</v>
      </c>
      <c r="F9559" s="3" t="s">
        <v>10318</v>
      </c>
      <c r="G9559" s="4" t="str">
        <f>HYPERLINK("https://diaocthongthai.com/xa-hung-hoa-tieu-can/","Xã Hùng Hòa")</f>
        <v>Xã Hùng Hòa</v>
      </c>
    </row>
    <row r="9560" spans="1:7" x14ac:dyDescent="0.25">
      <c r="A9560" s="2">
        <v>9559</v>
      </c>
      <c r="B9560" s="3" t="s">
        <v>56</v>
      </c>
      <c r="C9560" s="4" t="str">
        <f t="shared" si="850"/>
        <v>Trà Vinh</v>
      </c>
      <c r="D9560" s="3" t="s">
        <v>670</v>
      </c>
      <c r="E9560" s="4" t="str">
        <f t="shared" si="851"/>
        <v>Huyện Tiểu Cần</v>
      </c>
      <c r="F9560" s="3" t="s">
        <v>10319</v>
      </c>
      <c r="G9560" s="4" t="str">
        <f>HYPERLINK("https://diaocthongthai.com/xa-tan-hung-tieu-can/","Xã Tân Hùng")</f>
        <v>Xã Tân Hùng</v>
      </c>
    </row>
    <row r="9561" spans="1:7" x14ac:dyDescent="0.25">
      <c r="A9561" s="2">
        <v>9560</v>
      </c>
      <c r="B9561" s="3" t="s">
        <v>56</v>
      </c>
      <c r="C9561" s="4" t="str">
        <f t="shared" si="850"/>
        <v>Trà Vinh</v>
      </c>
      <c r="D9561" s="3" t="s">
        <v>670</v>
      </c>
      <c r="E9561" s="4" t="str">
        <f t="shared" si="851"/>
        <v>Huyện Tiểu Cần</v>
      </c>
      <c r="F9561" s="3" t="s">
        <v>10320</v>
      </c>
      <c r="G9561" s="4" t="str">
        <f>HYPERLINK("https://diaocthongthai.com/xa-tap-ngai-tieu-can/","Xã Tập Ngãi")</f>
        <v>Xã Tập Ngãi</v>
      </c>
    </row>
    <row r="9562" spans="1:7" x14ac:dyDescent="0.25">
      <c r="A9562" s="2">
        <v>9561</v>
      </c>
      <c r="B9562" s="3" t="s">
        <v>56</v>
      </c>
      <c r="C9562" s="4" t="str">
        <f t="shared" si="850"/>
        <v>Trà Vinh</v>
      </c>
      <c r="D9562" s="3" t="s">
        <v>670</v>
      </c>
      <c r="E9562" s="4" t="str">
        <f t="shared" si="851"/>
        <v>Huyện Tiểu Cần</v>
      </c>
      <c r="F9562" s="3" t="s">
        <v>10321</v>
      </c>
      <c r="G9562" s="4" t="str">
        <f>HYPERLINK("https://diaocthongthai.com/xa-ngai-hung-tieu-can/","Xã Ngãi Hùng")</f>
        <v>Xã Ngãi Hùng</v>
      </c>
    </row>
    <row r="9563" spans="1:7" x14ac:dyDescent="0.25">
      <c r="A9563" s="2">
        <v>9562</v>
      </c>
      <c r="B9563" s="3" t="s">
        <v>56</v>
      </c>
      <c r="C9563" s="4" t="str">
        <f t="shared" si="850"/>
        <v>Trà Vinh</v>
      </c>
      <c r="D9563" s="3" t="s">
        <v>670</v>
      </c>
      <c r="E9563" s="4" t="str">
        <f t="shared" si="851"/>
        <v>Huyện Tiểu Cần</v>
      </c>
      <c r="F9563" s="3" t="s">
        <v>10322</v>
      </c>
      <c r="G9563" s="4" t="str">
        <f>HYPERLINK("https://diaocthongthai.com/xa-tan-hoa-tieu-can/","Xã Tân Hòa")</f>
        <v>Xã Tân Hòa</v>
      </c>
    </row>
    <row r="9564" spans="1:7" x14ac:dyDescent="0.25">
      <c r="A9564" s="2">
        <v>9563</v>
      </c>
      <c r="B9564" s="3" t="s">
        <v>56</v>
      </c>
      <c r="C9564" s="4" t="str">
        <f t="shared" si="850"/>
        <v>Trà Vinh</v>
      </c>
      <c r="D9564" s="3" t="s">
        <v>671</v>
      </c>
      <c r="E9564" s="4" t="str">
        <f t="shared" ref="E9564:E9577" si="852">HYPERLINK("https://diaocthongthai.com/ban-do-huyen-chau-thanh-tra-vinh/","Huyện Châu Thành")</f>
        <v>Huyện Châu Thành</v>
      </c>
      <c r="F9564" s="3" t="s">
        <v>10323</v>
      </c>
      <c r="G9564" s="4" t="str">
        <f>HYPERLINK("https://diaocthongthai.com/thi-tran-chau-thanh-chau-thanh-tra-vinh/","Thị trấn Châu Thành")</f>
        <v>Thị trấn Châu Thành</v>
      </c>
    </row>
    <row r="9565" spans="1:7" x14ac:dyDescent="0.25">
      <c r="A9565" s="2">
        <v>9564</v>
      </c>
      <c r="B9565" s="3" t="s">
        <v>56</v>
      </c>
      <c r="C9565" s="4" t="str">
        <f t="shared" si="850"/>
        <v>Trà Vinh</v>
      </c>
      <c r="D9565" s="3" t="s">
        <v>671</v>
      </c>
      <c r="E9565" s="4" t="str">
        <f t="shared" si="852"/>
        <v>Huyện Châu Thành</v>
      </c>
      <c r="F9565" s="3" t="s">
        <v>10324</v>
      </c>
      <c r="G9565" s="4" t="str">
        <f>HYPERLINK("https://diaocthongthai.com/xa-da-loc-chau-thanh-tra-vinh/","Xã Đa Lộc")</f>
        <v>Xã Đa Lộc</v>
      </c>
    </row>
    <row r="9566" spans="1:7" x14ac:dyDescent="0.25">
      <c r="A9566" s="2">
        <v>9565</v>
      </c>
      <c r="B9566" s="3" t="s">
        <v>56</v>
      </c>
      <c r="C9566" s="4" t="str">
        <f t="shared" si="850"/>
        <v>Trà Vinh</v>
      </c>
      <c r="D9566" s="3" t="s">
        <v>671</v>
      </c>
      <c r="E9566" s="4" t="str">
        <f t="shared" si="852"/>
        <v>Huyện Châu Thành</v>
      </c>
      <c r="F9566" s="3" t="s">
        <v>10325</v>
      </c>
      <c r="G9566" s="4" t="str">
        <f>HYPERLINK("https://diaocthongthai.com/xa-my-chanh-chau-thanh-tra-vinh/","Xã Mỹ Chánh")</f>
        <v>Xã Mỹ Chánh</v>
      </c>
    </row>
    <row r="9567" spans="1:7" x14ac:dyDescent="0.25">
      <c r="A9567" s="2">
        <v>9566</v>
      </c>
      <c r="B9567" s="3" t="s">
        <v>56</v>
      </c>
      <c r="C9567" s="4" t="str">
        <f t="shared" si="850"/>
        <v>Trà Vinh</v>
      </c>
      <c r="D9567" s="3" t="s">
        <v>671</v>
      </c>
      <c r="E9567" s="4" t="str">
        <f t="shared" si="852"/>
        <v>Huyện Châu Thành</v>
      </c>
      <c r="F9567" s="3" t="s">
        <v>10326</v>
      </c>
      <c r="G9567" s="4" t="str">
        <f>HYPERLINK("https://diaocthongthai.com/xa-thanh-my-chau-thanh-tra-vinh/","Xã Thanh Mỹ")</f>
        <v>Xã Thanh Mỹ</v>
      </c>
    </row>
    <row r="9568" spans="1:7" x14ac:dyDescent="0.25">
      <c r="A9568" s="2">
        <v>9567</v>
      </c>
      <c r="B9568" s="3" t="s">
        <v>56</v>
      </c>
      <c r="C9568" s="4" t="str">
        <f t="shared" si="850"/>
        <v>Trà Vinh</v>
      </c>
      <c r="D9568" s="3" t="s">
        <v>671</v>
      </c>
      <c r="E9568" s="4" t="str">
        <f t="shared" si="852"/>
        <v>Huyện Châu Thành</v>
      </c>
      <c r="F9568" s="3" t="s">
        <v>10327</v>
      </c>
      <c r="G9568" s="4" t="str">
        <f>HYPERLINK("https://diaocthongthai.com/xa-luong-hoa-a-chau-thanh-tra-vinh/","Xã Lương Hoà A")</f>
        <v>Xã Lương Hoà A</v>
      </c>
    </row>
    <row r="9569" spans="1:7" x14ac:dyDescent="0.25">
      <c r="A9569" s="2">
        <v>9568</v>
      </c>
      <c r="B9569" s="3" t="s">
        <v>56</v>
      </c>
      <c r="C9569" s="4" t="str">
        <f t="shared" si="850"/>
        <v>Trà Vinh</v>
      </c>
      <c r="D9569" s="3" t="s">
        <v>671</v>
      </c>
      <c r="E9569" s="4" t="str">
        <f t="shared" si="852"/>
        <v>Huyện Châu Thành</v>
      </c>
      <c r="F9569" s="3" t="s">
        <v>10328</v>
      </c>
      <c r="G9569" s="4" t="str">
        <f>HYPERLINK("https://diaocthongthai.com/xa-luong-hoa-chau-thanh-tra-vinh/","Xã Lương Hòa")</f>
        <v>Xã Lương Hòa</v>
      </c>
    </row>
    <row r="9570" spans="1:7" x14ac:dyDescent="0.25">
      <c r="A9570" s="2">
        <v>9569</v>
      </c>
      <c r="B9570" s="3" t="s">
        <v>56</v>
      </c>
      <c r="C9570" s="4" t="str">
        <f t="shared" si="850"/>
        <v>Trà Vinh</v>
      </c>
      <c r="D9570" s="3" t="s">
        <v>671</v>
      </c>
      <c r="E9570" s="4" t="str">
        <f t="shared" si="852"/>
        <v>Huyện Châu Thành</v>
      </c>
      <c r="F9570" s="3" t="s">
        <v>10329</v>
      </c>
      <c r="G9570" s="4" t="str">
        <f>HYPERLINK("https://diaocthongthai.com/xa-song-loc-chau-thanh-tra-vinh/","Xã Song Lộc")</f>
        <v>Xã Song Lộc</v>
      </c>
    </row>
    <row r="9571" spans="1:7" x14ac:dyDescent="0.25">
      <c r="A9571" s="2">
        <v>9570</v>
      </c>
      <c r="B9571" s="3" t="s">
        <v>56</v>
      </c>
      <c r="C9571" s="4" t="str">
        <f t="shared" si="850"/>
        <v>Trà Vinh</v>
      </c>
      <c r="D9571" s="3" t="s">
        <v>671</v>
      </c>
      <c r="E9571" s="4" t="str">
        <f t="shared" si="852"/>
        <v>Huyện Châu Thành</v>
      </c>
      <c r="F9571" s="3" t="s">
        <v>10330</v>
      </c>
      <c r="G9571" s="4" t="str">
        <f>HYPERLINK("https://diaocthongthai.com/xa-nguyet-hoa-chau-thanh-tra-vinh/","Xã Nguyệt Hóa")</f>
        <v>Xã Nguyệt Hóa</v>
      </c>
    </row>
    <row r="9572" spans="1:7" x14ac:dyDescent="0.25">
      <c r="A9572" s="2">
        <v>9571</v>
      </c>
      <c r="B9572" s="3" t="s">
        <v>56</v>
      </c>
      <c r="C9572" s="4" t="str">
        <f t="shared" si="850"/>
        <v>Trà Vinh</v>
      </c>
      <c r="D9572" s="3" t="s">
        <v>671</v>
      </c>
      <c r="E9572" s="4" t="str">
        <f t="shared" si="852"/>
        <v>Huyện Châu Thành</v>
      </c>
      <c r="F9572" s="3" t="s">
        <v>10331</v>
      </c>
      <c r="G9572" s="4" t="str">
        <f>HYPERLINK("https://diaocthongthai.com/xa-hoa-thuan-chau-thanh-tra-vinh/","Xã Hòa Thuận")</f>
        <v>Xã Hòa Thuận</v>
      </c>
    </row>
    <row r="9573" spans="1:7" x14ac:dyDescent="0.25">
      <c r="A9573" s="2">
        <v>9572</v>
      </c>
      <c r="B9573" s="3" t="s">
        <v>56</v>
      </c>
      <c r="C9573" s="4" t="str">
        <f t="shared" si="850"/>
        <v>Trà Vinh</v>
      </c>
      <c r="D9573" s="3" t="s">
        <v>671</v>
      </c>
      <c r="E9573" s="4" t="str">
        <f t="shared" si="852"/>
        <v>Huyện Châu Thành</v>
      </c>
      <c r="F9573" s="3" t="s">
        <v>10332</v>
      </c>
      <c r="G9573" s="4" t="str">
        <f>HYPERLINK("https://diaocthongthai.com/xa-hoa-loi-chau-thanh-tra-vinh/","Xã Hòa Lợi")</f>
        <v>Xã Hòa Lợi</v>
      </c>
    </row>
    <row r="9574" spans="1:7" x14ac:dyDescent="0.25">
      <c r="A9574" s="2">
        <v>9573</v>
      </c>
      <c r="B9574" s="3" t="s">
        <v>56</v>
      </c>
      <c r="C9574" s="4" t="str">
        <f t="shared" si="850"/>
        <v>Trà Vinh</v>
      </c>
      <c r="D9574" s="3" t="s">
        <v>671</v>
      </c>
      <c r="E9574" s="4" t="str">
        <f t="shared" si="852"/>
        <v>Huyện Châu Thành</v>
      </c>
      <c r="F9574" s="3" t="s">
        <v>10333</v>
      </c>
      <c r="G9574" s="4" t="str">
        <f>HYPERLINK("https://diaocthongthai.com/xa-phuoc-hao-chau-thanh-tra-vinh/","Xã Phước Hảo")</f>
        <v>Xã Phước Hảo</v>
      </c>
    </row>
    <row r="9575" spans="1:7" x14ac:dyDescent="0.25">
      <c r="A9575" s="2">
        <v>9574</v>
      </c>
      <c r="B9575" s="3" t="s">
        <v>56</v>
      </c>
      <c r="C9575" s="4" t="str">
        <f t="shared" si="850"/>
        <v>Trà Vinh</v>
      </c>
      <c r="D9575" s="3" t="s">
        <v>671</v>
      </c>
      <c r="E9575" s="4" t="str">
        <f t="shared" si="852"/>
        <v>Huyện Châu Thành</v>
      </c>
      <c r="F9575" s="3" t="s">
        <v>10334</v>
      </c>
      <c r="G9575" s="4" t="str">
        <f>HYPERLINK("https://diaocthongthai.com/xa-hung-my-chau-thanh-tra-vinh/","Xã Hưng Mỹ")</f>
        <v>Xã Hưng Mỹ</v>
      </c>
    </row>
    <row r="9576" spans="1:7" x14ac:dyDescent="0.25">
      <c r="A9576" s="2">
        <v>9575</v>
      </c>
      <c r="B9576" s="3" t="s">
        <v>56</v>
      </c>
      <c r="C9576" s="4" t="str">
        <f t="shared" si="850"/>
        <v>Trà Vinh</v>
      </c>
      <c r="D9576" s="3" t="s">
        <v>671</v>
      </c>
      <c r="E9576" s="4" t="str">
        <f t="shared" si="852"/>
        <v>Huyện Châu Thành</v>
      </c>
      <c r="F9576" s="3" t="s">
        <v>10335</v>
      </c>
      <c r="G9576" s="4" t="str">
        <f>HYPERLINK("https://diaocthongthai.com/xa-hoa-minh-chau-thanh-tra-vinh/","Xã Hòa Minh")</f>
        <v>Xã Hòa Minh</v>
      </c>
    </row>
    <row r="9577" spans="1:7" x14ac:dyDescent="0.25">
      <c r="A9577" s="2">
        <v>9576</v>
      </c>
      <c r="B9577" s="3" t="s">
        <v>56</v>
      </c>
      <c r="C9577" s="4" t="str">
        <f t="shared" si="850"/>
        <v>Trà Vinh</v>
      </c>
      <c r="D9577" s="3" t="s">
        <v>671</v>
      </c>
      <c r="E9577" s="4" t="str">
        <f t="shared" si="852"/>
        <v>Huyện Châu Thành</v>
      </c>
      <c r="F9577" s="3" t="s">
        <v>10336</v>
      </c>
      <c r="G9577" s="4" t="str">
        <f>HYPERLINK("https://diaocthongthai.com/xa-long-hoa-chau-thanh-tra-vinh/","Xã Long Hòa")</f>
        <v>Xã Long Hòa</v>
      </c>
    </row>
    <row r="9578" spans="1:7" x14ac:dyDescent="0.25">
      <c r="A9578" s="2">
        <v>9577</v>
      </c>
      <c r="B9578" s="3" t="s">
        <v>56</v>
      </c>
      <c r="C9578" s="4" t="str">
        <f t="shared" si="850"/>
        <v>Trà Vinh</v>
      </c>
      <c r="D9578" s="3" t="s">
        <v>672</v>
      </c>
      <c r="E9578" s="4" t="str">
        <f t="shared" ref="E9578:E9592" si="853">HYPERLINK("https://diaocthongthai.com/ban-do-huyen-cau-ngang-tra-vinh/","Huyện Cầu Ngang")</f>
        <v>Huyện Cầu Ngang</v>
      </c>
      <c r="F9578" s="3" t="s">
        <v>10337</v>
      </c>
      <c r="G9578" s="4" t="str">
        <f>HYPERLINK("https://diaocthongthai.com/thi-tran-cau-ngang-cau-ngang/","Thị trấn Cầu Ngang")</f>
        <v>Thị trấn Cầu Ngang</v>
      </c>
    </row>
    <row r="9579" spans="1:7" x14ac:dyDescent="0.25">
      <c r="A9579" s="2">
        <v>9578</v>
      </c>
      <c r="B9579" s="3" t="s">
        <v>56</v>
      </c>
      <c r="C9579" s="4" t="str">
        <f t="shared" si="850"/>
        <v>Trà Vinh</v>
      </c>
      <c r="D9579" s="3" t="s">
        <v>672</v>
      </c>
      <c r="E9579" s="4" t="str">
        <f t="shared" si="853"/>
        <v>Huyện Cầu Ngang</v>
      </c>
      <c r="F9579" s="3" t="s">
        <v>10338</v>
      </c>
      <c r="G9579" s="4" t="str">
        <f>HYPERLINK("https://diaocthongthai.com/thi-tran-my-long-cau-ngang/","Thị trấn Mỹ Long")</f>
        <v>Thị trấn Mỹ Long</v>
      </c>
    </row>
    <row r="9580" spans="1:7" x14ac:dyDescent="0.25">
      <c r="A9580" s="2">
        <v>9579</v>
      </c>
      <c r="B9580" s="3" t="s">
        <v>56</v>
      </c>
      <c r="C9580" s="4" t="str">
        <f t="shared" si="850"/>
        <v>Trà Vinh</v>
      </c>
      <c r="D9580" s="3" t="s">
        <v>672</v>
      </c>
      <c r="E9580" s="4" t="str">
        <f t="shared" si="853"/>
        <v>Huyện Cầu Ngang</v>
      </c>
      <c r="F9580" s="3" t="s">
        <v>10339</v>
      </c>
      <c r="G9580" s="4" t="str">
        <f>HYPERLINK("https://diaocthongthai.com/xa-my-long-bac-cau-ngang/","Xã Mỹ Long Bắc")</f>
        <v>Xã Mỹ Long Bắc</v>
      </c>
    </row>
    <row r="9581" spans="1:7" x14ac:dyDescent="0.25">
      <c r="A9581" s="2">
        <v>9580</v>
      </c>
      <c r="B9581" s="3" t="s">
        <v>56</v>
      </c>
      <c r="C9581" s="4" t="str">
        <f t="shared" si="850"/>
        <v>Trà Vinh</v>
      </c>
      <c r="D9581" s="3" t="s">
        <v>672</v>
      </c>
      <c r="E9581" s="4" t="str">
        <f t="shared" si="853"/>
        <v>Huyện Cầu Ngang</v>
      </c>
      <c r="F9581" s="3" t="s">
        <v>10340</v>
      </c>
      <c r="G9581" s="4" t="str">
        <f>HYPERLINK("https://diaocthongthai.com/xa-my-long-nam-cau-ngang/","Xã Mỹ Long Nam")</f>
        <v>Xã Mỹ Long Nam</v>
      </c>
    </row>
    <row r="9582" spans="1:7" x14ac:dyDescent="0.25">
      <c r="A9582" s="2">
        <v>9581</v>
      </c>
      <c r="B9582" s="3" t="s">
        <v>56</v>
      </c>
      <c r="C9582" s="4" t="str">
        <f t="shared" ref="C9582:C9613" si="854">HYPERLINK("https://diaocthongthai.com/ban-do-tra-vinh/","Trà Vinh")</f>
        <v>Trà Vinh</v>
      </c>
      <c r="D9582" s="3" t="s">
        <v>672</v>
      </c>
      <c r="E9582" s="4" t="str">
        <f t="shared" si="853"/>
        <v>Huyện Cầu Ngang</v>
      </c>
      <c r="F9582" s="3" t="s">
        <v>10341</v>
      </c>
      <c r="G9582" s="4" t="str">
        <f>HYPERLINK("https://diaocthongthai.com/xa-my-hoa-cau-ngang/","Xã Mỹ Hòa")</f>
        <v>Xã Mỹ Hòa</v>
      </c>
    </row>
    <row r="9583" spans="1:7" x14ac:dyDescent="0.25">
      <c r="A9583" s="2">
        <v>9582</v>
      </c>
      <c r="B9583" s="3" t="s">
        <v>56</v>
      </c>
      <c r="C9583" s="4" t="str">
        <f t="shared" si="854"/>
        <v>Trà Vinh</v>
      </c>
      <c r="D9583" s="3" t="s">
        <v>672</v>
      </c>
      <c r="E9583" s="4" t="str">
        <f t="shared" si="853"/>
        <v>Huyện Cầu Ngang</v>
      </c>
      <c r="F9583" s="3" t="s">
        <v>10342</v>
      </c>
      <c r="G9583" s="4" t="str">
        <f>HYPERLINK("https://diaocthongthai.com/xa-vinh-kim-cau-ngang/","Xã Vĩnh Kim")</f>
        <v>Xã Vĩnh Kim</v>
      </c>
    </row>
    <row r="9584" spans="1:7" x14ac:dyDescent="0.25">
      <c r="A9584" s="2">
        <v>9583</v>
      </c>
      <c r="B9584" s="3" t="s">
        <v>56</v>
      </c>
      <c r="C9584" s="4" t="str">
        <f t="shared" si="854"/>
        <v>Trà Vinh</v>
      </c>
      <c r="D9584" s="3" t="s">
        <v>672</v>
      </c>
      <c r="E9584" s="4" t="str">
        <f t="shared" si="853"/>
        <v>Huyện Cầu Ngang</v>
      </c>
      <c r="F9584" s="3" t="s">
        <v>10343</v>
      </c>
      <c r="G9584" s="4" t="str">
        <f>HYPERLINK("https://diaocthongthai.com/xa-kim-hoa-cau-ngang/","Xã Kim Hòa")</f>
        <v>Xã Kim Hòa</v>
      </c>
    </row>
    <row r="9585" spans="1:7" x14ac:dyDescent="0.25">
      <c r="A9585" s="2">
        <v>9584</v>
      </c>
      <c r="B9585" s="3" t="s">
        <v>56</v>
      </c>
      <c r="C9585" s="4" t="str">
        <f t="shared" si="854"/>
        <v>Trà Vinh</v>
      </c>
      <c r="D9585" s="3" t="s">
        <v>672</v>
      </c>
      <c r="E9585" s="4" t="str">
        <f t="shared" si="853"/>
        <v>Huyện Cầu Ngang</v>
      </c>
      <c r="F9585" s="3" t="s">
        <v>10344</v>
      </c>
      <c r="G9585" s="4" t="str">
        <f>HYPERLINK("https://diaocthongthai.com/xa-hiep-hoa-cau-ngang/","Xã Hiệp Hòa")</f>
        <v>Xã Hiệp Hòa</v>
      </c>
    </row>
    <row r="9586" spans="1:7" x14ac:dyDescent="0.25">
      <c r="A9586" s="2">
        <v>9585</v>
      </c>
      <c r="B9586" s="3" t="s">
        <v>56</v>
      </c>
      <c r="C9586" s="4" t="str">
        <f t="shared" si="854"/>
        <v>Trà Vinh</v>
      </c>
      <c r="D9586" s="3" t="s">
        <v>672</v>
      </c>
      <c r="E9586" s="4" t="str">
        <f t="shared" si="853"/>
        <v>Huyện Cầu Ngang</v>
      </c>
      <c r="F9586" s="3" t="s">
        <v>10345</v>
      </c>
      <c r="G9586" s="4" t="str">
        <f>HYPERLINK("https://diaocthongthai.com/xa-thuan-hoa-cau-ngang/","Xã Thuận Hòa")</f>
        <v>Xã Thuận Hòa</v>
      </c>
    </row>
    <row r="9587" spans="1:7" x14ac:dyDescent="0.25">
      <c r="A9587" s="2">
        <v>9586</v>
      </c>
      <c r="B9587" s="3" t="s">
        <v>56</v>
      </c>
      <c r="C9587" s="4" t="str">
        <f t="shared" si="854"/>
        <v>Trà Vinh</v>
      </c>
      <c r="D9587" s="3" t="s">
        <v>672</v>
      </c>
      <c r="E9587" s="4" t="str">
        <f t="shared" si="853"/>
        <v>Huyện Cầu Ngang</v>
      </c>
      <c r="F9587" s="3" t="s">
        <v>10346</v>
      </c>
      <c r="G9587" s="4" t="str">
        <f>HYPERLINK("https://diaocthongthai.com/xa-long-son-cau-ngang/","Xã Long Sơn")</f>
        <v>Xã Long Sơn</v>
      </c>
    </row>
    <row r="9588" spans="1:7" x14ac:dyDescent="0.25">
      <c r="A9588" s="2">
        <v>9587</v>
      </c>
      <c r="B9588" s="3" t="s">
        <v>56</v>
      </c>
      <c r="C9588" s="4" t="str">
        <f t="shared" si="854"/>
        <v>Trà Vinh</v>
      </c>
      <c r="D9588" s="3" t="s">
        <v>672</v>
      </c>
      <c r="E9588" s="4" t="str">
        <f t="shared" si="853"/>
        <v>Huyện Cầu Ngang</v>
      </c>
      <c r="F9588" s="3" t="s">
        <v>10347</v>
      </c>
      <c r="G9588" s="4" t="str">
        <f>HYPERLINK("https://diaocthongthai.com/xa-nhi-truong-cau-ngang/","Xã Nhị Trường")</f>
        <v>Xã Nhị Trường</v>
      </c>
    </row>
    <row r="9589" spans="1:7" x14ac:dyDescent="0.25">
      <c r="A9589" s="2">
        <v>9588</v>
      </c>
      <c r="B9589" s="3" t="s">
        <v>56</v>
      </c>
      <c r="C9589" s="4" t="str">
        <f t="shared" si="854"/>
        <v>Trà Vinh</v>
      </c>
      <c r="D9589" s="3" t="s">
        <v>672</v>
      </c>
      <c r="E9589" s="4" t="str">
        <f t="shared" si="853"/>
        <v>Huyện Cầu Ngang</v>
      </c>
      <c r="F9589" s="3" t="s">
        <v>10348</v>
      </c>
      <c r="G9589" s="4" t="str">
        <f>HYPERLINK("https://diaocthongthai.com/xa-truong-tho-cau-ngang/","Xã Trường Thọ")</f>
        <v>Xã Trường Thọ</v>
      </c>
    </row>
    <row r="9590" spans="1:7" x14ac:dyDescent="0.25">
      <c r="A9590" s="2">
        <v>9589</v>
      </c>
      <c r="B9590" s="3" t="s">
        <v>56</v>
      </c>
      <c r="C9590" s="4" t="str">
        <f t="shared" si="854"/>
        <v>Trà Vinh</v>
      </c>
      <c r="D9590" s="3" t="s">
        <v>672</v>
      </c>
      <c r="E9590" s="4" t="str">
        <f t="shared" si="853"/>
        <v>Huyện Cầu Ngang</v>
      </c>
      <c r="F9590" s="3" t="s">
        <v>10349</v>
      </c>
      <c r="G9590" s="4" t="str">
        <f>HYPERLINK("https://diaocthongthai.com/xa-hiep-my-dong-cau-ngang/","Xã Hiệp Mỹ Đông")</f>
        <v>Xã Hiệp Mỹ Đông</v>
      </c>
    </row>
    <row r="9591" spans="1:7" x14ac:dyDescent="0.25">
      <c r="A9591" s="2">
        <v>9590</v>
      </c>
      <c r="B9591" s="3" t="s">
        <v>56</v>
      </c>
      <c r="C9591" s="4" t="str">
        <f t="shared" si="854"/>
        <v>Trà Vinh</v>
      </c>
      <c r="D9591" s="3" t="s">
        <v>672</v>
      </c>
      <c r="E9591" s="4" t="str">
        <f t="shared" si="853"/>
        <v>Huyện Cầu Ngang</v>
      </c>
      <c r="F9591" s="3" t="s">
        <v>10350</v>
      </c>
      <c r="G9591" s="4" t="str">
        <f>HYPERLINK("https://diaocthongthai.com/xa-hiep-my-tay-cau-ngang/","Xã Hiệp Mỹ Tây")</f>
        <v>Xã Hiệp Mỹ Tây</v>
      </c>
    </row>
    <row r="9592" spans="1:7" x14ac:dyDescent="0.25">
      <c r="A9592" s="2">
        <v>9591</v>
      </c>
      <c r="B9592" s="3" t="s">
        <v>56</v>
      </c>
      <c r="C9592" s="4" t="str">
        <f t="shared" si="854"/>
        <v>Trà Vinh</v>
      </c>
      <c r="D9592" s="3" t="s">
        <v>672</v>
      </c>
      <c r="E9592" s="4" t="str">
        <f t="shared" si="853"/>
        <v>Huyện Cầu Ngang</v>
      </c>
      <c r="F9592" s="3" t="s">
        <v>10351</v>
      </c>
      <c r="G9592" s="4" t="str">
        <f>HYPERLINK("https://diaocthongthai.com/xa-thanh-hoa-son-cau-ngang/","Xã Thạnh Hòa Sơn")</f>
        <v>Xã Thạnh Hòa Sơn</v>
      </c>
    </row>
    <row r="9593" spans="1:7" x14ac:dyDescent="0.25">
      <c r="A9593" s="2">
        <v>9592</v>
      </c>
      <c r="B9593" s="3" t="s">
        <v>56</v>
      </c>
      <c r="C9593" s="4" t="str">
        <f t="shared" si="854"/>
        <v>Trà Vinh</v>
      </c>
      <c r="D9593" s="3" t="s">
        <v>673</v>
      </c>
      <c r="E9593" s="4" t="str">
        <f t="shared" ref="E9593:E9609" si="855">HYPERLINK("https://diaocthongthai.com/ban-do-huyen-tra-cu-tra-vinh/","Huyện Trà Cú")</f>
        <v>Huyện Trà Cú</v>
      </c>
      <c r="F9593" s="3" t="s">
        <v>10352</v>
      </c>
      <c r="G9593" s="4" t="str">
        <f>HYPERLINK("https://diaocthongthai.com/thi-tran-tra-cu-tra-cu/","Thị trấn Trà Cú")</f>
        <v>Thị trấn Trà Cú</v>
      </c>
    </row>
    <row r="9594" spans="1:7" x14ac:dyDescent="0.25">
      <c r="A9594" s="2">
        <v>9593</v>
      </c>
      <c r="B9594" s="3" t="s">
        <v>56</v>
      </c>
      <c r="C9594" s="4" t="str">
        <f t="shared" si="854"/>
        <v>Trà Vinh</v>
      </c>
      <c r="D9594" s="3" t="s">
        <v>673</v>
      </c>
      <c r="E9594" s="4" t="str">
        <f t="shared" si="855"/>
        <v>Huyện Trà Cú</v>
      </c>
      <c r="F9594" s="3" t="s">
        <v>10353</v>
      </c>
      <c r="G9594" s="4" t="str">
        <f>HYPERLINK("https://diaocthongthai.com/thi-tran-dinh-an-tra-cu/","Thị trấn Định An")</f>
        <v>Thị trấn Định An</v>
      </c>
    </row>
    <row r="9595" spans="1:7" x14ac:dyDescent="0.25">
      <c r="A9595" s="2">
        <v>9594</v>
      </c>
      <c r="B9595" s="3" t="s">
        <v>56</v>
      </c>
      <c r="C9595" s="4" t="str">
        <f t="shared" si="854"/>
        <v>Trà Vinh</v>
      </c>
      <c r="D9595" s="3" t="s">
        <v>673</v>
      </c>
      <c r="E9595" s="4" t="str">
        <f t="shared" si="855"/>
        <v>Huyện Trà Cú</v>
      </c>
      <c r="F9595" s="3" t="s">
        <v>10354</v>
      </c>
      <c r="G9595" s="4" t="str">
        <f>HYPERLINK("https://diaocthongthai.com/xa-phuoc-hung-tra-cu/","Xã Phước Hưng")</f>
        <v>Xã Phước Hưng</v>
      </c>
    </row>
    <row r="9596" spans="1:7" x14ac:dyDescent="0.25">
      <c r="A9596" s="2">
        <v>9595</v>
      </c>
      <c r="B9596" s="3" t="s">
        <v>56</v>
      </c>
      <c r="C9596" s="4" t="str">
        <f t="shared" si="854"/>
        <v>Trà Vinh</v>
      </c>
      <c r="D9596" s="3" t="s">
        <v>673</v>
      </c>
      <c r="E9596" s="4" t="str">
        <f t="shared" si="855"/>
        <v>Huyện Trà Cú</v>
      </c>
      <c r="F9596" s="3" t="s">
        <v>10355</v>
      </c>
      <c r="G9596" s="4" t="str">
        <f>HYPERLINK("https://diaocthongthai.com/xa-tap-son-tra-cu/","Xã Tập Sơn")</f>
        <v>Xã Tập Sơn</v>
      </c>
    </row>
    <row r="9597" spans="1:7" x14ac:dyDescent="0.25">
      <c r="A9597" s="2">
        <v>9596</v>
      </c>
      <c r="B9597" s="3" t="s">
        <v>56</v>
      </c>
      <c r="C9597" s="4" t="str">
        <f t="shared" si="854"/>
        <v>Trà Vinh</v>
      </c>
      <c r="D9597" s="3" t="s">
        <v>673</v>
      </c>
      <c r="E9597" s="4" t="str">
        <f t="shared" si="855"/>
        <v>Huyện Trà Cú</v>
      </c>
      <c r="F9597" s="3" t="s">
        <v>10356</v>
      </c>
      <c r="G9597" s="4" t="str">
        <f>HYPERLINK("https://diaocthongthai.com/xa-tan-son-tra-cu/","Xã Tân Sơn")</f>
        <v>Xã Tân Sơn</v>
      </c>
    </row>
    <row r="9598" spans="1:7" x14ac:dyDescent="0.25">
      <c r="A9598" s="2">
        <v>9597</v>
      </c>
      <c r="B9598" s="3" t="s">
        <v>56</v>
      </c>
      <c r="C9598" s="4" t="str">
        <f t="shared" si="854"/>
        <v>Trà Vinh</v>
      </c>
      <c r="D9598" s="3" t="s">
        <v>673</v>
      </c>
      <c r="E9598" s="4" t="str">
        <f t="shared" si="855"/>
        <v>Huyện Trà Cú</v>
      </c>
      <c r="F9598" s="3" t="s">
        <v>10357</v>
      </c>
      <c r="G9598" s="4" t="str">
        <f>HYPERLINK("https://diaocthongthai.com/xa-an-quang-huu-tra-cu/","Xã An Quảng Hữu")</f>
        <v>Xã An Quảng Hữu</v>
      </c>
    </row>
    <row r="9599" spans="1:7" x14ac:dyDescent="0.25">
      <c r="A9599" s="2">
        <v>9598</v>
      </c>
      <c r="B9599" s="3" t="s">
        <v>56</v>
      </c>
      <c r="C9599" s="4" t="str">
        <f t="shared" si="854"/>
        <v>Trà Vinh</v>
      </c>
      <c r="D9599" s="3" t="s">
        <v>673</v>
      </c>
      <c r="E9599" s="4" t="str">
        <f t="shared" si="855"/>
        <v>Huyện Trà Cú</v>
      </c>
      <c r="F9599" s="3" t="s">
        <v>10358</v>
      </c>
      <c r="G9599" s="4" t="str">
        <f>HYPERLINK("https://diaocthongthai.com/xa-luu-nghiep-anh-tra-cu/","Xã Lưu Nghiệp Anh")</f>
        <v>Xã Lưu Nghiệp Anh</v>
      </c>
    </row>
    <row r="9600" spans="1:7" x14ac:dyDescent="0.25">
      <c r="A9600" s="2">
        <v>9599</v>
      </c>
      <c r="B9600" s="3" t="s">
        <v>56</v>
      </c>
      <c r="C9600" s="4" t="str">
        <f t="shared" si="854"/>
        <v>Trà Vinh</v>
      </c>
      <c r="D9600" s="3" t="s">
        <v>673</v>
      </c>
      <c r="E9600" s="4" t="str">
        <f t="shared" si="855"/>
        <v>Huyện Trà Cú</v>
      </c>
      <c r="F9600" s="3" t="s">
        <v>10359</v>
      </c>
      <c r="G9600" s="4" t="str">
        <f>HYPERLINK("https://diaocthongthai.com/xa-ngai-xuyen-tra-cu/","Xã Ngãi Xuyên")</f>
        <v>Xã Ngãi Xuyên</v>
      </c>
    </row>
    <row r="9601" spans="1:7" x14ac:dyDescent="0.25">
      <c r="A9601" s="2">
        <v>9600</v>
      </c>
      <c r="B9601" s="3" t="s">
        <v>56</v>
      </c>
      <c r="C9601" s="4" t="str">
        <f t="shared" si="854"/>
        <v>Trà Vinh</v>
      </c>
      <c r="D9601" s="3" t="s">
        <v>673</v>
      </c>
      <c r="E9601" s="4" t="str">
        <f t="shared" si="855"/>
        <v>Huyện Trà Cú</v>
      </c>
      <c r="F9601" s="3" t="s">
        <v>10360</v>
      </c>
      <c r="G9601" s="4" t="str">
        <f>HYPERLINK("https://diaocthongthai.com/xa-kim-son-tra-cu/","Xã Kim Sơn")</f>
        <v>Xã Kim Sơn</v>
      </c>
    </row>
    <row r="9602" spans="1:7" x14ac:dyDescent="0.25">
      <c r="A9602" s="2">
        <v>9601</v>
      </c>
      <c r="B9602" s="3" t="s">
        <v>56</v>
      </c>
      <c r="C9602" s="4" t="str">
        <f t="shared" si="854"/>
        <v>Trà Vinh</v>
      </c>
      <c r="D9602" s="3" t="s">
        <v>673</v>
      </c>
      <c r="E9602" s="4" t="str">
        <f t="shared" si="855"/>
        <v>Huyện Trà Cú</v>
      </c>
      <c r="F9602" s="3" t="s">
        <v>10361</v>
      </c>
      <c r="G9602" s="4" t="str">
        <f>HYPERLINK("https://diaocthongthai.com/xa-thanh-son-tra-cu/","Xã Thanh Sơn")</f>
        <v>Xã Thanh Sơn</v>
      </c>
    </row>
    <row r="9603" spans="1:7" x14ac:dyDescent="0.25">
      <c r="A9603" s="2">
        <v>9602</v>
      </c>
      <c r="B9603" s="3" t="s">
        <v>56</v>
      </c>
      <c r="C9603" s="4" t="str">
        <f t="shared" si="854"/>
        <v>Trà Vinh</v>
      </c>
      <c r="D9603" s="3" t="s">
        <v>673</v>
      </c>
      <c r="E9603" s="4" t="str">
        <f t="shared" si="855"/>
        <v>Huyện Trà Cú</v>
      </c>
      <c r="F9603" s="3" t="s">
        <v>10362</v>
      </c>
      <c r="G9603" s="4" t="str">
        <f>HYPERLINK("https://diaocthongthai.com/xa-ham-giang-tra-cu/","Xã Hàm Giang")</f>
        <v>Xã Hàm Giang</v>
      </c>
    </row>
    <row r="9604" spans="1:7" x14ac:dyDescent="0.25">
      <c r="A9604" s="2">
        <v>9603</v>
      </c>
      <c r="B9604" s="3" t="s">
        <v>56</v>
      </c>
      <c r="C9604" s="4" t="str">
        <f t="shared" si="854"/>
        <v>Trà Vinh</v>
      </c>
      <c r="D9604" s="3" t="s">
        <v>673</v>
      </c>
      <c r="E9604" s="4" t="str">
        <f t="shared" si="855"/>
        <v>Huyện Trà Cú</v>
      </c>
      <c r="F9604" s="3" t="s">
        <v>10363</v>
      </c>
      <c r="G9604" s="4" t="str">
        <f>HYPERLINK("https://diaocthongthai.com/xa-ham-tan-tra-cu/","Xã Hàm Tân")</f>
        <v>Xã Hàm Tân</v>
      </c>
    </row>
    <row r="9605" spans="1:7" x14ac:dyDescent="0.25">
      <c r="A9605" s="2">
        <v>9604</v>
      </c>
      <c r="B9605" s="3" t="s">
        <v>56</v>
      </c>
      <c r="C9605" s="4" t="str">
        <f t="shared" si="854"/>
        <v>Trà Vinh</v>
      </c>
      <c r="D9605" s="3" t="s">
        <v>673</v>
      </c>
      <c r="E9605" s="4" t="str">
        <f t="shared" si="855"/>
        <v>Huyện Trà Cú</v>
      </c>
      <c r="F9605" s="3" t="s">
        <v>10364</v>
      </c>
      <c r="G9605" s="4" t="str">
        <f>HYPERLINK("https://diaocthongthai.com/xa-dai-an-tra-cu/","Xã Đại An")</f>
        <v>Xã Đại An</v>
      </c>
    </row>
    <row r="9606" spans="1:7" x14ac:dyDescent="0.25">
      <c r="A9606" s="2">
        <v>9605</v>
      </c>
      <c r="B9606" s="3" t="s">
        <v>56</v>
      </c>
      <c r="C9606" s="4" t="str">
        <f t="shared" si="854"/>
        <v>Trà Vinh</v>
      </c>
      <c r="D9606" s="3" t="s">
        <v>673</v>
      </c>
      <c r="E9606" s="4" t="str">
        <f t="shared" si="855"/>
        <v>Huyện Trà Cú</v>
      </c>
      <c r="F9606" s="3" t="s">
        <v>10365</v>
      </c>
      <c r="G9606" s="4" t="str">
        <f>HYPERLINK("https://diaocthongthai.com/xa-dinh-an-tra-cu/","Xã Định An")</f>
        <v>Xã Định An</v>
      </c>
    </row>
    <row r="9607" spans="1:7" x14ac:dyDescent="0.25">
      <c r="A9607" s="2">
        <v>9606</v>
      </c>
      <c r="B9607" s="3" t="s">
        <v>56</v>
      </c>
      <c r="C9607" s="4" t="str">
        <f t="shared" si="854"/>
        <v>Trà Vinh</v>
      </c>
      <c r="D9607" s="3" t="s">
        <v>673</v>
      </c>
      <c r="E9607" s="4" t="str">
        <f t="shared" si="855"/>
        <v>Huyện Trà Cú</v>
      </c>
      <c r="F9607" s="3" t="s">
        <v>10366</v>
      </c>
      <c r="G9607" s="4" t="str">
        <f>HYPERLINK("https://diaocthongthai.com/xa-ngoc-bien-tra-cu/","Xã Ngọc Biên")</f>
        <v>Xã Ngọc Biên</v>
      </c>
    </row>
    <row r="9608" spans="1:7" x14ac:dyDescent="0.25">
      <c r="A9608" s="2">
        <v>9607</v>
      </c>
      <c r="B9608" s="3" t="s">
        <v>56</v>
      </c>
      <c r="C9608" s="4" t="str">
        <f t="shared" si="854"/>
        <v>Trà Vinh</v>
      </c>
      <c r="D9608" s="3" t="s">
        <v>673</v>
      </c>
      <c r="E9608" s="4" t="str">
        <f t="shared" si="855"/>
        <v>Huyện Trà Cú</v>
      </c>
      <c r="F9608" s="3" t="s">
        <v>10367</v>
      </c>
      <c r="G9608" s="4" t="str">
        <f>HYPERLINK("https://diaocthongthai.com/xa-long-hiep-tra-cu/","Xã Long Hiệp")</f>
        <v>Xã Long Hiệp</v>
      </c>
    </row>
    <row r="9609" spans="1:7" x14ac:dyDescent="0.25">
      <c r="A9609" s="2">
        <v>9608</v>
      </c>
      <c r="B9609" s="3" t="s">
        <v>56</v>
      </c>
      <c r="C9609" s="4" t="str">
        <f t="shared" si="854"/>
        <v>Trà Vinh</v>
      </c>
      <c r="D9609" s="3" t="s">
        <v>673</v>
      </c>
      <c r="E9609" s="4" t="str">
        <f t="shared" si="855"/>
        <v>Huyện Trà Cú</v>
      </c>
      <c r="F9609" s="3" t="s">
        <v>10368</v>
      </c>
      <c r="G9609" s="4" t="str">
        <f>HYPERLINK("https://diaocthongthai.com/xa-tan-hiep-tra-cu/","Xã Tân Hiệp")</f>
        <v>Xã Tân Hiệp</v>
      </c>
    </row>
    <row r="9610" spans="1:7" x14ac:dyDescent="0.25">
      <c r="A9610" s="2">
        <v>9609</v>
      </c>
      <c r="B9610" s="3" t="s">
        <v>56</v>
      </c>
      <c r="C9610" s="4" t="str">
        <f t="shared" si="854"/>
        <v>Trà Vinh</v>
      </c>
      <c r="D9610" s="3" t="s">
        <v>674</v>
      </c>
      <c r="E9610" s="4" t="str">
        <f t="shared" ref="E9610:E9616" si="856">HYPERLINK("https://diaocthongthai.com/ban-do-huyen-duyen-hai-tra-vinh/","Huyện Duyên Hải")</f>
        <v>Huyện Duyên Hải</v>
      </c>
      <c r="F9610" s="3" t="s">
        <v>10369</v>
      </c>
      <c r="G9610" s="4" t="str">
        <f>HYPERLINK("https://diaocthongthai.com/xa-don-xuan-duyen-hai-tra-vinh/","Xã Đôn Xuân")</f>
        <v>Xã Đôn Xuân</v>
      </c>
    </row>
    <row r="9611" spans="1:7" x14ac:dyDescent="0.25">
      <c r="A9611" s="2">
        <v>9610</v>
      </c>
      <c r="B9611" s="3" t="s">
        <v>56</v>
      </c>
      <c r="C9611" s="4" t="str">
        <f t="shared" si="854"/>
        <v>Trà Vinh</v>
      </c>
      <c r="D9611" s="3" t="s">
        <v>674</v>
      </c>
      <c r="E9611" s="4" t="str">
        <f t="shared" si="856"/>
        <v>Huyện Duyên Hải</v>
      </c>
      <c r="F9611" s="3" t="s">
        <v>10370</v>
      </c>
      <c r="G9611" s="4" t="str">
        <f>HYPERLINK("https://diaocthongthai.com/xa-don-chau-duyen-hai-tra-vinh/","Xã Đôn Châu")</f>
        <v>Xã Đôn Châu</v>
      </c>
    </row>
    <row r="9612" spans="1:7" x14ac:dyDescent="0.25">
      <c r="A9612" s="2">
        <v>9611</v>
      </c>
      <c r="B9612" s="3" t="s">
        <v>56</v>
      </c>
      <c r="C9612" s="4" t="str">
        <f t="shared" si="854"/>
        <v>Trà Vinh</v>
      </c>
      <c r="D9612" s="3" t="s">
        <v>674</v>
      </c>
      <c r="E9612" s="4" t="str">
        <f t="shared" si="856"/>
        <v>Huyện Duyên Hải</v>
      </c>
      <c r="F9612" s="3" t="s">
        <v>10371</v>
      </c>
      <c r="G9612" s="4" t="str">
        <f>HYPERLINK("https://diaocthongthai.com/thi-tran-long-thanh-duyen-hai-tra-vinh/","Thị trấn Long Thành")</f>
        <v>Thị trấn Long Thành</v>
      </c>
    </row>
    <row r="9613" spans="1:7" x14ac:dyDescent="0.25">
      <c r="A9613" s="2">
        <v>9612</v>
      </c>
      <c r="B9613" s="3" t="s">
        <v>56</v>
      </c>
      <c r="C9613" s="4" t="str">
        <f t="shared" si="854"/>
        <v>Trà Vinh</v>
      </c>
      <c r="D9613" s="3" t="s">
        <v>674</v>
      </c>
      <c r="E9613" s="4" t="str">
        <f t="shared" si="856"/>
        <v>Huyện Duyên Hải</v>
      </c>
      <c r="F9613" s="3" t="s">
        <v>10372</v>
      </c>
      <c r="G9613" s="4" t="str">
        <f>HYPERLINK("https://diaocthongthai.com/xa-long-khanh-duyen-hai-tra-vinh/","Xã Long Khánh")</f>
        <v>Xã Long Khánh</v>
      </c>
    </row>
    <row r="9614" spans="1:7" x14ac:dyDescent="0.25">
      <c r="A9614" s="2">
        <v>9613</v>
      </c>
      <c r="B9614" s="3" t="s">
        <v>56</v>
      </c>
      <c r="C9614" s="4" t="str">
        <f t="shared" ref="C9614:C9623" si="857">HYPERLINK("https://diaocthongthai.com/ban-do-tra-vinh/","Trà Vinh")</f>
        <v>Trà Vinh</v>
      </c>
      <c r="D9614" s="3" t="s">
        <v>674</v>
      </c>
      <c r="E9614" s="4" t="str">
        <f t="shared" si="856"/>
        <v>Huyện Duyên Hải</v>
      </c>
      <c r="F9614" s="3" t="s">
        <v>10373</v>
      </c>
      <c r="G9614" s="4" t="str">
        <f>HYPERLINK("https://diaocthongthai.com/xa-ngu-lac-duyen-hai-tra-vinh/","Xã Ngũ Lạc")</f>
        <v>Xã Ngũ Lạc</v>
      </c>
    </row>
    <row r="9615" spans="1:7" x14ac:dyDescent="0.25">
      <c r="A9615" s="2">
        <v>9614</v>
      </c>
      <c r="B9615" s="3" t="s">
        <v>56</v>
      </c>
      <c r="C9615" s="4" t="str">
        <f t="shared" si="857"/>
        <v>Trà Vinh</v>
      </c>
      <c r="D9615" s="3" t="s">
        <v>674</v>
      </c>
      <c r="E9615" s="4" t="str">
        <f t="shared" si="856"/>
        <v>Huyện Duyên Hải</v>
      </c>
      <c r="F9615" s="3" t="s">
        <v>10374</v>
      </c>
      <c r="G9615" s="4" t="str">
        <f>HYPERLINK("https://diaocthongthai.com/xa-long-vinh-duyen-hai-tra-vinh/","Xã Long Vĩnh")</f>
        <v>Xã Long Vĩnh</v>
      </c>
    </row>
    <row r="9616" spans="1:7" x14ac:dyDescent="0.25">
      <c r="A9616" s="2">
        <v>9615</v>
      </c>
      <c r="B9616" s="3" t="s">
        <v>56</v>
      </c>
      <c r="C9616" s="4" t="str">
        <f t="shared" si="857"/>
        <v>Trà Vinh</v>
      </c>
      <c r="D9616" s="3" t="s">
        <v>674</v>
      </c>
      <c r="E9616" s="4" t="str">
        <f t="shared" si="856"/>
        <v>Huyện Duyên Hải</v>
      </c>
      <c r="F9616" s="3" t="s">
        <v>10375</v>
      </c>
      <c r="G9616" s="4" t="str">
        <f>HYPERLINK("https://diaocthongthai.com/xa-dong-hai-duyen-hai-tra-vinh/","Xã Đông Hải")</f>
        <v>Xã Đông Hải</v>
      </c>
    </row>
    <row r="9617" spans="1:7" x14ac:dyDescent="0.25">
      <c r="A9617" s="2">
        <v>9616</v>
      </c>
      <c r="B9617" s="3" t="s">
        <v>56</v>
      </c>
      <c r="C9617" s="4" t="str">
        <f t="shared" si="857"/>
        <v>Trà Vinh</v>
      </c>
      <c r="D9617" s="3" t="s">
        <v>675</v>
      </c>
      <c r="E9617" s="4" t="str">
        <f t="shared" ref="E9617:E9623" si="858">HYPERLINK("https://diaocthongthai.com/ban-do-thi-xa-duyen-hai-tra-vinh/","Thị xã Duyên Hải")</f>
        <v>Thị xã Duyên Hải</v>
      </c>
      <c r="F9617" s="3" t="s">
        <v>10376</v>
      </c>
      <c r="G9617" s="4" t="str">
        <f>HYPERLINK("https://diaocthongthai.com/phuong-1-duyen-hai-tra-vinh/","Phường 1")</f>
        <v>Phường 1</v>
      </c>
    </row>
    <row r="9618" spans="1:7" x14ac:dyDescent="0.25">
      <c r="A9618" s="2">
        <v>9617</v>
      </c>
      <c r="B9618" s="3" t="s">
        <v>56</v>
      </c>
      <c r="C9618" s="4" t="str">
        <f t="shared" si="857"/>
        <v>Trà Vinh</v>
      </c>
      <c r="D9618" s="3" t="s">
        <v>675</v>
      </c>
      <c r="E9618" s="4" t="str">
        <f t="shared" si="858"/>
        <v>Thị xã Duyên Hải</v>
      </c>
      <c r="F9618" s="3" t="s">
        <v>10377</v>
      </c>
      <c r="G9618" s="4" t="str">
        <f>HYPERLINK("https://diaocthongthai.com/xa-long-toan-duyen-hai-tra-vinh/","Xã Long Toàn")</f>
        <v>Xã Long Toàn</v>
      </c>
    </row>
    <row r="9619" spans="1:7" x14ac:dyDescent="0.25">
      <c r="A9619" s="2">
        <v>9618</v>
      </c>
      <c r="B9619" s="3" t="s">
        <v>56</v>
      </c>
      <c r="C9619" s="4" t="str">
        <f t="shared" si="857"/>
        <v>Trà Vinh</v>
      </c>
      <c r="D9619" s="3" t="s">
        <v>675</v>
      </c>
      <c r="E9619" s="4" t="str">
        <f t="shared" si="858"/>
        <v>Thị xã Duyên Hải</v>
      </c>
      <c r="F9619" s="3" t="s">
        <v>10378</v>
      </c>
      <c r="G9619" s="4" t="str">
        <f>HYPERLINK("https://diaocthongthai.com/phuong-2-duyen-hai-tra-vinh/","Phường 2")</f>
        <v>Phường 2</v>
      </c>
    </row>
    <row r="9620" spans="1:7" x14ac:dyDescent="0.25">
      <c r="A9620" s="2">
        <v>9619</v>
      </c>
      <c r="B9620" s="3" t="s">
        <v>56</v>
      </c>
      <c r="C9620" s="4" t="str">
        <f t="shared" si="857"/>
        <v>Trà Vinh</v>
      </c>
      <c r="D9620" s="3" t="s">
        <v>675</v>
      </c>
      <c r="E9620" s="4" t="str">
        <f t="shared" si="858"/>
        <v>Thị xã Duyên Hải</v>
      </c>
      <c r="F9620" s="3" t="s">
        <v>10379</v>
      </c>
      <c r="G9620" s="4" t="str">
        <f>HYPERLINK("https://diaocthongthai.com/xa-long-huu-duyen-hai-tra-vinh/","Xã Long Hữu")</f>
        <v>Xã Long Hữu</v>
      </c>
    </row>
    <row r="9621" spans="1:7" x14ac:dyDescent="0.25">
      <c r="A9621" s="2">
        <v>9620</v>
      </c>
      <c r="B9621" s="3" t="s">
        <v>56</v>
      </c>
      <c r="C9621" s="4" t="str">
        <f t="shared" si="857"/>
        <v>Trà Vinh</v>
      </c>
      <c r="D9621" s="3" t="s">
        <v>675</v>
      </c>
      <c r="E9621" s="4" t="str">
        <f t="shared" si="858"/>
        <v>Thị xã Duyên Hải</v>
      </c>
      <c r="F9621" s="3" t="s">
        <v>10380</v>
      </c>
      <c r="G9621" s="4" t="str">
        <f>HYPERLINK("https://diaocthongthai.com/xa-dan-thanh-duyen-hai-tra-vinh/","Xã Dân Thành")</f>
        <v>Xã Dân Thành</v>
      </c>
    </row>
    <row r="9622" spans="1:7" x14ac:dyDescent="0.25">
      <c r="A9622" s="2">
        <v>9621</v>
      </c>
      <c r="B9622" s="3" t="s">
        <v>56</v>
      </c>
      <c r="C9622" s="4" t="str">
        <f t="shared" si="857"/>
        <v>Trà Vinh</v>
      </c>
      <c r="D9622" s="3" t="s">
        <v>675</v>
      </c>
      <c r="E9622" s="4" t="str">
        <f t="shared" si="858"/>
        <v>Thị xã Duyên Hải</v>
      </c>
      <c r="F9622" s="3" t="s">
        <v>10381</v>
      </c>
      <c r="G9622" s="4" t="str">
        <f>HYPERLINK("https://diaocthongthai.com/xa-truong-long-hoa-duyen-hai-tra-vinh/","Xã Trường Long Hòa")</f>
        <v>Xã Trường Long Hòa</v>
      </c>
    </row>
    <row r="9623" spans="1:7" x14ac:dyDescent="0.25">
      <c r="A9623" s="2">
        <v>9622</v>
      </c>
      <c r="B9623" s="3" t="s">
        <v>56</v>
      </c>
      <c r="C9623" s="4" t="str">
        <f t="shared" si="857"/>
        <v>Trà Vinh</v>
      </c>
      <c r="D9623" s="3" t="s">
        <v>675</v>
      </c>
      <c r="E9623" s="4" t="str">
        <f t="shared" si="858"/>
        <v>Thị xã Duyên Hải</v>
      </c>
      <c r="F9623" s="3" t="s">
        <v>10382</v>
      </c>
      <c r="G9623" s="4" t="str">
        <f>HYPERLINK("https://diaocthongthai.com/xa-hiep-thanh-duyen-hai-tra-vinh/","Xã Hiệp Thạnh")</f>
        <v>Xã Hiệp Thạnh</v>
      </c>
    </row>
    <row r="9624" spans="1:7" x14ac:dyDescent="0.25">
      <c r="A9624" s="2">
        <v>9623</v>
      </c>
      <c r="B9624" s="3" t="s">
        <v>57</v>
      </c>
      <c r="C9624" s="4" t="str">
        <f t="shared" ref="C9624:C9655" si="859">HYPERLINK("https://diaocthongthai.com/ban-do-vinh-long/","Vĩnh Long")</f>
        <v>Vĩnh Long</v>
      </c>
      <c r="D9624" s="3" t="s">
        <v>676</v>
      </c>
      <c r="E9624" s="4" t="str">
        <f t="shared" ref="E9624:E9634" si="860">HYPERLINK("https://diaocthongthai.com/ban-do-tp-vinh-long-vinh-long/","Thành phố Vĩnh Long")</f>
        <v>Thành phố Vĩnh Long</v>
      </c>
      <c r="F9624" s="3" t="s">
        <v>10383</v>
      </c>
      <c r="G9624" s="4" t="str">
        <f>HYPERLINK("https://diaocthongthai.com/phuong-9-tp-vinh-long/","Phường 9")</f>
        <v>Phường 9</v>
      </c>
    </row>
    <row r="9625" spans="1:7" x14ac:dyDescent="0.25">
      <c r="A9625" s="2">
        <v>9624</v>
      </c>
      <c r="B9625" s="3" t="s">
        <v>57</v>
      </c>
      <c r="C9625" s="4" t="str">
        <f t="shared" si="859"/>
        <v>Vĩnh Long</v>
      </c>
      <c r="D9625" s="3" t="s">
        <v>676</v>
      </c>
      <c r="E9625" s="4" t="str">
        <f t="shared" si="860"/>
        <v>Thành phố Vĩnh Long</v>
      </c>
      <c r="F9625" s="3" t="s">
        <v>10384</v>
      </c>
      <c r="G9625" s="4" t="str">
        <f>HYPERLINK("https://diaocthongthai.com/phuong-5-tp-vinh-long/","Phường 5")</f>
        <v>Phường 5</v>
      </c>
    </row>
    <row r="9626" spans="1:7" x14ac:dyDescent="0.25">
      <c r="A9626" s="2">
        <v>9625</v>
      </c>
      <c r="B9626" s="3" t="s">
        <v>57</v>
      </c>
      <c r="C9626" s="4" t="str">
        <f t="shared" si="859"/>
        <v>Vĩnh Long</v>
      </c>
      <c r="D9626" s="3" t="s">
        <v>676</v>
      </c>
      <c r="E9626" s="4" t="str">
        <f t="shared" si="860"/>
        <v>Thành phố Vĩnh Long</v>
      </c>
      <c r="F9626" s="3" t="s">
        <v>10385</v>
      </c>
      <c r="G9626" s="4" t="str">
        <f>HYPERLINK("https://diaocthongthai.com/phuong-1-tp-vinh-long/","Phường 1")</f>
        <v>Phường 1</v>
      </c>
    </row>
    <row r="9627" spans="1:7" x14ac:dyDescent="0.25">
      <c r="A9627" s="2">
        <v>9626</v>
      </c>
      <c r="B9627" s="3" t="s">
        <v>57</v>
      </c>
      <c r="C9627" s="4" t="str">
        <f t="shared" si="859"/>
        <v>Vĩnh Long</v>
      </c>
      <c r="D9627" s="3" t="s">
        <v>676</v>
      </c>
      <c r="E9627" s="4" t="str">
        <f t="shared" si="860"/>
        <v>Thành phố Vĩnh Long</v>
      </c>
      <c r="F9627" s="3" t="s">
        <v>10386</v>
      </c>
      <c r="G9627" s="4" t="str">
        <f>HYPERLINK("https://diaocthongthai.com/phuong-2-tp-vinh-long/","Phường 2")</f>
        <v>Phường 2</v>
      </c>
    </row>
    <row r="9628" spans="1:7" x14ac:dyDescent="0.25">
      <c r="A9628" s="2">
        <v>9627</v>
      </c>
      <c r="B9628" s="3" t="s">
        <v>57</v>
      </c>
      <c r="C9628" s="4" t="str">
        <f t="shared" si="859"/>
        <v>Vĩnh Long</v>
      </c>
      <c r="D9628" s="3" t="s">
        <v>676</v>
      </c>
      <c r="E9628" s="4" t="str">
        <f t="shared" si="860"/>
        <v>Thành phố Vĩnh Long</v>
      </c>
      <c r="F9628" s="3" t="s">
        <v>10387</v>
      </c>
      <c r="G9628" s="4" t="str">
        <f>HYPERLINK("https://diaocthongthai.com/phuong-4-tp-vinh-long/","Phường 4")</f>
        <v>Phường 4</v>
      </c>
    </row>
    <row r="9629" spans="1:7" x14ac:dyDescent="0.25">
      <c r="A9629" s="2">
        <v>9628</v>
      </c>
      <c r="B9629" s="3" t="s">
        <v>57</v>
      </c>
      <c r="C9629" s="4" t="str">
        <f t="shared" si="859"/>
        <v>Vĩnh Long</v>
      </c>
      <c r="D9629" s="3" t="s">
        <v>676</v>
      </c>
      <c r="E9629" s="4" t="str">
        <f t="shared" si="860"/>
        <v>Thành phố Vĩnh Long</v>
      </c>
      <c r="F9629" s="3" t="s">
        <v>10388</v>
      </c>
      <c r="G9629" s="4" t="str">
        <f>HYPERLINK("https://diaocthongthai.com/phuong-3-tp-vinh-long/","Phường 3")</f>
        <v>Phường 3</v>
      </c>
    </row>
    <row r="9630" spans="1:7" x14ac:dyDescent="0.25">
      <c r="A9630" s="2">
        <v>9629</v>
      </c>
      <c r="B9630" s="3" t="s">
        <v>57</v>
      </c>
      <c r="C9630" s="4" t="str">
        <f t="shared" si="859"/>
        <v>Vĩnh Long</v>
      </c>
      <c r="D9630" s="3" t="s">
        <v>676</v>
      </c>
      <c r="E9630" s="4" t="str">
        <f t="shared" si="860"/>
        <v>Thành phố Vĩnh Long</v>
      </c>
      <c r="F9630" s="3" t="s">
        <v>10389</v>
      </c>
      <c r="G9630" s="4" t="str">
        <f>HYPERLINK("https://diaocthongthai.com/phuong-8-tp-vinh-long/","Phường 8")</f>
        <v>Phường 8</v>
      </c>
    </row>
    <row r="9631" spans="1:7" x14ac:dyDescent="0.25">
      <c r="A9631" s="2">
        <v>9630</v>
      </c>
      <c r="B9631" s="3" t="s">
        <v>57</v>
      </c>
      <c r="C9631" s="4" t="str">
        <f t="shared" si="859"/>
        <v>Vĩnh Long</v>
      </c>
      <c r="D9631" s="3" t="s">
        <v>676</v>
      </c>
      <c r="E9631" s="4" t="str">
        <f t="shared" si="860"/>
        <v>Thành phố Vĩnh Long</v>
      </c>
      <c r="F9631" s="3" t="s">
        <v>10390</v>
      </c>
      <c r="G9631" s="4" t="str">
        <f>HYPERLINK("https://diaocthongthai.com/phuong-tan-ngai-tp-vinh-long/","Phường Tân Ngãi")</f>
        <v>Phường Tân Ngãi</v>
      </c>
    </row>
    <row r="9632" spans="1:7" x14ac:dyDescent="0.25">
      <c r="A9632" s="2">
        <v>9631</v>
      </c>
      <c r="B9632" s="3" t="s">
        <v>57</v>
      </c>
      <c r="C9632" s="4" t="str">
        <f t="shared" si="859"/>
        <v>Vĩnh Long</v>
      </c>
      <c r="D9632" s="3" t="s">
        <v>676</v>
      </c>
      <c r="E9632" s="4" t="str">
        <f t="shared" si="860"/>
        <v>Thành phố Vĩnh Long</v>
      </c>
      <c r="F9632" s="3" t="s">
        <v>10391</v>
      </c>
      <c r="G9632" s="4" t="str">
        <f>HYPERLINK("https://diaocthongthai.com/phuong-tan-hoa-tp-vinh-long/","Phường Tân Hòa")</f>
        <v>Phường Tân Hòa</v>
      </c>
    </row>
    <row r="9633" spans="1:7" x14ac:dyDescent="0.25">
      <c r="A9633" s="2">
        <v>9632</v>
      </c>
      <c r="B9633" s="3" t="s">
        <v>57</v>
      </c>
      <c r="C9633" s="4" t="str">
        <f t="shared" si="859"/>
        <v>Vĩnh Long</v>
      </c>
      <c r="D9633" s="3" t="s">
        <v>676</v>
      </c>
      <c r="E9633" s="4" t="str">
        <f t="shared" si="860"/>
        <v>Thành phố Vĩnh Long</v>
      </c>
      <c r="F9633" s="3" t="s">
        <v>10392</v>
      </c>
      <c r="G9633" s="4" t="str">
        <f>HYPERLINK("https://diaocthongthai.com/phuong-tan-hoi-tp-vinh-long/","Phường Tân Hội")</f>
        <v>Phường Tân Hội</v>
      </c>
    </row>
    <row r="9634" spans="1:7" x14ac:dyDescent="0.25">
      <c r="A9634" s="2">
        <v>9633</v>
      </c>
      <c r="B9634" s="3" t="s">
        <v>57</v>
      </c>
      <c r="C9634" s="4" t="str">
        <f t="shared" si="859"/>
        <v>Vĩnh Long</v>
      </c>
      <c r="D9634" s="3" t="s">
        <v>676</v>
      </c>
      <c r="E9634" s="4" t="str">
        <f t="shared" si="860"/>
        <v>Thành phố Vĩnh Long</v>
      </c>
      <c r="F9634" s="3" t="s">
        <v>10393</v>
      </c>
      <c r="G9634" s="4" t="str">
        <f>HYPERLINK("https://diaocthongthai.com/phuong-truong-an-tp-vinh-long/","Phường Trường An")</f>
        <v>Phường Trường An</v>
      </c>
    </row>
    <row r="9635" spans="1:7" x14ac:dyDescent="0.25">
      <c r="A9635" s="2">
        <v>9634</v>
      </c>
      <c r="B9635" s="3" t="s">
        <v>57</v>
      </c>
      <c r="C9635" s="4" t="str">
        <f t="shared" si="859"/>
        <v>Vĩnh Long</v>
      </c>
      <c r="D9635" s="3" t="s">
        <v>677</v>
      </c>
      <c r="E9635" s="4" t="str">
        <f t="shared" ref="E9635:E9649" si="861">HYPERLINK("https://diaocthongthai.com/ban-do-huyen-long-ho-vinh-long/","Huyện Long Hồ")</f>
        <v>Huyện Long Hồ</v>
      </c>
      <c r="F9635" s="3" t="s">
        <v>10394</v>
      </c>
      <c r="G9635" s="4" t="str">
        <f>HYPERLINK("https://diaocthongthai.com/thi-tran-long-ho-long-ho/","Thị trấn Long Hồ")</f>
        <v>Thị trấn Long Hồ</v>
      </c>
    </row>
    <row r="9636" spans="1:7" x14ac:dyDescent="0.25">
      <c r="A9636" s="2">
        <v>9635</v>
      </c>
      <c r="B9636" s="3" t="s">
        <v>57</v>
      </c>
      <c r="C9636" s="4" t="str">
        <f t="shared" si="859"/>
        <v>Vĩnh Long</v>
      </c>
      <c r="D9636" s="3" t="s">
        <v>677</v>
      </c>
      <c r="E9636" s="4" t="str">
        <f t="shared" si="861"/>
        <v>Huyện Long Hồ</v>
      </c>
      <c r="F9636" s="3" t="s">
        <v>10395</v>
      </c>
      <c r="G9636" s="4" t="str">
        <f>HYPERLINK("https://diaocthongthai.com/xa-dong-phu-long-ho/","Xã Đồng Phú")</f>
        <v>Xã Đồng Phú</v>
      </c>
    </row>
    <row r="9637" spans="1:7" x14ac:dyDescent="0.25">
      <c r="A9637" s="2">
        <v>9636</v>
      </c>
      <c r="B9637" s="3" t="s">
        <v>57</v>
      </c>
      <c r="C9637" s="4" t="str">
        <f t="shared" si="859"/>
        <v>Vĩnh Long</v>
      </c>
      <c r="D9637" s="3" t="s">
        <v>677</v>
      </c>
      <c r="E9637" s="4" t="str">
        <f t="shared" si="861"/>
        <v>Huyện Long Hồ</v>
      </c>
      <c r="F9637" s="3" t="s">
        <v>10396</v>
      </c>
      <c r="G9637" s="4" t="str">
        <f>HYPERLINK("https://diaocthongthai.com/xa-binh-hoa-phuoc-long-ho/","Xã Bình Hòa Phước")</f>
        <v>Xã Bình Hòa Phước</v>
      </c>
    </row>
    <row r="9638" spans="1:7" x14ac:dyDescent="0.25">
      <c r="A9638" s="2">
        <v>9637</v>
      </c>
      <c r="B9638" s="3" t="s">
        <v>57</v>
      </c>
      <c r="C9638" s="4" t="str">
        <f t="shared" si="859"/>
        <v>Vĩnh Long</v>
      </c>
      <c r="D9638" s="3" t="s">
        <v>677</v>
      </c>
      <c r="E9638" s="4" t="str">
        <f t="shared" si="861"/>
        <v>Huyện Long Hồ</v>
      </c>
      <c r="F9638" s="3" t="s">
        <v>10397</v>
      </c>
      <c r="G9638" s="4" t="str">
        <f>HYPERLINK("https://diaocthongthai.com/xa-hoa-ninh-long-ho/","Xã Hòa Ninh")</f>
        <v>Xã Hòa Ninh</v>
      </c>
    </row>
    <row r="9639" spans="1:7" x14ac:dyDescent="0.25">
      <c r="A9639" s="2">
        <v>9638</v>
      </c>
      <c r="B9639" s="3" t="s">
        <v>57</v>
      </c>
      <c r="C9639" s="4" t="str">
        <f t="shared" si="859"/>
        <v>Vĩnh Long</v>
      </c>
      <c r="D9639" s="3" t="s">
        <v>677</v>
      </c>
      <c r="E9639" s="4" t="str">
        <f t="shared" si="861"/>
        <v>Huyện Long Hồ</v>
      </c>
      <c r="F9639" s="3" t="s">
        <v>10398</v>
      </c>
      <c r="G9639" s="4" t="str">
        <f>HYPERLINK("https://diaocthongthai.com/xa-an-binh-long-ho/","Xã An Bình")</f>
        <v>Xã An Bình</v>
      </c>
    </row>
    <row r="9640" spans="1:7" x14ac:dyDescent="0.25">
      <c r="A9640" s="2">
        <v>9639</v>
      </c>
      <c r="B9640" s="3" t="s">
        <v>57</v>
      </c>
      <c r="C9640" s="4" t="str">
        <f t="shared" si="859"/>
        <v>Vĩnh Long</v>
      </c>
      <c r="D9640" s="3" t="s">
        <v>677</v>
      </c>
      <c r="E9640" s="4" t="str">
        <f t="shared" si="861"/>
        <v>Huyện Long Hồ</v>
      </c>
      <c r="F9640" s="3" t="s">
        <v>10399</v>
      </c>
      <c r="G9640" s="4" t="str">
        <f>HYPERLINK("https://diaocthongthai.com/xa-thanh-duc-long-ho/","Xã Thanh Đức")</f>
        <v>Xã Thanh Đức</v>
      </c>
    </row>
    <row r="9641" spans="1:7" x14ac:dyDescent="0.25">
      <c r="A9641" s="2">
        <v>9640</v>
      </c>
      <c r="B9641" s="3" t="s">
        <v>57</v>
      </c>
      <c r="C9641" s="4" t="str">
        <f t="shared" si="859"/>
        <v>Vĩnh Long</v>
      </c>
      <c r="D9641" s="3" t="s">
        <v>677</v>
      </c>
      <c r="E9641" s="4" t="str">
        <f t="shared" si="861"/>
        <v>Huyện Long Hồ</v>
      </c>
      <c r="F9641" s="3" t="s">
        <v>10400</v>
      </c>
      <c r="G9641" s="4" t="str">
        <f>HYPERLINK("https://diaocthongthai.com/xa-tan-hanh-long-ho/","Xã Tân Hạnh")</f>
        <v>Xã Tân Hạnh</v>
      </c>
    </row>
    <row r="9642" spans="1:7" x14ac:dyDescent="0.25">
      <c r="A9642" s="2">
        <v>9641</v>
      </c>
      <c r="B9642" s="3" t="s">
        <v>57</v>
      </c>
      <c r="C9642" s="4" t="str">
        <f t="shared" si="859"/>
        <v>Vĩnh Long</v>
      </c>
      <c r="D9642" s="3" t="s">
        <v>677</v>
      </c>
      <c r="E9642" s="4" t="str">
        <f t="shared" si="861"/>
        <v>Huyện Long Hồ</v>
      </c>
      <c r="F9642" s="3" t="s">
        <v>10401</v>
      </c>
      <c r="G9642" s="4" t="str">
        <f>HYPERLINK("https://diaocthongthai.com/xa-phuoc-hau-long-ho/","Xã Phước Hậu")</f>
        <v>Xã Phước Hậu</v>
      </c>
    </row>
    <row r="9643" spans="1:7" x14ac:dyDescent="0.25">
      <c r="A9643" s="2">
        <v>9642</v>
      </c>
      <c r="B9643" s="3" t="s">
        <v>57</v>
      </c>
      <c r="C9643" s="4" t="str">
        <f t="shared" si="859"/>
        <v>Vĩnh Long</v>
      </c>
      <c r="D9643" s="3" t="s">
        <v>677</v>
      </c>
      <c r="E9643" s="4" t="str">
        <f t="shared" si="861"/>
        <v>Huyện Long Hồ</v>
      </c>
      <c r="F9643" s="3" t="s">
        <v>10402</v>
      </c>
      <c r="G9643" s="4" t="str">
        <f>HYPERLINK("https://diaocthongthai.com/xa-long-phuoc-long-ho/","Xã Long Phước")</f>
        <v>Xã Long Phước</v>
      </c>
    </row>
    <row r="9644" spans="1:7" x14ac:dyDescent="0.25">
      <c r="A9644" s="2">
        <v>9643</v>
      </c>
      <c r="B9644" s="3" t="s">
        <v>57</v>
      </c>
      <c r="C9644" s="4" t="str">
        <f t="shared" si="859"/>
        <v>Vĩnh Long</v>
      </c>
      <c r="D9644" s="3" t="s">
        <v>677</v>
      </c>
      <c r="E9644" s="4" t="str">
        <f t="shared" si="861"/>
        <v>Huyện Long Hồ</v>
      </c>
      <c r="F9644" s="3" t="s">
        <v>10403</v>
      </c>
      <c r="G9644" s="4" t="str">
        <f>HYPERLINK("https://diaocthongthai.com/xa-phu-duc-long-ho/","Xã Phú Đức")</f>
        <v>Xã Phú Đức</v>
      </c>
    </row>
    <row r="9645" spans="1:7" x14ac:dyDescent="0.25">
      <c r="A9645" s="2">
        <v>9644</v>
      </c>
      <c r="B9645" s="3" t="s">
        <v>57</v>
      </c>
      <c r="C9645" s="4" t="str">
        <f t="shared" si="859"/>
        <v>Vĩnh Long</v>
      </c>
      <c r="D9645" s="3" t="s">
        <v>677</v>
      </c>
      <c r="E9645" s="4" t="str">
        <f t="shared" si="861"/>
        <v>Huyện Long Hồ</v>
      </c>
      <c r="F9645" s="3" t="s">
        <v>10404</v>
      </c>
      <c r="G9645" s="4" t="str">
        <f>HYPERLINK("https://diaocthongthai.com/xa-loc-hoa-long-ho/","Xã Lộc Hòa")</f>
        <v>Xã Lộc Hòa</v>
      </c>
    </row>
    <row r="9646" spans="1:7" x14ac:dyDescent="0.25">
      <c r="A9646" s="2">
        <v>9645</v>
      </c>
      <c r="B9646" s="3" t="s">
        <v>57</v>
      </c>
      <c r="C9646" s="4" t="str">
        <f t="shared" si="859"/>
        <v>Vĩnh Long</v>
      </c>
      <c r="D9646" s="3" t="s">
        <v>677</v>
      </c>
      <c r="E9646" s="4" t="str">
        <f t="shared" si="861"/>
        <v>Huyện Long Hồ</v>
      </c>
      <c r="F9646" s="3" t="s">
        <v>10405</v>
      </c>
      <c r="G9646" s="4" t="str">
        <f>HYPERLINK("https://diaocthongthai.com/xa-long-an-long-ho/","Xã Long An")</f>
        <v>Xã Long An</v>
      </c>
    </row>
    <row r="9647" spans="1:7" x14ac:dyDescent="0.25">
      <c r="A9647" s="2">
        <v>9646</v>
      </c>
      <c r="B9647" s="3" t="s">
        <v>57</v>
      </c>
      <c r="C9647" s="4" t="str">
        <f t="shared" si="859"/>
        <v>Vĩnh Long</v>
      </c>
      <c r="D9647" s="3" t="s">
        <v>677</v>
      </c>
      <c r="E9647" s="4" t="str">
        <f t="shared" si="861"/>
        <v>Huyện Long Hồ</v>
      </c>
      <c r="F9647" s="3" t="s">
        <v>10406</v>
      </c>
      <c r="G9647" s="4" t="str">
        <f>HYPERLINK("https://diaocthongthai.com/xa-phu-quoi-long-ho/","Xã Phú Quới")</f>
        <v>Xã Phú Quới</v>
      </c>
    </row>
    <row r="9648" spans="1:7" x14ac:dyDescent="0.25">
      <c r="A9648" s="2">
        <v>9647</v>
      </c>
      <c r="B9648" s="3" t="s">
        <v>57</v>
      </c>
      <c r="C9648" s="4" t="str">
        <f t="shared" si="859"/>
        <v>Vĩnh Long</v>
      </c>
      <c r="D9648" s="3" t="s">
        <v>677</v>
      </c>
      <c r="E9648" s="4" t="str">
        <f t="shared" si="861"/>
        <v>Huyện Long Hồ</v>
      </c>
      <c r="F9648" s="3" t="s">
        <v>10407</v>
      </c>
      <c r="G9648" s="4" t="str">
        <f>HYPERLINK("https://diaocthongthai.com/xa-thanh-quoi-long-ho/","Xã Thạnh Quới")</f>
        <v>Xã Thạnh Quới</v>
      </c>
    </row>
    <row r="9649" spans="1:7" x14ac:dyDescent="0.25">
      <c r="A9649" s="2">
        <v>9648</v>
      </c>
      <c r="B9649" s="3" t="s">
        <v>57</v>
      </c>
      <c r="C9649" s="4" t="str">
        <f t="shared" si="859"/>
        <v>Vĩnh Long</v>
      </c>
      <c r="D9649" s="3" t="s">
        <v>677</v>
      </c>
      <c r="E9649" s="4" t="str">
        <f t="shared" si="861"/>
        <v>Huyện Long Hồ</v>
      </c>
      <c r="F9649" s="3" t="s">
        <v>10408</v>
      </c>
      <c r="G9649" s="4" t="str">
        <f>HYPERLINK("https://diaocthongthai.com/xa-hoa-phu-long-ho/","Xã Hòa Phú")</f>
        <v>Xã Hòa Phú</v>
      </c>
    </row>
    <row r="9650" spans="1:7" x14ac:dyDescent="0.25">
      <c r="A9650" s="2">
        <v>9649</v>
      </c>
      <c r="B9650" s="3" t="s">
        <v>57</v>
      </c>
      <c r="C9650" s="4" t="str">
        <f t="shared" si="859"/>
        <v>Vĩnh Long</v>
      </c>
      <c r="D9650" s="3" t="s">
        <v>678</v>
      </c>
      <c r="E9650" s="4" t="str">
        <f t="shared" ref="E9650:E9661" si="862">HYPERLINK("https://diaocthongthai.com/ban-do-huyen-mang-thit-vinh-long/","Huyện Mang Thít")</f>
        <v>Huyện Mang Thít</v>
      </c>
      <c r="F9650" s="3" t="s">
        <v>10409</v>
      </c>
      <c r="G9650" s="4" t="str">
        <f>HYPERLINK("https://diaocthongthai.com/xa-my-an-mang-thit/","Xã Mỹ An")</f>
        <v>Xã Mỹ An</v>
      </c>
    </row>
    <row r="9651" spans="1:7" x14ac:dyDescent="0.25">
      <c r="A9651" s="2">
        <v>9650</v>
      </c>
      <c r="B9651" s="3" t="s">
        <v>57</v>
      </c>
      <c r="C9651" s="4" t="str">
        <f t="shared" si="859"/>
        <v>Vĩnh Long</v>
      </c>
      <c r="D9651" s="3" t="s">
        <v>678</v>
      </c>
      <c r="E9651" s="4" t="str">
        <f t="shared" si="862"/>
        <v>Huyện Mang Thít</v>
      </c>
      <c r="F9651" s="3" t="s">
        <v>10410</v>
      </c>
      <c r="G9651" s="4" t="str">
        <f>HYPERLINK("https://diaocthongthai.com/xa-my-phuoc-mang-thit/","Xã Mỹ Phước")</f>
        <v>Xã Mỹ Phước</v>
      </c>
    </row>
    <row r="9652" spans="1:7" x14ac:dyDescent="0.25">
      <c r="A9652" s="2">
        <v>9651</v>
      </c>
      <c r="B9652" s="3" t="s">
        <v>57</v>
      </c>
      <c r="C9652" s="4" t="str">
        <f t="shared" si="859"/>
        <v>Vĩnh Long</v>
      </c>
      <c r="D9652" s="3" t="s">
        <v>678</v>
      </c>
      <c r="E9652" s="4" t="str">
        <f t="shared" si="862"/>
        <v>Huyện Mang Thít</v>
      </c>
      <c r="F9652" s="3" t="s">
        <v>10411</v>
      </c>
      <c r="G9652" s="4" t="str">
        <f>HYPERLINK("https://diaocthongthai.com/xa-an-phuoc-mang-thit/","Xã An Phước")</f>
        <v>Xã An Phước</v>
      </c>
    </row>
    <row r="9653" spans="1:7" x14ac:dyDescent="0.25">
      <c r="A9653" s="2">
        <v>9652</v>
      </c>
      <c r="B9653" s="3" t="s">
        <v>57</v>
      </c>
      <c r="C9653" s="4" t="str">
        <f t="shared" si="859"/>
        <v>Vĩnh Long</v>
      </c>
      <c r="D9653" s="3" t="s">
        <v>678</v>
      </c>
      <c r="E9653" s="4" t="str">
        <f t="shared" si="862"/>
        <v>Huyện Mang Thít</v>
      </c>
      <c r="F9653" s="3" t="s">
        <v>10412</v>
      </c>
      <c r="G9653" s="4" t="str">
        <f>HYPERLINK("https://diaocthongthai.com/xa-nhon-phu-mang-thit/","Xã Nhơn Phú")</f>
        <v>Xã Nhơn Phú</v>
      </c>
    </row>
    <row r="9654" spans="1:7" x14ac:dyDescent="0.25">
      <c r="A9654" s="2">
        <v>9653</v>
      </c>
      <c r="B9654" s="3" t="s">
        <v>57</v>
      </c>
      <c r="C9654" s="4" t="str">
        <f t="shared" si="859"/>
        <v>Vĩnh Long</v>
      </c>
      <c r="D9654" s="3" t="s">
        <v>678</v>
      </c>
      <c r="E9654" s="4" t="str">
        <f t="shared" si="862"/>
        <v>Huyện Mang Thít</v>
      </c>
      <c r="F9654" s="3" t="s">
        <v>10413</v>
      </c>
      <c r="G9654" s="4" t="str">
        <f>HYPERLINK("https://diaocthongthai.com/xa-long-my-mang-thit/","Xã Long Mỹ")</f>
        <v>Xã Long Mỹ</v>
      </c>
    </row>
    <row r="9655" spans="1:7" x14ac:dyDescent="0.25">
      <c r="A9655" s="2">
        <v>9654</v>
      </c>
      <c r="B9655" s="3" t="s">
        <v>57</v>
      </c>
      <c r="C9655" s="4" t="str">
        <f t="shared" si="859"/>
        <v>Vĩnh Long</v>
      </c>
      <c r="D9655" s="3" t="s">
        <v>678</v>
      </c>
      <c r="E9655" s="4" t="str">
        <f t="shared" si="862"/>
        <v>Huyện Mang Thít</v>
      </c>
      <c r="F9655" s="3" t="s">
        <v>10414</v>
      </c>
      <c r="G9655" s="4" t="str">
        <f>HYPERLINK("https://diaocthongthai.com/xa-hoa-tinh-mang-thit/","Xã Hòa Tịnh")</f>
        <v>Xã Hòa Tịnh</v>
      </c>
    </row>
    <row r="9656" spans="1:7" x14ac:dyDescent="0.25">
      <c r="A9656" s="2">
        <v>9655</v>
      </c>
      <c r="B9656" s="3" t="s">
        <v>57</v>
      </c>
      <c r="C9656" s="4" t="str">
        <f t="shared" ref="C9656:C9687" si="863">HYPERLINK("https://diaocthongthai.com/ban-do-vinh-long/","Vĩnh Long")</f>
        <v>Vĩnh Long</v>
      </c>
      <c r="D9656" s="3" t="s">
        <v>678</v>
      </c>
      <c r="E9656" s="4" t="str">
        <f t="shared" si="862"/>
        <v>Huyện Mang Thít</v>
      </c>
      <c r="F9656" s="3" t="s">
        <v>10415</v>
      </c>
      <c r="G9656" s="4" t="str">
        <f>HYPERLINK("https://diaocthongthai.com/thi-tran-cai-nhum-mang-thit/","Thị trấn Cái Nhum")</f>
        <v>Thị trấn Cái Nhum</v>
      </c>
    </row>
    <row r="9657" spans="1:7" x14ac:dyDescent="0.25">
      <c r="A9657" s="2">
        <v>9656</v>
      </c>
      <c r="B9657" s="3" t="s">
        <v>57</v>
      </c>
      <c r="C9657" s="4" t="str">
        <f t="shared" si="863"/>
        <v>Vĩnh Long</v>
      </c>
      <c r="D9657" s="3" t="s">
        <v>678</v>
      </c>
      <c r="E9657" s="4" t="str">
        <f t="shared" si="862"/>
        <v>Huyện Mang Thít</v>
      </c>
      <c r="F9657" s="3" t="s">
        <v>10416</v>
      </c>
      <c r="G9657" s="4" t="str">
        <f>HYPERLINK("https://diaocthongthai.com/xa-binh-phuoc-mang-thit/","Xã Bình Phước")</f>
        <v>Xã Bình Phước</v>
      </c>
    </row>
    <row r="9658" spans="1:7" x14ac:dyDescent="0.25">
      <c r="A9658" s="2">
        <v>9657</v>
      </c>
      <c r="B9658" s="3" t="s">
        <v>57</v>
      </c>
      <c r="C9658" s="4" t="str">
        <f t="shared" si="863"/>
        <v>Vĩnh Long</v>
      </c>
      <c r="D9658" s="3" t="s">
        <v>678</v>
      </c>
      <c r="E9658" s="4" t="str">
        <f t="shared" si="862"/>
        <v>Huyện Mang Thít</v>
      </c>
      <c r="F9658" s="3" t="s">
        <v>10417</v>
      </c>
      <c r="G9658" s="4" t="str">
        <f>HYPERLINK("https://diaocthongthai.com/xa-chanh-an-mang-thit/","Xã Chánh An")</f>
        <v>Xã Chánh An</v>
      </c>
    </row>
    <row r="9659" spans="1:7" x14ac:dyDescent="0.25">
      <c r="A9659" s="2">
        <v>9658</v>
      </c>
      <c r="B9659" s="3" t="s">
        <v>57</v>
      </c>
      <c r="C9659" s="4" t="str">
        <f t="shared" si="863"/>
        <v>Vĩnh Long</v>
      </c>
      <c r="D9659" s="3" t="s">
        <v>678</v>
      </c>
      <c r="E9659" s="4" t="str">
        <f t="shared" si="862"/>
        <v>Huyện Mang Thít</v>
      </c>
      <c r="F9659" s="3" t="s">
        <v>10418</v>
      </c>
      <c r="G9659" s="4" t="str">
        <f>HYPERLINK("https://diaocthongthai.com/xa-tan-an-hoi-mang-thit/","Xã Tân An Hội")</f>
        <v>Xã Tân An Hội</v>
      </c>
    </row>
    <row r="9660" spans="1:7" x14ac:dyDescent="0.25">
      <c r="A9660" s="2">
        <v>9659</v>
      </c>
      <c r="B9660" s="3" t="s">
        <v>57</v>
      </c>
      <c r="C9660" s="4" t="str">
        <f t="shared" si="863"/>
        <v>Vĩnh Long</v>
      </c>
      <c r="D9660" s="3" t="s">
        <v>678</v>
      </c>
      <c r="E9660" s="4" t="str">
        <f t="shared" si="862"/>
        <v>Huyện Mang Thít</v>
      </c>
      <c r="F9660" s="3" t="s">
        <v>10419</v>
      </c>
      <c r="G9660" s="4" t="str">
        <f>HYPERLINK("https://diaocthongthai.com/xa-tan-long-mang-thit/","Xã Tân Long")</f>
        <v>Xã Tân Long</v>
      </c>
    </row>
    <row r="9661" spans="1:7" x14ac:dyDescent="0.25">
      <c r="A9661" s="2">
        <v>9660</v>
      </c>
      <c r="B9661" s="3" t="s">
        <v>57</v>
      </c>
      <c r="C9661" s="4" t="str">
        <f t="shared" si="863"/>
        <v>Vĩnh Long</v>
      </c>
      <c r="D9661" s="3" t="s">
        <v>678</v>
      </c>
      <c r="E9661" s="4" t="str">
        <f t="shared" si="862"/>
        <v>Huyện Mang Thít</v>
      </c>
      <c r="F9661" s="3" t="s">
        <v>10420</v>
      </c>
      <c r="G9661" s="4" t="str">
        <f>HYPERLINK("https://diaocthongthai.com/xa-tan-long-hoi-mang-thit/","Xã Tân Long Hội")</f>
        <v>Xã Tân Long Hội</v>
      </c>
    </row>
    <row r="9662" spans="1:7" x14ac:dyDescent="0.25">
      <c r="A9662" s="2">
        <v>9661</v>
      </c>
      <c r="B9662" s="3" t="s">
        <v>57</v>
      </c>
      <c r="C9662" s="4" t="str">
        <f t="shared" si="863"/>
        <v>Vĩnh Long</v>
      </c>
      <c r="D9662" s="3" t="s">
        <v>679</v>
      </c>
      <c r="E9662" s="4" t="str">
        <f t="shared" ref="E9662:E9681" si="864">HYPERLINK("https://diaocthongthai.com/ban-do-huyen-vung-liem-vinh-long/","Huyện  Vũng Liêm")</f>
        <v>Huyện  Vũng Liêm</v>
      </c>
      <c r="F9662" s="3" t="s">
        <v>10421</v>
      </c>
      <c r="G9662" s="4" t="str">
        <f>HYPERLINK("https://diaocthongthai.com/thi-tran-vung-liem-vung-liem/","Thị trấn Vũng Liêm")</f>
        <v>Thị trấn Vũng Liêm</v>
      </c>
    </row>
    <row r="9663" spans="1:7" x14ac:dyDescent="0.25">
      <c r="A9663" s="2">
        <v>9662</v>
      </c>
      <c r="B9663" s="3" t="s">
        <v>57</v>
      </c>
      <c r="C9663" s="4" t="str">
        <f t="shared" si="863"/>
        <v>Vĩnh Long</v>
      </c>
      <c r="D9663" s="3" t="s">
        <v>679</v>
      </c>
      <c r="E9663" s="4" t="str">
        <f t="shared" si="864"/>
        <v>Huyện  Vũng Liêm</v>
      </c>
      <c r="F9663" s="3" t="s">
        <v>10422</v>
      </c>
      <c r="G9663" s="4" t="str">
        <f>HYPERLINK("https://diaocthongthai.com/xa-tan-quoi-trung-vung-liem/","Xã Tân Quới Trung")</f>
        <v>Xã Tân Quới Trung</v>
      </c>
    </row>
    <row r="9664" spans="1:7" x14ac:dyDescent="0.25">
      <c r="A9664" s="2">
        <v>9663</v>
      </c>
      <c r="B9664" s="3" t="s">
        <v>57</v>
      </c>
      <c r="C9664" s="4" t="str">
        <f t="shared" si="863"/>
        <v>Vĩnh Long</v>
      </c>
      <c r="D9664" s="3" t="s">
        <v>679</v>
      </c>
      <c r="E9664" s="4" t="str">
        <f t="shared" si="864"/>
        <v>Huyện  Vũng Liêm</v>
      </c>
      <c r="F9664" s="3" t="s">
        <v>10423</v>
      </c>
      <c r="G9664" s="4" t="str">
        <f>HYPERLINK("https://diaocthongthai.com/xa-quoi-thien-vung-liem/","Xã Quới Thiện")</f>
        <v>Xã Quới Thiện</v>
      </c>
    </row>
    <row r="9665" spans="1:7" x14ac:dyDescent="0.25">
      <c r="A9665" s="2">
        <v>9664</v>
      </c>
      <c r="B9665" s="3" t="s">
        <v>57</v>
      </c>
      <c r="C9665" s="4" t="str">
        <f t="shared" si="863"/>
        <v>Vĩnh Long</v>
      </c>
      <c r="D9665" s="3" t="s">
        <v>679</v>
      </c>
      <c r="E9665" s="4" t="str">
        <f t="shared" si="864"/>
        <v>Huyện  Vũng Liêm</v>
      </c>
      <c r="F9665" s="3" t="s">
        <v>10424</v>
      </c>
      <c r="G9665" s="4" t="str">
        <f>HYPERLINK("https://diaocthongthai.com/xa-quoi-an-vung-liem/","Xã Quới An")</f>
        <v>Xã Quới An</v>
      </c>
    </row>
    <row r="9666" spans="1:7" x14ac:dyDescent="0.25">
      <c r="A9666" s="2">
        <v>9665</v>
      </c>
      <c r="B9666" s="3" t="s">
        <v>57</v>
      </c>
      <c r="C9666" s="4" t="str">
        <f t="shared" si="863"/>
        <v>Vĩnh Long</v>
      </c>
      <c r="D9666" s="3" t="s">
        <v>679</v>
      </c>
      <c r="E9666" s="4" t="str">
        <f t="shared" si="864"/>
        <v>Huyện  Vũng Liêm</v>
      </c>
      <c r="F9666" s="3" t="s">
        <v>10425</v>
      </c>
      <c r="G9666" s="4" t="str">
        <f>HYPERLINK("https://diaocthongthai.com/xa-trung-chanh-vung-liem/","Xã Trung Chánh")</f>
        <v>Xã Trung Chánh</v>
      </c>
    </row>
    <row r="9667" spans="1:7" x14ac:dyDescent="0.25">
      <c r="A9667" s="2">
        <v>9666</v>
      </c>
      <c r="B9667" s="3" t="s">
        <v>57</v>
      </c>
      <c r="C9667" s="4" t="str">
        <f t="shared" si="863"/>
        <v>Vĩnh Long</v>
      </c>
      <c r="D9667" s="3" t="s">
        <v>679</v>
      </c>
      <c r="E9667" s="4" t="str">
        <f t="shared" si="864"/>
        <v>Huyện  Vũng Liêm</v>
      </c>
      <c r="F9667" s="3" t="s">
        <v>10426</v>
      </c>
      <c r="G9667" s="4" t="str">
        <f>HYPERLINK("https://diaocthongthai.com/xa-tan-an-luong-vung-liem/","Xã Tân An Luông")</f>
        <v>Xã Tân An Luông</v>
      </c>
    </row>
    <row r="9668" spans="1:7" x14ac:dyDescent="0.25">
      <c r="A9668" s="2">
        <v>9667</v>
      </c>
      <c r="B9668" s="3" t="s">
        <v>57</v>
      </c>
      <c r="C9668" s="4" t="str">
        <f t="shared" si="863"/>
        <v>Vĩnh Long</v>
      </c>
      <c r="D9668" s="3" t="s">
        <v>679</v>
      </c>
      <c r="E9668" s="4" t="str">
        <f t="shared" si="864"/>
        <v>Huyện  Vũng Liêm</v>
      </c>
      <c r="F9668" s="3" t="s">
        <v>10427</v>
      </c>
      <c r="G9668" s="4" t="str">
        <f>HYPERLINK("https://diaocthongthai.com/xa-thanh-binh-vung-liem/","Xã Thanh Bình")</f>
        <v>Xã Thanh Bình</v>
      </c>
    </row>
    <row r="9669" spans="1:7" x14ac:dyDescent="0.25">
      <c r="A9669" s="2">
        <v>9668</v>
      </c>
      <c r="B9669" s="3" t="s">
        <v>57</v>
      </c>
      <c r="C9669" s="4" t="str">
        <f t="shared" si="863"/>
        <v>Vĩnh Long</v>
      </c>
      <c r="D9669" s="3" t="s">
        <v>679</v>
      </c>
      <c r="E9669" s="4" t="str">
        <f t="shared" si="864"/>
        <v>Huyện  Vũng Liêm</v>
      </c>
      <c r="F9669" s="3" t="s">
        <v>10428</v>
      </c>
      <c r="G9669" s="4" t="str">
        <f>HYPERLINK("https://diaocthongthai.com/xa-trung-thanh-tay-vung-liem/","Xã Trung Thành Tây")</f>
        <v>Xã Trung Thành Tây</v>
      </c>
    </row>
    <row r="9670" spans="1:7" x14ac:dyDescent="0.25">
      <c r="A9670" s="2">
        <v>9669</v>
      </c>
      <c r="B9670" s="3" t="s">
        <v>57</v>
      </c>
      <c r="C9670" s="4" t="str">
        <f t="shared" si="863"/>
        <v>Vĩnh Long</v>
      </c>
      <c r="D9670" s="3" t="s">
        <v>679</v>
      </c>
      <c r="E9670" s="4" t="str">
        <f t="shared" si="864"/>
        <v>Huyện  Vũng Liêm</v>
      </c>
      <c r="F9670" s="3" t="s">
        <v>10429</v>
      </c>
      <c r="G9670" s="4" t="str">
        <f>HYPERLINK("https://diaocthongthai.com/xa-trung-hiep-vung-liem/","Xã Trung Hiệp")</f>
        <v>Xã Trung Hiệp</v>
      </c>
    </row>
    <row r="9671" spans="1:7" x14ac:dyDescent="0.25">
      <c r="A9671" s="2">
        <v>9670</v>
      </c>
      <c r="B9671" s="3" t="s">
        <v>57</v>
      </c>
      <c r="C9671" s="4" t="str">
        <f t="shared" si="863"/>
        <v>Vĩnh Long</v>
      </c>
      <c r="D9671" s="3" t="s">
        <v>679</v>
      </c>
      <c r="E9671" s="4" t="str">
        <f t="shared" si="864"/>
        <v>Huyện  Vũng Liêm</v>
      </c>
      <c r="F9671" s="3" t="s">
        <v>10430</v>
      </c>
      <c r="G9671" s="4" t="str">
        <f>HYPERLINK("https://diaocthongthai.com/xa-hieu-phung-vung-liem/","Xã Hiếu Phụng")</f>
        <v>Xã Hiếu Phụng</v>
      </c>
    </row>
    <row r="9672" spans="1:7" x14ac:dyDescent="0.25">
      <c r="A9672" s="2">
        <v>9671</v>
      </c>
      <c r="B9672" s="3" t="s">
        <v>57</v>
      </c>
      <c r="C9672" s="4" t="str">
        <f t="shared" si="863"/>
        <v>Vĩnh Long</v>
      </c>
      <c r="D9672" s="3" t="s">
        <v>679</v>
      </c>
      <c r="E9672" s="4" t="str">
        <f t="shared" si="864"/>
        <v>Huyện  Vũng Liêm</v>
      </c>
      <c r="F9672" s="3" t="s">
        <v>10431</v>
      </c>
      <c r="G9672" s="4" t="str">
        <f>HYPERLINK("https://diaocthongthai.com/xa-trung-thanh-dong-vung-liem/","Xã Trung Thành Đông")</f>
        <v>Xã Trung Thành Đông</v>
      </c>
    </row>
    <row r="9673" spans="1:7" x14ac:dyDescent="0.25">
      <c r="A9673" s="2">
        <v>9672</v>
      </c>
      <c r="B9673" s="3" t="s">
        <v>57</v>
      </c>
      <c r="C9673" s="4" t="str">
        <f t="shared" si="863"/>
        <v>Vĩnh Long</v>
      </c>
      <c r="D9673" s="3" t="s">
        <v>679</v>
      </c>
      <c r="E9673" s="4" t="str">
        <f t="shared" si="864"/>
        <v>Huyện  Vũng Liêm</v>
      </c>
      <c r="F9673" s="3" t="s">
        <v>10432</v>
      </c>
      <c r="G9673" s="4" t="str">
        <f>HYPERLINK("https://diaocthongthai.com/xa-trung-thanh-vung-liem/","Xã Trung Thành")</f>
        <v>Xã Trung Thành</v>
      </c>
    </row>
    <row r="9674" spans="1:7" x14ac:dyDescent="0.25">
      <c r="A9674" s="2">
        <v>9673</v>
      </c>
      <c r="B9674" s="3" t="s">
        <v>57</v>
      </c>
      <c r="C9674" s="4" t="str">
        <f t="shared" si="863"/>
        <v>Vĩnh Long</v>
      </c>
      <c r="D9674" s="3" t="s">
        <v>679</v>
      </c>
      <c r="E9674" s="4" t="str">
        <f t="shared" si="864"/>
        <v>Huyện  Vũng Liêm</v>
      </c>
      <c r="F9674" s="3" t="s">
        <v>10433</v>
      </c>
      <c r="G9674" s="4" t="str">
        <f>HYPERLINK("https://diaocthongthai.com/xa-trung-hieu-vung-liem/","Xã Trung Hiếu")</f>
        <v>Xã Trung Hiếu</v>
      </c>
    </row>
    <row r="9675" spans="1:7" x14ac:dyDescent="0.25">
      <c r="A9675" s="2">
        <v>9674</v>
      </c>
      <c r="B9675" s="3" t="s">
        <v>57</v>
      </c>
      <c r="C9675" s="4" t="str">
        <f t="shared" si="863"/>
        <v>Vĩnh Long</v>
      </c>
      <c r="D9675" s="3" t="s">
        <v>679</v>
      </c>
      <c r="E9675" s="4" t="str">
        <f t="shared" si="864"/>
        <v>Huyện  Vũng Liêm</v>
      </c>
      <c r="F9675" s="3" t="s">
        <v>10434</v>
      </c>
      <c r="G9675" s="4" t="str">
        <f>HYPERLINK("https://diaocthongthai.com/xa-trung-ngai-vung-liem/","Xã Trung Ngãi")</f>
        <v>Xã Trung Ngãi</v>
      </c>
    </row>
    <row r="9676" spans="1:7" x14ac:dyDescent="0.25">
      <c r="A9676" s="2">
        <v>9675</v>
      </c>
      <c r="B9676" s="3" t="s">
        <v>57</v>
      </c>
      <c r="C9676" s="4" t="str">
        <f t="shared" si="863"/>
        <v>Vĩnh Long</v>
      </c>
      <c r="D9676" s="3" t="s">
        <v>679</v>
      </c>
      <c r="E9676" s="4" t="str">
        <f t="shared" si="864"/>
        <v>Huyện  Vũng Liêm</v>
      </c>
      <c r="F9676" s="3" t="s">
        <v>10435</v>
      </c>
      <c r="G9676" s="4" t="str">
        <f>HYPERLINK("https://diaocthongthai.com/xa-hieu-thuan-vung-liem/","Xã Hiếu Thuận")</f>
        <v>Xã Hiếu Thuận</v>
      </c>
    </row>
    <row r="9677" spans="1:7" x14ac:dyDescent="0.25">
      <c r="A9677" s="2">
        <v>9676</v>
      </c>
      <c r="B9677" s="3" t="s">
        <v>57</v>
      </c>
      <c r="C9677" s="4" t="str">
        <f t="shared" si="863"/>
        <v>Vĩnh Long</v>
      </c>
      <c r="D9677" s="3" t="s">
        <v>679</v>
      </c>
      <c r="E9677" s="4" t="str">
        <f t="shared" si="864"/>
        <v>Huyện  Vũng Liêm</v>
      </c>
      <c r="F9677" s="3" t="s">
        <v>10436</v>
      </c>
      <c r="G9677" s="4" t="str">
        <f>HYPERLINK("https://diaocthongthai.com/xa-trung-nghia-vung-liem/","Xã Trung Nghĩa")</f>
        <v>Xã Trung Nghĩa</v>
      </c>
    </row>
    <row r="9678" spans="1:7" x14ac:dyDescent="0.25">
      <c r="A9678" s="2">
        <v>9677</v>
      </c>
      <c r="B9678" s="3" t="s">
        <v>57</v>
      </c>
      <c r="C9678" s="4" t="str">
        <f t="shared" si="863"/>
        <v>Vĩnh Long</v>
      </c>
      <c r="D9678" s="3" t="s">
        <v>679</v>
      </c>
      <c r="E9678" s="4" t="str">
        <f t="shared" si="864"/>
        <v>Huyện  Vũng Liêm</v>
      </c>
      <c r="F9678" s="3" t="s">
        <v>10437</v>
      </c>
      <c r="G9678" s="4" t="str">
        <f>HYPERLINK("https://diaocthongthai.com/xa-trung-an-vung-liem/","Xã Trung An")</f>
        <v>Xã Trung An</v>
      </c>
    </row>
    <row r="9679" spans="1:7" x14ac:dyDescent="0.25">
      <c r="A9679" s="2">
        <v>9678</v>
      </c>
      <c r="B9679" s="3" t="s">
        <v>57</v>
      </c>
      <c r="C9679" s="4" t="str">
        <f t="shared" si="863"/>
        <v>Vĩnh Long</v>
      </c>
      <c r="D9679" s="3" t="s">
        <v>679</v>
      </c>
      <c r="E9679" s="4" t="str">
        <f t="shared" si="864"/>
        <v>Huyện  Vũng Liêm</v>
      </c>
      <c r="F9679" s="3" t="s">
        <v>10438</v>
      </c>
      <c r="G9679" s="4" t="str">
        <f>HYPERLINK("https://diaocthongthai.com/xa-hieu-nhon-vung-liem/","Xã Hiếu Nhơn")</f>
        <v>Xã Hiếu Nhơn</v>
      </c>
    </row>
    <row r="9680" spans="1:7" x14ac:dyDescent="0.25">
      <c r="A9680" s="2">
        <v>9679</v>
      </c>
      <c r="B9680" s="3" t="s">
        <v>57</v>
      </c>
      <c r="C9680" s="4" t="str">
        <f t="shared" si="863"/>
        <v>Vĩnh Long</v>
      </c>
      <c r="D9680" s="3" t="s">
        <v>679</v>
      </c>
      <c r="E9680" s="4" t="str">
        <f t="shared" si="864"/>
        <v>Huyện  Vũng Liêm</v>
      </c>
      <c r="F9680" s="3" t="s">
        <v>10439</v>
      </c>
      <c r="G9680" s="4" t="str">
        <f>HYPERLINK("https://diaocthongthai.com/xa-hieu-thanh-vung-liem/","Xã Hiếu Thành")</f>
        <v>Xã Hiếu Thành</v>
      </c>
    </row>
    <row r="9681" spans="1:7" x14ac:dyDescent="0.25">
      <c r="A9681" s="2">
        <v>9680</v>
      </c>
      <c r="B9681" s="3" t="s">
        <v>57</v>
      </c>
      <c r="C9681" s="4" t="str">
        <f t="shared" si="863"/>
        <v>Vĩnh Long</v>
      </c>
      <c r="D9681" s="3" t="s">
        <v>679</v>
      </c>
      <c r="E9681" s="4" t="str">
        <f t="shared" si="864"/>
        <v>Huyện  Vũng Liêm</v>
      </c>
      <c r="F9681" s="3" t="s">
        <v>10440</v>
      </c>
      <c r="G9681" s="4" t="str">
        <f>HYPERLINK("https://diaocthongthai.com/xa-hieu-nghia-vung-liem/","Xã Hiếu Nghĩa")</f>
        <v>Xã Hiếu Nghĩa</v>
      </c>
    </row>
    <row r="9682" spans="1:7" x14ac:dyDescent="0.25">
      <c r="A9682" s="2">
        <v>9681</v>
      </c>
      <c r="B9682" s="3" t="s">
        <v>57</v>
      </c>
      <c r="C9682" s="4" t="str">
        <f t="shared" si="863"/>
        <v>Vĩnh Long</v>
      </c>
      <c r="D9682" s="3" t="s">
        <v>680</v>
      </c>
      <c r="E9682" s="4" t="str">
        <f t="shared" ref="E9682:E9698" si="865">HYPERLINK("https://diaocthongthai.com/ban-do-huyen-tam-binh-vinh-long/","Huyện Tam Bình")</f>
        <v>Huyện Tam Bình</v>
      </c>
      <c r="F9682" s="3" t="s">
        <v>10441</v>
      </c>
      <c r="G9682" s="4" t="str">
        <f>HYPERLINK("https://diaocthongthai.com/thi-tran-tam-binh-tam-binh/","Thị trấn Tam Bình")</f>
        <v>Thị trấn Tam Bình</v>
      </c>
    </row>
    <row r="9683" spans="1:7" x14ac:dyDescent="0.25">
      <c r="A9683" s="2">
        <v>9682</v>
      </c>
      <c r="B9683" s="3" t="s">
        <v>57</v>
      </c>
      <c r="C9683" s="4" t="str">
        <f t="shared" si="863"/>
        <v>Vĩnh Long</v>
      </c>
      <c r="D9683" s="3" t="s">
        <v>680</v>
      </c>
      <c r="E9683" s="4" t="str">
        <f t="shared" si="865"/>
        <v>Huyện Tam Bình</v>
      </c>
      <c r="F9683" s="3" t="s">
        <v>10442</v>
      </c>
      <c r="G9683" s="4" t="str">
        <f>HYPERLINK("https://diaocthongthai.com/xa-tan-loc-tam-binh/","Xã Tân Lộc")</f>
        <v>Xã Tân Lộc</v>
      </c>
    </row>
    <row r="9684" spans="1:7" x14ac:dyDescent="0.25">
      <c r="A9684" s="2">
        <v>9683</v>
      </c>
      <c r="B9684" s="3" t="s">
        <v>57</v>
      </c>
      <c r="C9684" s="4" t="str">
        <f t="shared" si="863"/>
        <v>Vĩnh Long</v>
      </c>
      <c r="D9684" s="3" t="s">
        <v>680</v>
      </c>
      <c r="E9684" s="4" t="str">
        <f t="shared" si="865"/>
        <v>Huyện Tam Bình</v>
      </c>
      <c r="F9684" s="3" t="s">
        <v>10443</v>
      </c>
      <c r="G9684" s="4" t="str">
        <f>HYPERLINK("https://diaocthongthai.com/xa-phu-thinh-tam-binh/","Xã Phú Thịnh")</f>
        <v>Xã Phú Thịnh</v>
      </c>
    </row>
    <row r="9685" spans="1:7" x14ac:dyDescent="0.25">
      <c r="A9685" s="2">
        <v>9684</v>
      </c>
      <c r="B9685" s="3" t="s">
        <v>57</v>
      </c>
      <c r="C9685" s="4" t="str">
        <f t="shared" si="863"/>
        <v>Vĩnh Long</v>
      </c>
      <c r="D9685" s="3" t="s">
        <v>680</v>
      </c>
      <c r="E9685" s="4" t="str">
        <f t="shared" si="865"/>
        <v>Huyện Tam Bình</v>
      </c>
      <c r="F9685" s="3" t="s">
        <v>10444</v>
      </c>
      <c r="G9685" s="4" t="str">
        <f>HYPERLINK("https://diaocthongthai.com/xa-hau-loc-tam-binh/","Xã Hậu Lộc")</f>
        <v>Xã Hậu Lộc</v>
      </c>
    </row>
    <row r="9686" spans="1:7" x14ac:dyDescent="0.25">
      <c r="A9686" s="2">
        <v>9685</v>
      </c>
      <c r="B9686" s="3" t="s">
        <v>57</v>
      </c>
      <c r="C9686" s="4" t="str">
        <f t="shared" si="863"/>
        <v>Vĩnh Long</v>
      </c>
      <c r="D9686" s="3" t="s">
        <v>680</v>
      </c>
      <c r="E9686" s="4" t="str">
        <f t="shared" si="865"/>
        <v>Huyện Tam Bình</v>
      </c>
      <c r="F9686" s="3" t="s">
        <v>10445</v>
      </c>
      <c r="G9686" s="4" t="str">
        <f>HYPERLINK("https://diaocthongthai.com/xa-hoa-thanh-tam-binh/","Xã Hòa Thạnh")</f>
        <v>Xã Hòa Thạnh</v>
      </c>
    </row>
    <row r="9687" spans="1:7" x14ac:dyDescent="0.25">
      <c r="A9687" s="2">
        <v>9686</v>
      </c>
      <c r="B9687" s="3" t="s">
        <v>57</v>
      </c>
      <c r="C9687" s="4" t="str">
        <f t="shared" si="863"/>
        <v>Vĩnh Long</v>
      </c>
      <c r="D9687" s="3" t="s">
        <v>680</v>
      </c>
      <c r="E9687" s="4" t="str">
        <f t="shared" si="865"/>
        <v>Huyện Tam Bình</v>
      </c>
      <c r="F9687" s="3" t="s">
        <v>10446</v>
      </c>
      <c r="G9687" s="4" t="str">
        <f>HYPERLINK("https://diaocthongthai.com/xa-hoa-loc-tam-binh/","Xã Hoà Lộc")</f>
        <v>Xã Hoà Lộc</v>
      </c>
    </row>
    <row r="9688" spans="1:7" x14ac:dyDescent="0.25">
      <c r="A9688" s="2">
        <v>9687</v>
      </c>
      <c r="B9688" s="3" t="s">
        <v>57</v>
      </c>
      <c r="C9688" s="4" t="str">
        <f t="shared" ref="C9688:C9719" si="866">HYPERLINK("https://diaocthongthai.com/ban-do-vinh-long/","Vĩnh Long")</f>
        <v>Vĩnh Long</v>
      </c>
      <c r="D9688" s="3" t="s">
        <v>680</v>
      </c>
      <c r="E9688" s="4" t="str">
        <f t="shared" si="865"/>
        <v>Huyện Tam Bình</v>
      </c>
      <c r="F9688" s="3" t="s">
        <v>10447</v>
      </c>
      <c r="G9688" s="4" t="str">
        <f>HYPERLINK("https://diaocthongthai.com/xa-phu-loc-tam-binh/","Xã Phú Lộc")</f>
        <v>Xã Phú Lộc</v>
      </c>
    </row>
    <row r="9689" spans="1:7" x14ac:dyDescent="0.25">
      <c r="A9689" s="2">
        <v>9688</v>
      </c>
      <c r="B9689" s="3" t="s">
        <v>57</v>
      </c>
      <c r="C9689" s="4" t="str">
        <f t="shared" si="866"/>
        <v>Vĩnh Long</v>
      </c>
      <c r="D9689" s="3" t="s">
        <v>680</v>
      </c>
      <c r="E9689" s="4" t="str">
        <f t="shared" si="865"/>
        <v>Huyện Tam Bình</v>
      </c>
      <c r="F9689" s="3" t="s">
        <v>10448</v>
      </c>
      <c r="G9689" s="4" t="str">
        <f>HYPERLINK("https://diaocthongthai.com/xa-song-phu-tam-binh/","Xã Song Phú")</f>
        <v>Xã Song Phú</v>
      </c>
    </row>
    <row r="9690" spans="1:7" x14ac:dyDescent="0.25">
      <c r="A9690" s="2">
        <v>9689</v>
      </c>
      <c r="B9690" s="3" t="s">
        <v>57</v>
      </c>
      <c r="C9690" s="4" t="str">
        <f t="shared" si="866"/>
        <v>Vĩnh Long</v>
      </c>
      <c r="D9690" s="3" t="s">
        <v>680</v>
      </c>
      <c r="E9690" s="4" t="str">
        <f t="shared" si="865"/>
        <v>Huyện Tam Bình</v>
      </c>
      <c r="F9690" s="3" t="s">
        <v>10449</v>
      </c>
      <c r="G9690" s="4" t="str">
        <f>HYPERLINK("https://diaocthongthai.com/xa-hoa-hiep-tam-binh/","Xã Hòa Hiệp")</f>
        <v>Xã Hòa Hiệp</v>
      </c>
    </row>
    <row r="9691" spans="1:7" x14ac:dyDescent="0.25">
      <c r="A9691" s="2">
        <v>9690</v>
      </c>
      <c r="B9691" s="3" t="s">
        <v>57</v>
      </c>
      <c r="C9691" s="4" t="str">
        <f t="shared" si="866"/>
        <v>Vĩnh Long</v>
      </c>
      <c r="D9691" s="3" t="s">
        <v>680</v>
      </c>
      <c r="E9691" s="4" t="str">
        <f t="shared" si="865"/>
        <v>Huyện Tam Bình</v>
      </c>
      <c r="F9691" s="3" t="s">
        <v>10450</v>
      </c>
      <c r="G9691" s="4" t="str">
        <f>HYPERLINK("https://diaocthongthai.com/xa-my-loc-tam-binh/","Xã Mỹ Lộc")</f>
        <v>Xã Mỹ Lộc</v>
      </c>
    </row>
    <row r="9692" spans="1:7" x14ac:dyDescent="0.25">
      <c r="A9692" s="2">
        <v>9691</v>
      </c>
      <c r="B9692" s="3" t="s">
        <v>57</v>
      </c>
      <c r="C9692" s="4" t="str">
        <f t="shared" si="866"/>
        <v>Vĩnh Long</v>
      </c>
      <c r="D9692" s="3" t="s">
        <v>680</v>
      </c>
      <c r="E9692" s="4" t="str">
        <f t="shared" si="865"/>
        <v>Huyện Tam Bình</v>
      </c>
      <c r="F9692" s="3" t="s">
        <v>10451</v>
      </c>
      <c r="G9692" s="4" t="str">
        <f>HYPERLINK("https://diaocthongthai.com/xa-tan-phu-tam-binh/","Xã Tân Phú")</f>
        <v>Xã Tân Phú</v>
      </c>
    </row>
    <row r="9693" spans="1:7" x14ac:dyDescent="0.25">
      <c r="A9693" s="2">
        <v>9692</v>
      </c>
      <c r="B9693" s="3" t="s">
        <v>57</v>
      </c>
      <c r="C9693" s="4" t="str">
        <f t="shared" si="866"/>
        <v>Vĩnh Long</v>
      </c>
      <c r="D9693" s="3" t="s">
        <v>680</v>
      </c>
      <c r="E9693" s="4" t="str">
        <f t="shared" si="865"/>
        <v>Huyện Tam Bình</v>
      </c>
      <c r="F9693" s="3" t="s">
        <v>10452</v>
      </c>
      <c r="G9693" s="4" t="str">
        <f>HYPERLINK("https://diaocthongthai.com/xa-long-phu-tam-binh/","Xã Long Phú")</f>
        <v>Xã Long Phú</v>
      </c>
    </row>
    <row r="9694" spans="1:7" x14ac:dyDescent="0.25">
      <c r="A9694" s="2">
        <v>9693</v>
      </c>
      <c r="B9694" s="3" t="s">
        <v>57</v>
      </c>
      <c r="C9694" s="4" t="str">
        <f t="shared" si="866"/>
        <v>Vĩnh Long</v>
      </c>
      <c r="D9694" s="3" t="s">
        <v>680</v>
      </c>
      <c r="E9694" s="4" t="str">
        <f t="shared" si="865"/>
        <v>Huyện Tam Bình</v>
      </c>
      <c r="F9694" s="3" t="s">
        <v>10453</v>
      </c>
      <c r="G9694" s="4" t="str">
        <f>HYPERLINK("https://diaocthongthai.com/xa-my-thanh-trung-tam-binh/","Xã Mỹ Thạnh Trung")</f>
        <v>Xã Mỹ Thạnh Trung</v>
      </c>
    </row>
    <row r="9695" spans="1:7" x14ac:dyDescent="0.25">
      <c r="A9695" s="2">
        <v>9694</v>
      </c>
      <c r="B9695" s="3" t="s">
        <v>57</v>
      </c>
      <c r="C9695" s="4" t="str">
        <f t="shared" si="866"/>
        <v>Vĩnh Long</v>
      </c>
      <c r="D9695" s="3" t="s">
        <v>680</v>
      </c>
      <c r="E9695" s="4" t="str">
        <f t="shared" si="865"/>
        <v>Huyện Tam Bình</v>
      </c>
      <c r="F9695" s="3" t="s">
        <v>10454</v>
      </c>
      <c r="G9695" s="4" t="str">
        <f>HYPERLINK("https://diaocthongthai.com/xa-tuong-loc-tam-binh/","Xã Tường Lộc")</f>
        <v>Xã Tường Lộc</v>
      </c>
    </row>
    <row r="9696" spans="1:7" x14ac:dyDescent="0.25">
      <c r="A9696" s="2">
        <v>9695</v>
      </c>
      <c r="B9696" s="3" t="s">
        <v>57</v>
      </c>
      <c r="C9696" s="4" t="str">
        <f t="shared" si="866"/>
        <v>Vĩnh Long</v>
      </c>
      <c r="D9696" s="3" t="s">
        <v>680</v>
      </c>
      <c r="E9696" s="4" t="str">
        <f t="shared" si="865"/>
        <v>Huyện Tam Bình</v>
      </c>
      <c r="F9696" s="3" t="s">
        <v>10455</v>
      </c>
      <c r="G9696" s="4" t="str">
        <f>HYPERLINK("https://diaocthongthai.com/xa-loan-my-tam-binh/","Xã Loan Mỹ")</f>
        <v>Xã Loan Mỹ</v>
      </c>
    </row>
    <row r="9697" spans="1:7" x14ac:dyDescent="0.25">
      <c r="A9697" s="2">
        <v>9696</v>
      </c>
      <c r="B9697" s="3" t="s">
        <v>57</v>
      </c>
      <c r="C9697" s="4" t="str">
        <f t="shared" si="866"/>
        <v>Vĩnh Long</v>
      </c>
      <c r="D9697" s="3" t="s">
        <v>680</v>
      </c>
      <c r="E9697" s="4" t="str">
        <f t="shared" si="865"/>
        <v>Huyện Tam Bình</v>
      </c>
      <c r="F9697" s="3" t="s">
        <v>10456</v>
      </c>
      <c r="G9697" s="4" t="str">
        <f>HYPERLINK("https://diaocthongthai.com/xa-ngai-tu-tam-binh/","Xã Ngãi Tứ")</f>
        <v>Xã Ngãi Tứ</v>
      </c>
    </row>
    <row r="9698" spans="1:7" x14ac:dyDescent="0.25">
      <c r="A9698" s="2">
        <v>9697</v>
      </c>
      <c r="B9698" s="3" t="s">
        <v>57</v>
      </c>
      <c r="C9698" s="4" t="str">
        <f t="shared" si="866"/>
        <v>Vĩnh Long</v>
      </c>
      <c r="D9698" s="3" t="s">
        <v>680</v>
      </c>
      <c r="E9698" s="4" t="str">
        <f t="shared" si="865"/>
        <v>Huyện Tam Bình</v>
      </c>
      <c r="F9698" s="3" t="s">
        <v>10457</v>
      </c>
      <c r="G9698" s="4" t="str">
        <f>HYPERLINK("https://diaocthongthai.com/xa-binh-ninh-tam-binh/","Xã Bình Ninh")</f>
        <v>Xã Bình Ninh</v>
      </c>
    </row>
    <row r="9699" spans="1:7" x14ac:dyDescent="0.25">
      <c r="A9699" s="2">
        <v>9698</v>
      </c>
      <c r="B9699" s="3" t="s">
        <v>57</v>
      </c>
      <c r="C9699" s="4" t="str">
        <f t="shared" si="866"/>
        <v>Vĩnh Long</v>
      </c>
      <c r="D9699" s="3" t="s">
        <v>681</v>
      </c>
      <c r="E9699" s="4" t="str">
        <f t="shared" ref="E9699:E9706" si="867">HYPERLINK("https://diaocthongthai.com/ban-do-thi-xa-binh-minh-vinh-long/","Thị xã Bình Minh")</f>
        <v>Thị xã Bình Minh</v>
      </c>
      <c r="F9699" s="3" t="s">
        <v>10458</v>
      </c>
      <c r="G9699" s="4" t="str">
        <f>HYPERLINK("https://diaocthongthai.com/phuong-cai-von-binh-minh/","Phường Cái Vồn")</f>
        <v>Phường Cái Vồn</v>
      </c>
    </row>
    <row r="9700" spans="1:7" x14ac:dyDescent="0.25">
      <c r="A9700" s="2">
        <v>9699</v>
      </c>
      <c r="B9700" s="3" t="s">
        <v>57</v>
      </c>
      <c r="C9700" s="4" t="str">
        <f t="shared" si="866"/>
        <v>Vĩnh Long</v>
      </c>
      <c r="D9700" s="3" t="s">
        <v>681</v>
      </c>
      <c r="E9700" s="4" t="str">
        <f t="shared" si="867"/>
        <v>Thị xã Bình Minh</v>
      </c>
      <c r="F9700" s="3" t="s">
        <v>10459</v>
      </c>
      <c r="G9700" s="4" t="str">
        <f>HYPERLINK("https://diaocthongthai.com/phuong-thanh-phuoc-binh-minh/","Phường Thành Phước")</f>
        <v>Phường Thành Phước</v>
      </c>
    </row>
    <row r="9701" spans="1:7" x14ac:dyDescent="0.25">
      <c r="A9701" s="2">
        <v>9700</v>
      </c>
      <c r="B9701" s="3" t="s">
        <v>57</v>
      </c>
      <c r="C9701" s="4" t="str">
        <f t="shared" si="866"/>
        <v>Vĩnh Long</v>
      </c>
      <c r="D9701" s="3" t="s">
        <v>681</v>
      </c>
      <c r="E9701" s="4" t="str">
        <f t="shared" si="867"/>
        <v>Thị xã Bình Minh</v>
      </c>
      <c r="F9701" s="3" t="s">
        <v>10460</v>
      </c>
      <c r="G9701" s="4" t="str">
        <f>HYPERLINK("https://diaocthongthai.com/xa-thuan-an-binh-minh/","Xã Thuận An")</f>
        <v>Xã Thuận An</v>
      </c>
    </row>
    <row r="9702" spans="1:7" x14ac:dyDescent="0.25">
      <c r="A9702" s="2">
        <v>9701</v>
      </c>
      <c r="B9702" s="3" t="s">
        <v>57</v>
      </c>
      <c r="C9702" s="4" t="str">
        <f t="shared" si="866"/>
        <v>Vĩnh Long</v>
      </c>
      <c r="D9702" s="3" t="s">
        <v>681</v>
      </c>
      <c r="E9702" s="4" t="str">
        <f t="shared" si="867"/>
        <v>Thị xã Bình Minh</v>
      </c>
      <c r="F9702" s="3" t="s">
        <v>10461</v>
      </c>
      <c r="G9702" s="4" t="str">
        <f>HYPERLINK("https://diaocthongthai.com/xa-dong-thanh-2-binh-minh/","Xã Đông Thạnh")</f>
        <v>Xã Đông Thạnh</v>
      </c>
    </row>
    <row r="9703" spans="1:7" x14ac:dyDescent="0.25">
      <c r="A9703" s="2">
        <v>9702</v>
      </c>
      <c r="B9703" s="3" t="s">
        <v>57</v>
      </c>
      <c r="C9703" s="4" t="str">
        <f t="shared" si="866"/>
        <v>Vĩnh Long</v>
      </c>
      <c r="D9703" s="3" t="s">
        <v>681</v>
      </c>
      <c r="E9703" s="4" t="str">
        <f t="shared" si="867"/>
        <v>Thị xã Bình Minh</v>
      </c>
      <c r="F9703" s="3" t="s">
        <v>10462</v>
      </c>
      <c r="G9703" s="4" t="str">
        <f>HYPERLINK("https://diaocthongthai.com/xa-dong-binh-binh-minh/","Xã Đông Bình")</f>
        <v>Xã Đông Bình</v>
      </c>
    </row>
    <row r="9704" spans="1:7" x14ac:dyDescent="0.25">
      <c r="A9704" s="2">
        <v>9703</v>
      </c>
      <c r="B9704" s="3" t="s">
        <v>57</v>
      </c>
      <c r="C9704" s="4" t="str">
        <f t="shared" si="866"/>
        <v>Vĩnh Long</v>
      </c>
      <c r="D9704" s="3" t="s">
        <v>681</v>
      </c>
      <c r="E9704" s="4" t="str">
        <f t="shared" si="867"/>
        <v>Thị xã Bình Minh</v>
      </c>
      <c r="F9704" s="3" t="s">
        <v>10463</v>
      </c>
      <c r="G9704" s="4" t="str">
        <f>HYPERLINK("https://diaocthongthai.com/phuong-dong-thuan-binh-minh/","Phường Đông Thuận")</f>
        <v>Phường Đông Thuận</v>
      </c>
    </row>
    <row r="9705" spans="1:7" x14ac:dyDescent="0.25">
      <c r="A9705" s="2">
        <v>9704</v>
      </c>
      <c r="B9705" s="3" t="s">
        <v>57</v>
      </c>
      <c r="C9705" s="4" t="str">
        <f t="shared" si="866"/>
        <v>Vĩnh Long</v>
      </c>
      <c r="D9705" s="3" t="s">
        <v>681</v>
      </c>
      <c r="E9705" s="4" t="str">
        <f t="shared" si="867"/>
        <v>Thị xã Bình Minh</v>
      </c>
      <c r="F9705" s="3" t="s">
        <v>10464</v>
      </c>
      <c r="G9705" s="4" t="str">
        <f>HYPERLINK("https://diaocthongthai.com/xa-my-hoa-binh-minh/","Xã Mỹ Hòa")</f>
        <v>Xã Mỹ Hòa</v>
      </c>
    </row>
    <row r="9706" spans="1:7" x14ac:dyDescent="0.25">
      <c r="A9706" s="2">
        <v>9705</v>
      </c>
      <c r="B9706" s="3" t="s">
        <v>57</v>
      </c>
      <c r="C9706" s="4" t="str">
        <f t="shared" si="866"/>
        <v>Vĩnh Long</v>
      </c>
      <c r="D9706" s="3" t="s">
        <v>681</v>
      </c>
      <c r="E9706" s="4" t="str">
        <f t="shared" si="867"/>
        <v>Thị xã Bình Minh</v>
      </c>
      <c r="F9706" s="3" t="s">
        <v>10465</v>
      </c>
      <c r="G9706" s="4" t="str">
        <f>HYPERLINK("https://diaocthongthai.com/xa-dong-thanh-1-binh-minh/","Xã Đông Thành")</f>
        <v>Xã Đông Thành</v>
      </c>
    </row>
    <row r="9707" spans="1:7" x14ac:dyDescent="0.25">
      <c r="A9707" s="2">
        <v>9706</v>
      </c>
      <c r="B9707" s="3" t="s">
        <v>57</v>
      </c>
      <c r="C9707" s="4" t="str">
        <f t="shared" si="866"/>
        <v>Vĩnh Long</v>
      </c>
      <c r="D9707" s="3" t="s">
        <v>682</v>
      </c>
      <c r="E9707" s="4" t="str">
        <f t="shared" ref="E9707:E9720" si="868">HYPERLINK("https://diaocthongthai.com/ban-do-huyen-tra-on-vinh-long/","Huyện Trà Ôn")</f>
        <v>Huyện Trà Ôn</v>
      </c>
      <c r="F9707" s="3" t="s">
        <v>10466</v>
      </c>
      <c r="G9707" s="4" t="str">
        <f>HYPERLINK("https://diaocthongthai.com/thi-tran-tra-on-tra-on/","Thị trấn Trà Ôn")</f>
        <v>Thị trấn Trà Ôn</v>
      </c>
    </row>
    <row r="9708" spans="1:7" x14ac:dyDescent="0.25">
      <c r="A9708" s="2">
        <v>9707</v>
      </c>
      <c r="B9708" s="3" t="s">
        <v>57</v>
      </c>
      <c r="C9708" s="4" t="str">
        <f t="shared" si="866"/>
        <v>Vĩnh Long</v>
      </c>
      <c r="D9708" s="3" t="s">
        <v>682</v>
      </c>
      <c r="E9708" s="4" t="str">
        <f t="shared" si="868"/>
        <v>Huyện Trà Ôn</v>
      </c>
      <c r="F9708" s="3" t="s">
        <v>10467</v>
      </c>
      <c r="G9708" s="4" t="str">
        <f>HYPERLINK("https://diaocthongthai.com/xa-xuan-hiep-tra-on/","Xã Xuân Hiệp")</f>
        <v>Xã Xuân Hiệp</v>
      </c>
    </row>
    <row r="9709" spans="1:7" x14ac:dyDescent="0.25">
      <c r="A9709" s="2">
        <v>9708</v>
      </c>
      <c r="B9709" s="3" t="s">
        <v>57</v>
      </c>
      <c r="C9709" s="4" t="str">
        <f t="shared" si="866"/>
        <v>Vĩnh Long</v>
      </c>
      <c r="D9709" s="3" t="s">
        <v>682</v>
      </c>
      <c r="E9709" s="4" t="str">
        <f t="shared" si="868"/>
        <v>Huyện Trà Ôn</v>
      </c>
      <c r="F9709" s="3" t="s">
        <v>10468</v>
      </c>
      <c r="G9709" s="4" t="str">
        <f>HYPERLINK("https://diaocthongthai.com/xa-nhon-binh-tra-on/","Xã Nhơn Bình")</f>
        <v>Xã Nhơn Bình</v>
      </c>
    </row>
    <row r="9710" spans="1:7" x14ac:dyDescent="0.25">
      <c r="A9710" s="2">
        <v>9709</v>
      </c>
      <c r="B9710" s="3" t="s">
        <v>57</v>
      </c>
      <c r="C9710" s="4" t="str">
        <f t="shared" si="866"/>
        <v>Vĩnh Long</v>
      </c>
      <c r="D9710" s="3" t="s">
        <v>682</v>
      </c>
      <c r="E9710" s="4" t="str">
        <f t="shared" si="868"/>
        <v>Huyện Trà Ôn</v>
      </c>
      <c r="F9710" s="3" t="s">
        <v>10469</v>
      </c>
      <c r="G9710" s="4" t="str">
        <f>HYPERLINK("https://diaocthongthai.com/xa-hoa-binh-tra-on/","Xã Hòa Bình")</f>
        <v>Xã Hòa Bình</v>
      </c>
    </row>
    <row r="9711" spans="1:7" x14ac:dyDescent="0.25">
      <c r="A9711" s="2">
        <v>9710</v>
      </c>
      <c r="B9711" s="3" t="s">
        <v>57</v>
      </c>
      <c r="C9711" s="4" t="str">
        <f t="shared" si="866"/>
        <v>Vĩnh Long</v>
      </c>
      <c r="D9711" s="3" t="s">
        <v>682</v>
      </c>
      <c r="E9711" s="4" t="str">
        <f t="shared" si="868"/>
        <v>Huyện Trà Ôn</v>
      </c>
      <c r="F9711" s="3" t="s">
        <v>10470</v>
      </c>
      <c r="G9711" s="4" t="str">
        <f>HYPERLINK("https://diaocthongthai.com/xa-thoi-hoa-tra-on/","Xã Thới Hòa")</f>
        <v>Xã Thới Hòa</v>
      </c>
    </row>
    <row r="9712" spans="1:7" x14ac:dyDescent="0.25">
      <c r="A9712" s="2">
        <v>9711</v>
      </c>
      <c r="B9712" s="3" t="s">
        <v>57</v>
      </c>
      <c r="C9712" s="4" t="str">
        <f t="shared" si="866"/>
        <v>Vĩnh Long</v>
      </c>
      <c r="D9712" s="3" t="s">
        <v>682</v>
      </c>
      <c r="E9712" s="4" t="str">
        <f t="shared" si="868"/>
        <v>Huyện Trà Ôn</v>
      </c>
      <c r="F9712" s="3" t="s">
        <v>10471</v>
      </c>
      <c r="G9712" s="4" t="str">
        <f>HYPERLINK("https://diaocthongthai.com/xa-tra-con-tra-on/","Xã Trà Côn")</f>
        <v>Xã Trà Côn</v>
      </c>
    </row>
    <row r="9713" spans="1:7" x14ac:dyDescent="0.25">
      <c r="A9713" s="2">
        <v>9712</v>
      </c>
      <c r="B9713" s="3" t="s">
        <v>57</v>
      </c>
      <c r="C9713" s="4" t="str">
        <f t="shared" si="866"/>
        <v>Vĩnh Long</v>
      </c>
      <c r="D9713" s="3" t="s">
        <v>682</v>
      </c>
      <c r="E9713" s="4" t="str">
        <f t="shared" si="868"/>
        <v>Huyện Trà Ôn</v>
      </c>
      <c r="F9713" s="3" t="s">
        <v>10472</v>
      </c>
      <c r="G9713" s="4" t="str">
        <f>HYPERLINK("https://diaocthongthai.com/xa-tan-my-tra-on/","Xã Tân Mỹ")</f>
        <v>Xã Tân Mỹ</v>
      </c>
    </row>
    <row r="9714" spans="1:7" x14ac:dyDescent="0.25">
      <c r="A9714" s="2">
        <v>9713</v>
      </c>
      <c r="B9714" s="3" t="s">
        <v>57</v>
      </c>
      <c r="C9714" s="4" t="str">
        <f t="shared" si="866"/>
        <v>Vĩnh Long</v>
      </c>
      <c r="D9714" s="3" t="s">
        <v>682</v>
      </c>
      <c r="E9714" s="4" t="str">
        <f t="shared" si="868"/>
        <v>Huyện Trà Ôn</v>
      </c>
      <c r="F9714" s="3" t="s">
        <v>10473</v>
      </c>
      <c r="G9714" s="4" t="str">
        <f>HYPERLINK("https://diaocthongthai.com/xa-huu-thanh-tra-on/","Xã Hựu Thành")</f>
        <v>Xã Hựu Thành</v>
      </c>
    </row>
    <row r="9715" spans="1:7" x14ac:dyDescent="0.25">
      <c r="A9715" s="2">
        <v>9714</v>
      </c>
      <c r="B9715" s="3" t="s">
        <v>57</v>
      </c>
      <c r="C9715" s="4" t="str">
        <f t="shared" si="866"/>
        <v>Vĩnh Long</v>
      </c>
      <c r="D9715" s="3" t="s">
        <v>682</v>
      </c>
      <c r="E9715" s="4" t="str">
        <f t="shared" si="868"/>
        <v>Huyện Trà Ôn</v>
      </c>
      <c r="F9715" s="3" t="s">
        <v>10474</v>
      </c>
      <c r="G9715" s="4" t="str">
        <f>HYPERLINK("https://diaocthongthai.com/xa-vinh-xuan-tra-on/","Xã Vĩnh Xuân")</f>
        <v>Xã Vĩnh Xuân</v>
      </c>
    </row>
    <row r="9716" spans="1:7" x14ac:dyDescent="0.25">
      <c r="A9716" s="2">
        <v>9715</v>
      </c>
      <c r="B9716" s="3" t="s">
        <v>57</v>
      </c>
      <c r="C9716" s="4" t="str">
        <f t="shared" si="866"/>
        <v>Vĩnh Long</v>
      </c>
      <c r="D9716" s="3" t="s">
        <v>682</v>
      </c>
      <c r="E9716" s="4" t="str">
        <f t="shared" si="868"/>
        <v>Huyện Trà Ôn</v>
      </c>
      <c r="F9716" s="3" t="s">
        <v>10475</v>
      </c>
      <c r="G9716" s="4" t="str">
        <f>HYPERLINK("https://diaocthongthai.com/xa-thuan-thoi-tra-on/","Xã Thuận Thới")</f>
        <v>Xã Thuận Thới</v>
      </c>
    </row>
    <row r="9717" spans="1:7" x14ac:dyDescent="0.25">
      <c r="A9717" s="2">
        <v>9716</v>
      </c>
      <c r="B9717" s="3" t="s">
        <v>57</v>
      </c>
      <c r="C9717" s="4" t="str">
        <f t="shared" si="866"/>
        <v>Vĩnh Long</v>
      </c>
      <c r="D9717" s="3" t="s">
        <v>682</v>
      </c>
      <c r="E9717" s="4" t="str">
        <f t="shared" si="868"/>
        <v>Huyện Trà Ôn</v>
      </c>
      <c r="F9717" s="3" t="s">
        <v>10476</v>
      </c>
      <c r="G9717" s="4" t="str">
        <f>HYPERLINK("https://diaocthongthai.com/xa-phu-thanh-tra-on/","Xã Phú Thành")</f>
        <v>Xã Phú Thành</v>
      </c>
    </row>
    <row r="9718" spans="1:7" x14ac:dyDescent="0.25">
      <c r="A9718" s="2">
        <v>9717</v>
      </c>
      <c r="B9718" s="3" t="s">
        <v>57</v>
      </c>
      <c r="C9718" s="4" t="str">
        <f t="shared" si="866"/>
        <v>Vĩnh Long</v>
      </c>
      <c r="D9718" s="3" t="s">
        <v>682</v>
      </c>
      <c r="E9718" s="4" t="str">
        <f t="shared" si="868"/>
        <v>Huyện Trà Ôn</v>
      </c>
      <c r="F9718" s="3" t="s">
        <v>10477</v>
      </c>
      <c r="G9718" s="4" t="str">
        <f>HYPERLINK("https://diaocthongthai.com/xa-thien-my-tra-on/","Xã Thiện Mỹ")</f>
        <v>Xã Thiện Mỹ</v>
      </c>
    </row>
    <row r="9719" spans="1:7" x14ac:dyDescent="0.25">
      <c r="A9719" s="2">
        <v>9718</v>
      </c>
      <c r="B9719" s="3" t="s">
        <v>57</v>
      </c>
      <c r="C9719" s="4" t="str">
        <f t="shared" si="866"/>
        <v>Vĩnh Long</v>
      </c>
      <c r="D9719" s="3" t="s">
        <v>682</v>
      </c>
      <c r="E9719" s="4" t="str">
        <f t="shared" si="868"/>
        <v>Huyện Trà Ôn</v>
      </c>
      <c r="F9719" s="3" t="s">
        <v>10478</v>
      </c>
      <c r="G9719" s="4" t="str">
        <f>HYPERLINK("https://diaocthongthai.com/xa-luc-si-thanh-tra-on/","Xã Lục Sỹ Thành")</f>
        <v>Xã Lục Sỹ Thành</v>
      </c>
    </row>
    <row r="9720" spans="1:7" x14ac:dyDescent="0.25">
      <c r="A9720" s="2">
        <v>9719</v>
      </c>
      <c r="B9720" s="3" t="s">
        <v>57</v>
      </c>
      <c r="C9720" s="4" t="str">
        <f t="shared" ref="C9720:C9730" si="869">HYPERLINK("https://diaocthongthai.com/ban-do-vinh-long/","Vĩnh Long")</f>
        <v>Vĩnh Long</v>
      </c>
      <c r="D9720" s="3" t="s">
        <v>682</v>
      </c>
      <c r="E9720" s="4" t="str">
        <f t="shared" si="868"/>
        <v>Huyện Trà Ôn</v>
      </c>
      <c r="F9720" s="3" t="s">
        <v>10479</v>
      </c>
      <c r="G9720" s="4" t="str">
        <f>HYPERLINK("https://diaocthongthai.com/xa-tich-thien-tra-on/","Xã Tích Thiện")</f>
        <v>Xã Tích Thiện</v>
      </c>
    </row>
    <row r="9721" spans="1:7" x14ac:dyDescent="0.25">
      <c r="A9721" s="2">
        <v>9720</v>
      </c>
      <c r="B9721" s="3" t="s">
        <v>57</v>
      </c>
      <c r="C9721" s="4" t="str">
        <f t="shared" si="869"/>
        <v>Vĩnh Long</v>
      </c>
      <c r="D9721" s="3" t="s">
        <v>683</v>
      </c>
      <c r="E9721" s="4" t="str">
        <f t="shared" ref="E9721:E9730" si="870">HYPERLINK("https://diaocthongthai.com/ban-do-huyen-binh-tan-vinh-long/","Huyện Bình Tân")</f>
        <v>Huyện Bình Tân</v>
      </c>
      <c r="F9721" s="3" t="s">
        <v>10480</v>
      </c>
      <c r="G9721" s="4" t="str">
        <f>HYPERLINK("https://diaocthongthai.com/xa-tan-hung-binh-tan/","Xã Tân Hưng")</f>
        <v>Xã Tân Hưng</v>
      </c>
    </row>
    <row r="9722" spans="1:7" x14ac:dyDescent="0.25">
      <c r="A9722" s="2">
        <v>9721</v>
      </c>
      <c r="B9722" s="3" t="s">
        <v>57</v>
      </c>
      <c r="C9722" s="4" t="str">
        <f t="shared" si="869"/>
        <v>Vĩnh Long</v>
      </c>
      <c r="D9722" s="3" t="s">
        <v>683</v>
      </c>
      <c r="E9722" s="4" t="str">
        <f t="shared" si="870"/>
        <v>Huyện Bình Tân</v>
      </c>
      <c r="F9722" s="3" t="s">
        <v>10481</v>
      </c>
      <c r="G9722" s="4" t="str">
        <f>HYPERLINK("https://diaocthongthai.com/xa-tan-thanh-binh-tan/","Xã Tân Thành")</f>
        <v>Xã Tân Thành</v>
      </c>
    </row>
    <row r="9723" spans="1:7" x14ac:dyDescent="0.25">
      <c r="A9723" s="2">
        <v>9722</v>
      </c>
      <c r="B9723" s="3" t="s">
        <v>57</v>
      </c>
      <c r="C9723" s="4" t="str">
        <f t="shared" si="869"/>
        <v>Vĩnh Long</v>
      </c>
      <c r="D9723" s="3" t="s">
        <v>683</v>
      </c>
      <c r="E9723" s="4" t="str">
        <f t="shared" si="870"/>
        <v>Huyện Bình Tân</v>
      </c>
      <c r="F9723" s="3" t="s">
        <v>10482</v>
      </c>
      <c r="G9723" s="4" t="str">
        <f>HYPERLINK("https://diaocthongthai.com/xa-thanh-trung-binh-tan/","Xã Thành Trung")</f>
        <v>Xã Thành Trung</v>
      </c>
    </row>
    <row r="9724" spans="1:7" x14ac:dyDescent="0.25">
      <c r="A9724" s="2">
        <v>9723</v>
      </c>
      <c r="B9724" s="3" t="s">
        <v>57</v>
      </c>
      <c r="C9724" s="4" t="str">
        <f t="shared" si="869"/>
        <v>Vĩnh Long</v>
      </c>
      <c r="D9724" s="3" t="s">
        <v>683</v>
      </c>
      <c r="E9724" s="4" t="str">
        <f t="shared" si="870"/>
        <v>Huyện Bình Tân</v>
      </c>
      <c r="F9724" s="3" t="s">
        <v>10483</v>
      </c>
      <c r="G9724" s="4" t="str">
        <f>HYPERLINK("https://diaocthongthai.com/xa-tan-an-thanh-binh-tan/","Xã Tân An Thạnh")</f>
        <v>Xã Tân An Thạnh</v>
      </c>
    </row>
    <row r="9725" spans="1:7" x14ac:dyDescent="0.25">
      <c r="A9725" s="2">
        <v>9724</v>
      </c>
      <c r="B9725" s="3" t="s">
        <v>57</v>
      </c>
      <c r="C9725" s="4" t="str">
        <f t="shared" si="869"/>
        <v>Vĩnh Long</v>
      </c>
      <c r="D9725" s="3" t="s">
        <v>683</v>
      </c>
      <c r="E9725" s="4" t="str">
        <f t="shared" si="870"/>
        <v>Huyện Bình Tân</v>
      </c>
      <c r="F9725" s="3" t="s">
        <v>10484</v>
      </c>
      <c r="G9725" s="4" t="str">
        <f>HYPERLINK("https://diaocthongthai.com/xa-tan-luoc-binh-tan/","Xã Tân Lược")</f>
        <v>Xã Tân Lược</v>
      </c>
    </row>
    <row r="9726" spans="1:7" x14ac:dyDescent="0.25">
      <c r="A9726" s="2">
        <v>9725</v>
      </c>
      <c r="B9726" s="3" t="s">
        <v>57</v>
      </c>
      <c r="C9726" s="4" t="str">
        <f t="shared" si="869"/>
        <v>Vĩnh Long</v>
      </c>
      <c r="D9726" s="3" t="s">
        <v>683</v>
      </c>
      <c r="E9726" s="4" t="str">
        <f t="shared" si="870"/>
        <v>Huyện Bình Tân</v>
      </c>
      <c r="F9726" s="3" t="s">
        <v>10485</v>
      </c>
      <c r="G9726" s="4" t="str">
        <f>HYPERLINK("https://diaocthongthai.com/xa-nguyen-van-thanh-binh-tan/","Xã Nguyễn Văn Thảnh")</f>
        <v>Xã Nguyễn Văn Thảnh</v>
      </c>
    </row>
    <row r="9727" spans="1:7" x14ac:dyDescent="0.25">
      <c r="A9727" s="2">
        <v>9726</v>
      </c>
      <c r="B9727" s="3" t="s">
        <v>57</v>
      </c>
      <c r="C9727" s="4" t="str">
        <f t="shared" si="869"/>
        <v>Vĩnh Long</v>
      </c>
      <c r="D9727" s="3" t="s">
        <v>683</v>
      </c>
      <c r="E9727" s="4" t="str">
        <f t="shared" si="870"/>
        <v>Huyện Bình Tân</v>
      </c>
      <c r="F9727" s="3" t="s">
        <v>10486</v>
      </c>
      <c r="G9727" s="4" t="str">
        <f>HYPERLINK("https://diaocthongthai.com/xa-thanh-loi-binh-tan/","Xã Thành Lợi")</f>
        <v>Xã Thành Lợi</v>
      </c>
    </row>
    <row r="9728" spans="1:7" x14ac:dyDescent="0.25">
      <c r="A9728" s="2">
        <v>9727</v>
      </c>
      <c r="B9728" s="3" t="s">
        <v>57</v>
      </c>
      <c r="C9728" s="4" t="str">
        <f t="shared" si="869"/>
        <v>Vĩnh Long</v>
      </c>
      <c r="D9728" s="3" t="s">
        <v>683</v>
      </c>
      <c r="E9728" s="4" t="str">
        <f t="shared" si="870"/>
        <v>Huyện Bình Tân</v>
      </c>
      <c r="F9728" s="3" t="s">
        <v>10487</v>
      </c>
      <c r="G9728" s="4" t="str">
        <f>HYPERLINK("https://diaocthongthai.com/xa-my-thuan-binh-tan/","Xã Mỹ Thuận")</f>
        <v>Xã Mỹ Thuận</v>
      </c>
    </row>
    <row r="9729" spans="1:7" x14ac:dyDescent="0.25">
      <c r="A9729" s="2">
        <v>9728</v>
      </c>
      <c r="B9729" s="3" t="s">
        <v>57</v>
      </c>
      <c r="C9729" s="4" t="str">
        <f t="shared" si="869"/>
        <v>Vĩnh Long</v>
      </c>
      <c r="D9729" s="3" t="s">
        <v>683</v>
      </c>
      <c r="E9729" s="4" t="str">
        <f t="shared" si="870"/>
        <v>Huyện Bình Tân</v>
      </c>
      <c r="F9729" s="3" t="s">
        <v>10488</v>
      </c>
      <c r="G9729" s="4" t="str">
        <f>HYPERLINK("https://diaocthongthai.com/xa-tan-binh-binh-tan/","Xã Tân Bình")</f>
        <v>Xã Tân Bình</v>
      </c>
    </row>
    <row r="9730" spans="1:7" x14ac:dyDescent="0.25">
      <c r="A9730" s="2">
        <v>9729</v>
      </c>
      <c r="B9730" s="3" t="s">
        <v>57</v>
      </c>
      <c r="C9730" s="4" t="str">
        <f t="shared" si="869"/>
        <v>Vĩnh Long</v>
      </c>
      <c r="D9730" s="3" t="s">
        <v>683</v>
      </c>
      <c r="E9730" s="4" t="str">
        <f t="shared" si="870"/>
        <v>Huyện Bình Tân</v>
      </c>
      <c r="F9730" s="3" t="s">
        <v>10489</v>
      </c>
      <c r="G9730" s="4" t="str">
        <f>HYPERLINK("https://diaocthongthai.com/thi-tran-tan-quoi-binh-tan/","Thị trấn Tân Quới")</f>
        <v>Thị trấn Tân Quới</v>
      </c>
    </row>
    <row r="9731" spans="1:7" x14ac:dyDescent="0.25">
      <c r="A9731" s="2">
        <v>9730</v>
      </c>
      <c r="B9731" s="3" t="s">
        <v>58</v>
      </c>
      <c r="C9731" s="4" t="str">
        <f t="shared" ref="C9731:C9762" si="871">HYPERLINK("https://diaocthongthai.com/ban-do-dong-thap/","Đồng Tháp")</f>
        <v>Đồng Tháp</v>
      </c>
      <c r="D9731" s="3" t="s">
        <v>684</v>
      </c>
      <c r="E9731" s="4" t="str">
        <f t="shared" ref="E9731:E9745" si="872">HYPERLINK("https://diaocthongthai.com/ban-do-tp-cao-lanh-dong-thap/","Thành phố Cao Lãnh")</f>
        <v>Thành phố Cao Lãnh</v>
      </c>
      <c r="F9731" s="3" t="s">
        <v>10490</v>
      </c>
      <c r="G9731" s="4" t="str">
        <f>HYPERLINK("https://diaocthongthai.com/phuong-11-tp-cao-lanh/","Phường 11")</f>
        <v>Phường 11</v>
      </c>
    </row>
    <row r="9732" spans="1:7" x14ac:dyDescent="0.25">
      <c r="A9732" s="2">
        <v>9731</v>
      </c>
      <c r="B9732" s="3" t="s">
        <v>58</v>
      </c>
      <c r="C9732" s="4" t="str">
        <f t="shared" si="871"/>
        <v>Đồng Tháp</v>
      </c>
      <c r="D9732" s="3" t="s">
        <v>684</v>
      </c>
      <c r="E9732" s="4" t="str">
        <f t="shared" si="872"/>
        <v>Thành phố Cao Lãnh</v>
      </c>
      <c r="F9732" s="3" t="s">
        <v>10491</v>
      </c>
      <c r="G9732" s="4" t="str">
        <f>HYPERLINK("https://diaocthongthai.com/phuong-1-tp-cao-lanh/","Phường 1")</f>
        <v>Phường 1</v>
      </c>
    </row>
    <row r="9733" spans="1:7" x14ac:dyDescent="0.25">
      <c r="A9733" s="2">
        <v>9732</v>
      </c>
      <c r="B9733" s="3" t="s">
        <v>58</v>
      </c>
      <c r="C9733" s="4" t="str">
        <f t="shared" si="871"/>
        <v>Đồng Tháp</v>
      </c>
      <c r="D9733" s="3" t="s">
        <v>684</v>
      </c>
      <c r="E9733" s="4" t="str">
        <f t="shared" si="872"/>
        <v>Thành phố Cao Lãnh</v>
      </c>
      <c r="F9733" s="3" t="s">
        <v>10492</v>
      </c>
      <c r="G9733" s="4" t="str">
        <f>HYPERLINK("https://diaocthongthai.com/phuong-2-tp-cao-lanh/","Phường 2")</f>
        <v>Phường 2</v>
      </c>
    </row>
    <row r="9734" spans="1:7" x14ac:dyDescent="0.25">
      <c r="A9734" s="2">
        <v>9733</v>
      </c>
      <c r="B9734" s="3" t="s">
        <v>58</v>
      </c>
      <c r="C9734" s="4" t="str">
        <f t="shared" si="871"/>
        <v>Đồng Tháp</v>
      </c>
      <c r="D9734" s="3" t="s">
        <v>684</v>
      </c>
      <c r="E9734" s="4" t="str">
        <f t="shared" si="872"/>
        <v>Thành phố Cao Lãnh</v>
      </c>
      <c r="F9734" s="3" t="s">
        <v>10493</v>
      </c>
      <c r="G9734" s="4" t="str">
        <f>HYPERLINK("https://diaocthongthai.com/phuong-4-tp-cao-lanh/","Phường 4")</f>
        <v>Phường 4</v>
      </c>
    </row>
    <row r="9735" spans="1:7" x14ac:dyDescent="0.25">
      <c r="A9735" s="2">
        <v>9734</v>
      </c>
      <c r="B9735" s="3" t="s">
        <v>58</v>
      </c>
      <c r="C9735" s="4" t="str">
        <f t="shared" si="871"/>
        <v>Đồng Tháp</v>
      </c>
      <c r="D9735" s="3" t="s">
        <v>684</v>
      </c>
      <c r="E9735" s="4" t="str">
        <f t="shared" si="872"/>
        <v>Thành phố Cao Lãnh</v>
      </c>
      <c r="F9735" s="3" t="s">
        <v>10494</v>
      </c>
      <c r="G9735" s="4" t="str">
        <f>HYPERLINK("https://diaocthongthai.com/phuong-3-tp-cao-lanh/","Phường 3")</f>
        <v>Phường 3</v>
      </c>
    </row>
    <row r="9736" spans="1:7" x14ac:dyDescent="0.25">
      <c r="A9736" s="2">
        <v>9735</v>
      </c>
      <c r="B9736" s="3" t="s">
        <v>58</v>
      </c>
      <c r="C9736" s="4" t="str">
        <f t="shared" si="871"/>
        <v>Đồng Tháp</v>
      </c>
      <c r="D9736" s="3" t="s">
        <v>684</v>
      </c>
      <c r="E9736" s="4" t="str">
        <f t="shared" si="872"/>
        <v>Thành phố Cao Lãnh</v>
      </c>
      <c r="F9736" s="3" t="s">
        <v>10495</v>
      </c>
      <c r="G9736" s="4" t="str">
        <f>HYPERLINK("https://diaocthongthai.com/phuong-6-tp-cao-lanh/","Phường 6")</f>
        <v>Phường 6</v>
      </c>
    </row>
    <row r="9737" spans="1:7" x14ac:dyDescent="0.25">
      <c r="A9737" s="2">
        <v>9736</v>
      </c>
      <c r="B9737" s="3" t="s">
        <v>58</v>
      </c>
      <c r="C9737" s="4" t="str">
        <f t="shared" si="871"/>
        <v>Đồng Tháp</v>
      </c>
      <c r="D9737" s="3" t="s">
        <v>684</v>
      </c>
      <c r="E9737" s="4" t="str">
        <f t="shared" si="872"/>
        <v>Thành phố Cao Lãnh</v>
      </c>
      <c r="F9737" s="3" t="s">
        <v>10496</v>
      </c>
      <c r="G9737" s="4" t="str">
        <f>HYPERLINK("https://diaocthongthai.com/xa-my-ngai-tp-cao-lanh/","Xã Mỹ Ngãi")</f>
        <v>Xã Mỹ Ngãi</v>
      </c>
    </row>
    <row r="9738" spans="1:7" x14ac:dyDescent="0.25">
      <c r="A9738" s="2">
        <v>9737</v>
      </c>
      <c r="B9738" s="3" t="s">
        <v>58</v>
      </c>
      <c r="C9738" s="4" t="str">
        <f t="shared" si="871"/>
        <v>Đồng Tháp</v>
      </c>
      <c r="D9738" s="3" t="s">
        <v>684</v>
      </c>
      <c r="E9738" s="4" t="str">
        <f t="shared" si="872"/>
        <v>Thành phố Cao Lãnh</v>
      </c>
      <c r="F9738" s="3" t="s">
        <v>10497</v>
      </c>
      <c r="G9738" s="4" t="str">
        <f>HYPERLINK("https://diaocthongthai.com/xa-my-tan-tp-cao-lanh/","Xã Mỹ Tân")</f>
        <v>Xã Mỹ Tân</v>
      </c>
    </row>
    <row r="9739" spans="1:7" x14ac:dyDescent="0.25">
      <c r="A9739" s="2">
        <v>9738</v>
      </c>
      <c r="B9739" s="3" t="s">
        <v>58</v>
      </c>
      <c r="C9739" s="4" t="str">
        <f t="shared" si="871"/>
        <v>Đồng Tháp</v>
      </c>
      <c r="D9739" s="3" t="s">
        <v>684</v>
      </c>
      <c r="E9739" s="4" t="str">
        <f t="shared" si="872"/>
        <v>Thành phố Cao Lãnh</v>
      </c>
      <c r="F9739" s="3" t="s">
        <v>10498</v>
      </c>
      <c r="G9739" s="4" t="str">
        <f>HYPERLINK("https://diaocthongthai.com/xa-my-tra-tp-cao-lanh/","Xã Mỹ Trà")</f>
        <v>Xã Mỹ Trà</v>
      </c>
    </row>
    <row r="9740" spans="1:7" x14ac:dyDescent="0.25">
      <c r="A9740" s="2">
        <v>9739</v>
      </c>
      <c r="B9740" s="3" t="s">
        <v>58</v>
      </c>
      <c r="C9740" s="4" t="str">
        <f t="shared" si="871"/>
        <v>Đồng Tháp</v>
      </c>
      <c r="D9740" s="3" t="s">
        <v>684</v>
      </c>
      <c r="E9740" s="4" t="str">
        <f t="shared" si="872"/>
        <v>Thành phố Cao Lãnh</v>
      </c>
      <c r="F9740" s="3" t="s">
        <v>10499</v>
      </c>
      <c r="G9740" s="4" t="str">
        <f>HYPERLINK("https://diaocthongthai.com/phuong-my-phu-tp-cao-lanh/","Phường Mỹ Phú")</f>
        <v>Phường Mỹ Phú</v>
      </c>
    </row>
    <row r="9741" spans="1:7" x14ac:dyDescent="0.25">
      <c r="A9741" s="2">
        <v>9740</v>
      </c>
      <c r="B9741" s="3" t="s">
        <v>58</v>
      </c>
      <c r="C9741" s="4" t="str">
        <f t="shared" si="871"/>
        <v>Đồng Tháp</v>
      </c>
      <c r="D9741" s="3" t="s">
        <v>684</v>
      </c>
      <c r="E9741" s="4" t="str">
        <f t="shared" si="872"/>
        <v>Thành phố Cao Lãnh</v>
      </c>
      <c r="F9741" s="3" t="s">
        <v>10500</v>
      </c>
      <c r="G9741" s="4" t="str">
        <f>HYPERLINK("https://diaocthongthai.com/xa-tan-thuan-tay-tp-cao-lanh/","Xã Tân Thuận Tây")</f>
        <v>Xã Tân Thuận Tây</v>
      </c>
    </row>
    <row r="9742" spans="1:7" x14ac:dyDescent="0.25">
      <c r="A9742" s="2">
        <v>9741</v>
      </c>
      <c r="B9742" s="3" t="s">
        <v>58</v>
      </c>
      <c r="C9742" s="4" t="str">
        <f t="shared" si="871"/>
        <v>Đồng Tháp</v>
      </c>
      <c r="D9742" s="3" t="s">
        <v>684</v>
      </c>
      <c r="E9742" s="4" t="str">
        <f t="shared" si="872"/>
        <v>Thành phố Cao Lãnh</v>
      </c>
      <c r="F9742" s="3" t="s">
        <v>10501</v>
      </c>
      <c r="G9742" s="4" t="str">
        <f>HYPERLINK("https://diaocthongthai.com/phuong-hoa-thuan-tp-cao-lanh/","Phường Hoà Thuận")</f>
        <v>Phường Hoà Thuận</v>
      </c>
    </row>
    <row r="9743" spans="1:7" x14ac:dyDescent="0.25">
      <c r="A9743" s="2">
        <v>9742</v>
      </c>
      <c r="B9743" s="3" t="s">
        <v>58</v>
      </c>
      <c r="C9743" s="4" t="str">
        <f t="shared" si="871"/>
        <v>Đồng Tháp</v>
      </c>
      <c r="D9743" s="3" t="s">
        <v>684</v>
      </c>
      <c r="E9743" s="4" t="str">
        <f t="shared" si="872"/>
        <v>Thành phố Cao Lãnh</v>
      </c>
      <c r="F9743" s="3" t="s">
        <v>10502</v>
      </c>
      <c r="G9743" s="4" t="str">
        <f>HYPERLINK("https://diaocthongthai.com/xa-hoa-an-tp-cao-lanh/","Xã Hòa An")</f>
        <v>Xã Hòa An</v>
      </c>
    </row>
    <row r="9744" spans="1:7" x14ac:dyDescent="0.25">
      <c r="A9744" s="2">
        <v>9743</v>
      </c>
      <c r="B9744" s="3" t="s">
        <v>58</v>
      </c>
      <c r="C9744" s="4" t="str">
        <f t="shared" si="871"/>
        <v>Đồng Tháp</v>
      </c>
      <c r="D9744" s="3" t="s">
        <v>684</v>
      </c>
      <c r="E9744" s="4" t="str">
        <f t="shared" si="872"/>
        <v>Thành phố Cao Lãnh</v>
      </c>
      <c r="F9744" s="3" t="s">
        <v>10503</v>
      </c>
      <c r="G9744" s="4" t="str">
        <f>HYPERLINK("https://diaocthongthai.com/xa-tan-thuan-dong-tp-cao-lanh/","Xã Tân Thuận Đông")</f>
        <v>Xã Tân Thuận Đông</v>
      </c>
    </row>
    <row r="9745" spans="1:7" x14ac:dyDescent="0.25">
      <c r="A9745" s="2">
        <v>9744</v>
      </c>
      <c r="B9745" s="3" t="s">
        <v>58</v>
      </c>
      <c r="C9745" s="4" t="str">
        <f t="shared" si="871"/>
        <v>Đồng Tháp</v>
      </c>
      <c r="D9745" s="3" t="s">
        <v>684</v>
      </c>
      <c r="E9745" s="4" t="str">
        <f t="shared" si="872"/>
        <v>Thành phố Cao Lãnh</v>
      </c>
      <c r="F9745" s="3" t="s">
        <v>10504</v>
      </c>
      <c r="G9745" s="4" t="str">
        <f>HYPERLINK("https://diaocthongthai.com/xa-tinh-thoi-tp-cao-lanh/","Xã Tịnh Thới")</f>
        <v>Xã Tịnh Thới</v>
      </c>
    </row>
    <row r="9746" spans="1:7" x14ac:dyDescent="0.25">
      <c r="A9746" s="2">
        <v>9745</v>
      </c>
      <c r="B9746" s="3" t="s">
        <v>58</v>
      </c>
      <c r="C9746" s="4" t="str">
        <f t="shared" si="871"/>
        <v>Đồng Tháp</v>
      </c>
      <c r="D9746" s="3" t="s">
        <v>685</v>
      </c>
      <c r="E9746" s="4" t="str">
        <f t="shared" ref="E9746:E9754" si="873">HYPERLINK("https://diaocthongthai.com/ban-do-tp-sa-dec-dong-thap/","Thành phố Sa Đéc")</f>
        <v>Thành phố Sa Đéc</v>
      </c>
      <c r="F9746" s="3" t="s">
        <v>10505</v>
      </c>
      <c r="G9746" s="4" t="str">
        <f>HYPERLINK("https://diaocthongthai.com/phuong-3-tp-sa-dec/","Phường 3")</f>
        <v>Phường 3</v>
      </c>
    </row>
    <row r="9747" spans="1:7" x14ac:dyDescent="0.25">
      <c r="A9747" s="2">
        <v>9746</v>
      </c>
      <c r="B9747" s="3" t="s">
        <v>58</v>
      </c>
      <c r="C9747" s="4" t="str">
        <f t="shared" si="871"/>
        <v>Đồng Tháp</v>
      </c>
      <c r="D9747" s="3" t="s">
        <v>685</v>
      </c>
      <c r="E9747" s="4" t="str">
        <f t="shared" si="873"/>
        <v>Thành phố Sa Đéc</v>
      </c>
      <c r="F9747" s="3" t="s">
        <v>10506</v>
      </c>
      <c r="G9747" s="4" t="str">
        <f>HYPERLINK("https://diaocthongthai.com/phuong-1-tp-sa-dec/","Phường 1")</f>
        <v>Phường 1</v>
      </c>
    </row>
    <row r="9748" spans="1:7" x14ac:dyDescent="0.25">
      <c r="A9748" s="2">
        <v>9747</v>
      </c>
      <c r="B9748" s="3" t="s">
        <v>58</v>
      </c>
      <c r="C9748" s="4" t="str">
        <f t="shared" si="871"/>
        <v>Đồng Tháp</v>
      </c>
      <c r="D9748" s="3" t="s">
        <v>685</v>
      </c>
      <c r="E9748" s="4" t="str">
        <f t="shared" si="873"/>
        <v>Thành phố Sa Đéc</v>
      </c>
      <c r="F9748" s="3" t="s">
        <v>10507</v>
      </c>
      <c r="G9748" s="4" t="str">
        <f>HYPERLINK("https://diaocthongthai.com/phuong-4-tp-sa-dec/","Phường 4")</f>
        <v>Phường 4</v>
      </c>
    </row>
    <row r="9749" spans="1:7" x14ac:dyDescent="0.25">
      <c r="A9749" s="2">
        <v>9748</v>
      </c>
      <c r="B9749" s="3" t="s">
        <v>58</v>
      </c>
      <c r="C9749" s="4" t="str">
        <f t="shared" si="871"/>
        <v>Đồng Tháp</v>
      </c>
      <c r="D9749" s="3" t="s">
        <v>685</v>
      </c>
      <c r="E9749" s="4" t="str">
        <f t="shared" si="873"/>
        <v>Thành phố Sa Đéc</v>
      </c>
      <c r="F9749" s="3" t="s">
        <v>10508</v>
      </c>
      <c r="G9749" s="4" t="str">
        <f>HYPERLINK("https://diaocthongthai.com/phuong-2-tp-sa-dec/","Phường 2")</f>
        <v>Phường 2</v>
      </c>
    </row>
    <row r="9750" spans="1:7" x14ac:dyDescent="0.25">
      <c r="A9750" s="2">
        <v>9749</v>
      </c>
      <c r="B9750" s="3" t="s">
        <v>58</v>
      </c>
      <c r="C9750" s="4" t="str">
        <f t="shared" si="871"/>
        <v>Đồng Tháp</v>
      </c>
      <c r="D9750" s="3" t="s">
        <v>685</v>
      </c>
      <c r="E9750" s="4" t="str">
        <f t="shared" si="873"/>
        <v>Thành phố Sa Đéc</v>
      </c>
      <c r="F9750" s="3" t="s">
        <v>10509</v>
      </c>
      <c r="G9750" s="4" t="str">
        <f>HYPERLINK("https://diaocthongthai.com/xa-tan-khanh-dong-tp-sa-dec/","Xã Tân Khánh Đông")</f>
        <v>Xã Tân Khánh Đông</v>
      </c>
    </row>
    <row r="9751" spans="1:7" x14ac:dyDescent="0.25">
      <c r="A9751" s="2">
        <v>9750</v>
      </c>
      <c r="B9751" s="3" t="s">
        <v>58</v>
      </c>
      <c r="C9751" s="4" t="str">
        <f t="shared" si="871"/>
        <v>Đồng Tháp</v>
      </c>
      <c r="D9751" s="3" t="s">
        <v>685</v>
      </c>
      <c r="E9751" s="4" t="str">
        <f t="shared" si="873"/>
        <v>Thành phố Sa Đéc</v>
      </c>
      <c r="F9751" s="3" t="s">
        <v>10510</v>
      </c>
      <c r="G9751" s="4" t="str">
        <f>HYPERLINK("https://diaocthongthai.com/phuong-tan-quy-dong-tp-sa-dec/","Phường Tân Quy Đông")</f>
        <v>Phường Tân Quy Đông</v>
      </c>
    </row>
    <row r="9752" spans="1:7" x14ac:dyDescent="0.25">
      <c r="A9752" s="2">
        <v>9751</v>
      </c>
      <c r="B9752" s="3" t="s">
        <v>58</v>
      </c>
      <c r="C9752" s="4" t="str">
        <f t="shared" si="871"/>
        <v>Đồng Tháp</v>
      </c>
      <c r="D9752" s="3" t="s">
        <v>685</v>
      </c>
      <c r="E9752" s="4" t="str">
        <f t="shared" si="873"/>
        <v>Thành phố Sa Đéc</v>
      </c>
      <c r="F9752" s="3" t="s">
        <v>10511</v>
      </c>
      <c r="G9752" s="4" t="str">
        <f>HYPERLINK("https://diaocthongthai.com/phuong-an-hoa-tp-sa-dec/","Phường An Hoà")</f>
        <v>Phường An Hoà</v>
      </c>
    </row>
    <row r="9753" spans="1:7" x14ac:dyDescent="0.25">
      <c r="A9753" s="2">
        <v>9752</v>
      </c>
      <c r="B9753" s="3" t="s">
        <v>58</v>
      </c>
      <c r="C9753" s="4" t="str">
        <f t="shared" si="871"/>
        <v>Đồng Tháp</v>
      </c>
      <c r="D9753" s="3" t="s">
        <v>685</v>
      </c>
      <c r="E9753" s="4" t="str">
        <f t="shared" si="873"/>
        <v>Thành phố Sa Đéc</v>
      </c>
      <c r="F9753" s="3" t="s">
        <v>10512</v>
      </c>
      <c r="G9753" s="4" t="str">
        <f>HYPERLINK("https://diaocthongthai.com/xa-tan-quy-tay-tp-sa-dec/","Xã Tân Quy Tây")</f>
        <v>Xã Tân Quy Tây</v>
      </c>
    </row>
    <row r="9754" spans="1:7" x14ac:dyDescent="0.25">
      <c r="A9754" s="2">
        <v>9753</v>
      </c>
      <c r="B9754" s="3" t="s">
        <v>58</v>
      </c>
      <c r="C9754" s="4" t="str">
        <f t="shared" si="871"/>
        <v>Đồng Tháp</v>
      </c>
      <c r="D9754" s="3" t="s">
        <v>685</v>
      </c>
      <c r="E9754" s="4" t="str">
        <f t="shared" si="873"/>
        <v>Thành phố Sa Đéc</v>
      </c>
      <c r="F9754" s="3" t="s">
        <v>10513</v>
      </c>
      <c r="G9754" s="4" t="str">
        <f>HYPERLINK("https://diaocthongthai.com/xa-tan-phu-dong-tp-sa-dec/","Xã Tân Phú Đông")</f>
        <v>Xã Tân Phú Đông</v>
      </c>
    </row>
    <row r="9755" spans="1:7" x14ac:dyDescent="0.25">
      <c r="A9755" s="2">
        <v>9754</v>
      </c>
      <c r="B9755" s="3" t="s">
        <v>58</v>
      </c>
      <c r="C9755" s="4" t="str">
        <f t="shared" si="871"/>
        <v>Đồng Tháp</v>
      </c>
      <c r="D9755" s="3" t="s">
        <v>686</v>
      </c>
      <c r="E9755" s="4" t="str">
        <f t="shared" ref="E9755:E9761" si="874">HYPERLINK("https://diaocthongthai.com/ban-do-thi-xa-hong-ngu-dong-thap/","Thành phố Hồng Ngự")</f>
        <v>Thành phố Hồng Ngự</v>
      </c>
      <c r="F9755" s="3" t="s">
        <v>10514</v>
      </c>
      <c r="G9755" s="4" t="str">
        <f>HYPERLINK("https://diaocthongthai.com/phuong-an-loc-tp-hong-ngu/","Phường An Lộc")</f>
        <v>Phường An Lộc</v>
      </c>
    </row>
    <row r="9756" spans="1:7" x14ac:dyDescent="0.25">
      <c r="A9756" s="2">
        <v>9755</v>
      </c>
      <c r="B9756" s="3" t="s">
        <v>58</v>
      </c>
      <c r="C9756" s="4" t="str">
        <f t="shared" si="871"/>
        <v>Đồng Tháp</v>
      </c>
      <c r="D9756" s="3" t="s">
        <v>686</v>
      </c>
      <c r="E9756" s="4" t="str">
        <f t="shared" si="874"/>
        <v>Thành phố Hồng Ngự</v>
      </c>
      <c r="F9756" s="3" t="s">
        <v>10515</v>
      </c>
      <c r="G9756" s="4" t="str">
        <f>HYPERLINK("https://diaocthongthai.com/phuong-an-thanh-tp-hong-ngu/","Phường An Thạnh")</f>
        <v>Phường An Thạnh</v>
      </c>
    </row>
    <row r="9757" spans="1:7" x14ac:dyDescent="0.25">
      <c r="A9757" s="2">
        <v>9756</v>
      </c>
      <c r="B9757" s="3" t="s">
        <v>58</v>
      </c>
      <c r="C9757" s="4" t="str">
        <f t="shared" si="871"/>
        <v>Đồng Tháp</v>
      </c>
      <c r="D9757" s="3" t="s">
        <v>686</v>
      </c>
      <c r="E9757" s="4" t="str">
        <f t="shared" si="874"/>
        <v>Thành phố Hồng Ngự</v>
      </c>
      <c r="F9757" s="3" t="s">
        <v>10516</v>
      </c>
      <c r="G9757" s="4" t="str">
        <f>HYPERLINK("https://diaocthongthai.com/xa-binh-thanh-tp-hong-ngu/","Xã Bình Thạnh")</f>
        <v>Xã Bình Thạnh</v>
      </c>
    </row>
    <row r="9758" spans="1:7" x14ac:dyDescent="0.25">
      <c r="A9758" s="2">
        <v>9757</v>
      </c>
      <c r="B9758" s="3" t="s">
        <v>58</v>
      </c>
      <c r="C9758" s="4" t="str">
        <f t="shared" si="871"/>
        <v>Đồng Tháp</v>
      </c>
      <c r="D9758" s="3" t="s">
        <v>686</v>
      </c>
      <c r="E9758" s="4" t="str">
        <f t="shared" si="874"/>
        <v>Thành phố Hồng Ngự</v>
      </c>
      <c r="F9758" s="3" t="s">
        <v>10517</v>
      </c>
      <c r="G9758" s="4" t="str">
        <f>HYPERLINK("https://diaocthongthai.com/xa-tan-hoi-tp-hong-ngu/","Xã Tân Hội")</f>
        <v>Xã Tân Hội</v>
      </c>
    </row>
    <row r="9759" spans="1:7" x14ac:dyDescent="0.25">
      <c r="A9759" s="2">
        <v>9758</v>
      </c>
      <c r="B9759" s="3" t="s">
        <v>58</v>
      </c>
      <c r="C9759" s="4" t="str">
        <f t="shared" si="871"/>
        <v>Đồng Tháp</v>
      </c>
      <c r="D9759" s="3" t="s">
        <v>686</v>
      </c>
      <c r="E9759" s="4" t="str">
        <f t="shared" si="874"/>
        <v>Thành phố Hồng Ngự</v>
      </c>
      <c r="F9759" s="3" t="s">
        <v>10518</v>
      </c>
      <c r="G9759" s="4" t="str">
        <f>HYPERLINK("https://diaocthongthai.com/phuong-an-lac-tp-hong-ngu/","Phường An Lạc")</f>
        <v>Phường An Lạc</v>
      </c>
    </row>
    <row r="9760" spans="1:7" x14ac:dyDescent="0.25">
      <c r="A9760" s="2">
        <v>9759</v>
      </c>
      <c r="B9760" s="3" t="s">
        <v>58</v>
      </c>
      <c r="C9760" s="4" t="str">
        <f t="shared" si="871"/>
        <v>Đồng Tháp</v>
      </c>
      <c r="D9760" s="3" t="s">
        <v>686</v>
      </c>
      <c r="E9760" s="4" t="str">
        <f t="shared" si="874"/>
        <v>Thành phố Hồng Ngự</v>
      </c>
      <c r="F9760" s="3" t="s">
        <v>10519</v>
      </c>
      <c r="G9760" s="4" t="str">
        <f>HYPERLINK("https://diaocthongthai.com/phuong-an-binh-b-tp-hong-ngu/","Phường An Bình B")</f>
        <v>Phường An Bình B</v>
      </c>
    </row>
    <row r="9761" spans="1:7" x14ac:dyDescent="0.25">
      <c r="A9761" s="2">
        <v>9760</v>
      </c>
      <c r="B9761" s="3" t="s">
        <v>58</v>
      </c>
      <c r="C9761" s="4" t="str">
        <f t="shared" si="871"/>
        <v>Đồng Tháp</v>
      </c>
      <c r="D9761" s="3" t="s">
        <v>686</v>
      </c>
      <c r="E9761" s="4" t="str">
        <f t="shared" si="874"/>
        <v>Thành phố Hồng Ngự</v>
      </c>
      <c r="F9761" s="3" t="s">
        <v>10520</v>
      </c>
      <c r="G9761" s="4" t="str">
        <f>HYPERLINK("https://diaocthongthai.com/phuong-an-binh-a-tp-hong-ngu/","Phường An Bình A")</f>
        <v>Phường An Bình A</v>
      </c>
    </row>
    <row r="9762" spans="1:7" x14ac:dyDescent="0.25">
      <c r="A9762" s="2">
        <v>9761</v>
      </c>
      <c r="B9762" s="3" t="s">
        <v>58</v>
      </c>
      <c r="C9762" s="4" t="str">
        <f t="shared" si="871"/>
        <v>Đồng Tháp</v>
      </c>
      <c r="D9762" s="3" t="s">
        <v>687</v>
      </c>
      <c r="E9762" s="4" t="str">
        <f t="shared" ref="E9762:E9770" si="875">HYPERLINK("https://diaocthongthai.com/ban-do-huyen-tan-hong-dong-thap/","Huyện Tân Hồng")</f>
        <v>Huyện Tân Hồng</v>
      </c>
      <c r="F9762" s="3" t="s">
        <v>10521</v>
      </c>
      <c r="G9762" s="4" t="str">
        <f>HYPERLINK("https://diaocthongthai.com/thi-tran-sa-rai-tan-hong/","Thị trấn Sa Rài")</f>
        <v>Thị trấn Sa Rài</v>
      </c>
    </row>
    <row r="9763" spans="1:7" x14ac:dyDescent="0.25">
      <c r="A9763" s="2">
        <v>9762</v>
      </c>
      <c r="B9763" s="3" t="s">
        <v>58</v>
      </c>
      <c r="C9763" s="4" t="str">
        <f t="shared" ref="C9763:C9794" si="876">HYPERLINK("https://diaocthongthai.com/ban-do-dong-thap/","Đồng Tháp")</f>
        <v>Đồng Tháp</v>
      </c>
      <c r="D9763" s="3" t="s">
        <v>687</v>
      </c>
      <c r="E9763" s="4" t="str">
        <f t="shared" si="875"/>
        <v>Huyện Tân Hồng</v>
      </c>
      <c r="F9763" s="3" t="s">
        <v>10522</v>
      </c>
      <c r="G9763" s="4" t="str">
        <f>HYPERLINK("https://diaocthongthai.com/xa-tan-ho-co-tan-hong/","Xã Tân Hộ Cơ")</f>
        <v>Xã Tân Hộ Cơ</v>
      </c>
    </row>
    <row r="9764" spans="1:7" x14ac:dyDescent="0.25">
      <c r="A9764" s="2">
        <v>9763</v>
      </c>
      <c r="B9764" s="3" t="s">
        <v>58</v>
      </c>
      <c r="C9764" s="4" t="str">
        <f t="shared" si="876"/>
        <v>Đồng Tháp</v>
      </c>
      <c r="D9764" s="3" t="s">
        <v>687</v>
      </c>
      <c r="E9764" s="4" t="str">
        <f t="shared" si="875"/>
        <v>Huyện Tân Hồng</v>
      </c>
      <c r="F9764" s="3" t="s">
        <v>10523</v>
      </c>
      <c r="G9764" s="4" t="str">
        <f>HYPERLINK("https://diaocthongthai.com/xa-thong-binh-tan-hong/","Xã Thông Bình")</f>
        <v>Xã Thông Bình</v>
      </c>
    </row>
    <row r="9765" spans="1:7" x14ac:dyDescent="0.25">
      <c r="A9765" s="2">
        <v>9764</v>
      </c>
      <c r="B9765" s="3" t="s">
        <v>58</v>
      </c>
      <c r="C9765" s="4" t="str">
        <f t="shared" si="876"/>
        <v>Đồng Tháp</v>
      </c>
      <c r="D9765" s="3" t="s">
        <v>687</v>
      </c>
      <c r="E9765" s="4" t="str">
        <f t="shared" si="875"/>
        <v>Huyện Tân Hồng</v>
      </c>
      <c r="F9765" s="3" t="s">
        <v>10524</v>
      </c>
      <c r="G9765" s="4" t="str">
        <f>HYPERLINK("https://diaocthongthai.com/xa-binh-phu-tan-hong/","Xã Bình Phú")</f>
        <v>Xã Bình Phú</v>
      </c>
    </row>
    <row r="9766" spans="1:7" x14ac:dyDescent="0.25">
      <c r="A9766" s="2">
        <v>9765</v>
      </c>
      <c r="B9766" s="3" t="s">
        <v>58</v>
      </c>
      <c r="C9766" s="4" t="str">
        <f t="shared" si="876"/>
        <v>Đồng Tháp</v>
      </c>
      <c r="D9766" s="3" t="s">
        <v>687</v>
      </c>
      <c r="E9766" s="4" t="str">
        <f t="shared" si="875"/>
        <v>Huyện Tân Hồng</v>
      </c>
      <c r="F9766" s="3" t="s">
        <v>10525</v>
      </c>
      <c r="G9766" s="4" t="str">
        <f>HYPERLINK("https://diaocthongthai.com/xa-tan-thanh-a-tan-hong/","Xã Tân Thành A")</f>
        <v>Xã Tân Thành A</v>
      </c>
    </row>
    <row r="9767" spans="1:7" x14ac:dyDescent="0.25">
      <c r="A9767" s="2">
        <v>9766</v>
      </c>
      <c r="B9767" s="3" t="s">
        <v>58</v>
      </c>
      <c r="C9767" s="4" t="str">
        <f t="shared" si="876"/>
        <v>Đồng Tháp</v>
      </c>
      <c r="D9767" s="3" t="s">
        <v>687</v>
      </c>
      <c r="E9767" s="4" t="str">
        <f t="shared" si="875"/>
        <v>Huyện Tân Hồng</v>
      </c>
      <c r="F9767" s="3" t="s">
        <v>10526</v>
      </c>
      <c r="G9767" s="4" t="str">
        <f>HYPERLINK("https://diaocthongthai.com/xa-tan-thanh-b-tan-hong/","Xã Tân Thành B")</f>
        <v>Xã Tân Thành B</v>
      </c>
    </row>
    <row r="9768" spans="1:7" x14ac:dyDescent="0.25">
      <c r="A9768" s="2">
        <v>9767</v>
      </c>
      <c r="B9768" s="3" t="s">
        <v>58</v>
      </c>
      <c r="C9768" s="4" t="str">
        <f t="shared" si="876"/>
        <v>Đồng Tháp</v>
      </c>
      <c r="D9768" s="3" t="s">
        <v>687</v>
      </c>
      <c r="E9768" s="4" t="str">
        <f t="shared" si="875"/>
        <v>Huyện Tân Hồng</v>
      </c>
      <c r="F9768" s="3" t="s">
        <v>10527</v>
      </c>
      <c r="G9768" s="4" t="str">
        <f>HYPERLINK("https://diaocthongthai.com/xa-tan-phuoc-tan-hong/","Xã Tân Phước")</f>
        <v>Xã Tân Phước</v>
      </c>
    </row>
    <row r="9769" spans="1:7" x14ac:dyDescent="0.25">
      <c r="A9769" s="2">
        <v>9768</v>
      </c>
      <c r="B9769" s="3" t="s">
        <v>58</v>
      </c>
      <c r="C9769" s="4" t="str">
        <f t="shared" si="876"/>
        <v>Đồng Tháp</v>
      </c>
      <c r="D9769" s="3" t="s">
        <v>687</v>
      </c>
      <c r="E9769" s="4" t="str">
        <f t="shared" si="875"/>
        <v>Huyện Tân Hồng</v>
      </c>
      <c r="F9769" s="3" t="s">
        <v>10528</v>
      </c>
      <c r="G9769" s="4" t="str">
        <f>HYPERLINK("https://diaocthongthai.com/xa-tan-cong-chi-tan-hong/","Xã Tân Công Chí")</f>
        <v>Xã Tân Công Chí</v>
      </c>
    </row>
    <row r="9770" spans="1:7" x14ac:dyDescent="0.25">
      <c r="A9770" s="2">
        <v>9769</v>
      </c>
      <c r="B9770" s="3" t="s">
        <v>58</v>
      </c>
      <c r="C9770" s="4" t="str">
        <f t="shared" si="876"/>
        <v>Đồng Tháp</v>
      </c>
      <c r="D9770" s="3" t="s">
        <v>687</v>
      </c>
      <c r="E9770" s="4" t="str">
        <f t="shared" si="875"/>
        <v>Huyện Tân Hồng</v>
      </c>
      <c r="F9770" s="3" t="s">
        <v>10529</v>
      </c>
      <c r="G9770" s="4" t="str">
        <f>HYPERLINK("https://diaocthongthai.com/xa-an-phuoc-tan-hong/","Xã An Phước")</f>
        <v>Xã An Phước</v>
      </c>
    </row>
    <row r="9771" spans="1:7" x14ac:dyDescent="0.25">
      <c r="A9771" s="2">
        <v>9770</v>
      </c>
      <c r="B9771" s="3" t="s">
        <v>58</v>
      </c>
      <c r="C9771" s="4" t="str">
        <f t="shared" si="876"/>
        <v>Đồng Tháp</v>
      </c>
      <c r="D9771" s="3" t="s">
        <v>688</v>
      </c>
      <c r="E9771" s="4" t="str">
        <f t="shared" ref="E9771:E9780" si="877">HYPERLINK("https://diaocthongthai.com/ban-do-huyen-hong-ngu-dong-thap/","Huyện Hồng Ngự")</f>
        <v>Huyện Hồng Ngự</v>
      </c>
      <c r="F9771" s="3" t="s">
        <v>10530</v>
      </c>
      <c r="G9771" s="4" t="str">
        <f>HYPERLINK("https://diaocthongthai.com/xa-thuong-phuoc-1-hong-ngu/","Xã Thường Phước 1")</f>
        <v>Xã Thường Phước 1</v>
      </c>
    </row>
    <row r="9772" spans="1:7" x14ac:dyDescent="0.25">
      <c r="A9772" s="2">
        <v>9771</v>
      </c>
      <c r="B9772" s="3" t="s">
        <v>58</v>
      </c>
      <c r="C9772" s="4" t="str">
        <f t="shared" si="876"/>
        <v>Đồng Tháp</v>
      </c>
      <c r="D9772" s="3" t="s">
        <v>688</v>
      </c>
      <c r="E9772" s="4" t="str">
        <f t="shared" si="877"/>
        <v>Huyện Hồng Ngự</v>
      </c>
      <c r="F9772" s="3" t="s">
        <v>10531</v>
      </c>
      <c r="G9772" s="4" t="str">
        <f>HYPERLINK("https://diaocthongthai.com/xa-thuong-thoi-hau-a-hong-ngu/","Xã Thường Thới Hậu A")</f>
        <v>Xã Thường Thới Hậu A</v>
      </c>
    </row>
    <row r="9773" spans="1:7" x14ac:dyDescent="0.25">
      <c r="A9773" s="2">
        <v>9772</v>
      </c>
      <c r="B9773" s="3" t="s">
        <v>58</v>
      </c>
      <c r="C9773" s="4" t="str">
        <f t="shared" si="876"/>
        <v>Đồng Tháp</v>
      </c>
      <c r="D9773" s="3" t="s">
        <v>688</v>
      </c>
      <c r="E9773" s="4" t="str">
        <f t="shared" si="877"/>
        <v>Huyện Hồng Ngự</v>
      </c>
      <c r="F9773" s="3" t="s">
        <v>10532</v>
      </c>
      <c r="G9773" s="4" t="str">
        <f>HYPERLINK("https://diaocthongthai.com/thi-tran-thuong-thoi-tien-hong-ngu/","Thị trấn Thường Thới Tiền")</f>
        <v>Thị trấn Thường Thới Tiền</v>
      </c>
    </row>
    <row r="9774" spans="1:7" x14ac:dyDescent="0.25">
      <c r="A9774" s="2">
        <v>9773</v>
      </c>
      <c r="B9774" s="3" t="s">
        <v>58</v>
      </c>
      <c r="C9774" s="4" t="str">
        <f t="shared" si="876"/>
        <v>Đồng Tháp</v>
      </c>
      <c r="D9774" s="3" t="s">
        <v>688</v>
      </c>
      <c r="E9774" s="4" t="str">
        <f t="shared" si="877"/>
        <v>Huyện Hồng Ngự</v>
      </c>
      <c r="F9774" s="3" t="s">
        <v>10533</v>
      </c>
      <c r="G9774" s="4" t="str">
        <f>HYPERLINK("https://diaocthongthai.com/xa-thuong-phuoc-2-hong-ngu/","Xã Thường Phước 2")</f>
        <v>Xã Thường Phước 2</v>
      </c>
    </row>
    <row r="9775" spans="1:7" x14ac:dyDescent="0.25">
      <c r="A9775" s="2">
        <v>9774</v>
      </c>
      <c r="B9775" s="3" t="s">
        <v>58</v>
      </c>
      <c r="C9775" s="4" t="str">
        <f t="shared" si="876"/>
        <v>Đồng Tháp</v>
      </c>
      <c r="D9775" s="3" t="s">
        <v>688</v>
      </c>
      <c r="E9775" s="4" t="str">
        <f t="shared" si="877"/>
        <v>Huyện Hồng Ngự</v>
      </c>
      <c r="F9775" s="3" t="s">
        <v>10534</v>
      </c>
      <c r="G9775" s="4" t="str">
        <f>HYPERLINK("https://diaocthongthai.com/xa-thuong-lac-hong-ngu/","Xã Thường Lạc")</f>
        <v>Xã Thường Lạc</v>
      </c>
    </row>
    <row r="9776" spans="1:7" x14ac:dyDescent="0.25">
      <c r="A9776" s="2">
        <v>9775</v>
      </c>
      <c r="B9776" s="3" t="s">
        <v>58</v>
      </c>
      <c r="C9776" s="4" t="str">
        <f t="shared" si="876"/>
        <v>Đồng Tháp</v>
      </c>
      <c r="D9776" s="3" t="s">
        <v>688</v>
      </c>
      <c r="E9776" s="4" t="str">
        <f t="shared" si="877"/>
        <v>Huyện Hồng Ngự</v>
      </c>
      <c r="F9776" s="3" t="s">
        <v>10535</v>
      </c>
      <c r="G9776" s="4" t="str">
        <f>HYPERLINK("https://diaocthongthai.com/xa-long-khanh-a-hong-ngu/","Xã Long Khánh A")</f>
        <v>Xã Long Khánh A</v>
      </c>
    </row>
    <row r="9777" spans="1:7" x14ac:dyDescent="0.25">
      <c r="A9777" s="2">
        <v>9776</v>
      </c>
      <c r="B9777" s="3" t="s">
        <v>58</v>
      </c>
      <c r="C9777" s="4" t="str">
        <f t="shared" si="876"/>
        <v>Đồng Tháp</v>
      </c>
      <c r="D9777" s="3" t="s">
        <v>688</v>
      </c>
      <c r="E9777" s="4" t="str">
        <f t="shared" si="877"/>
        <v>Huyện Hồng Ngự</v>
      </c>
      <c r="F9777" s="3" t="s">
        <v>10536</v>
      </c>
      <c r="G9777" s="4" t="str">
        <f>HYPERLINK("https://diaocthongthai.com/xa-long-khanh-b-hong-ngu/","Xã Long Khánh B")</f>
        <v>Xã Long Khánh B</v>
      </c>
    </row>
    <row r="9778" spans="1:7" x14ac:dyDescent="0.25">
      <c r="A9778" s="2">
        <v>9777</v>
      </c>
      <c r="B9778" s="3" t="s">
        <v>58</v>
      </c>
      <c r="C9778" s="4" t="str">
        <f t="shared" si="876"/>
        <v>Đồng Tháp</v>
      </c>
      <c r="D9778" s="3" t="s">
        <v>688</v>
      </c>
      <c r="E9778" s="4" t="str">
        <f t="shared" si="877"/>
        <v>Huyện Hồng Ngự</v>
      </c>
      <c r="F9778" s="3" t="s">
        <v>10537</v>
      </c>
      <c r="G9778" s="4" t="str">
        <f>HYPERLINK("https://diaocthongthai.com/xa-long-thuan-hong-ngu/","Xã Long Thuận")</f>
        <v>Xã Long Thuận</v>
      </c>
    </row>
    <row r="9779" spans="1:7" x14ac:dyDescent="0.25">
      <c r="A9779" s="2">
        <v>9778</v>
      </c>
      <c r="B9779" s="3" t="s">
        <v>58</v>
      </c>
      <c r="C9779" s="4" t="str">
        <f t="shared" si="876"/>
        <v>Đồng Tháp</v>
      </c>
      <c r="D9779" s="3" t="s">
        <v>688</v>
      </c>
      <c r="E9779" s="4" t="str">
        <f t="shared" si="877"/>
        <v>Huyện Hồng Ngự</v>
      </c>
      <c r="F9779" s="3" t="s">
        <v>10538</v>
      </c>
      <c r="G9779" s="4" t="str">
        <f>HYPERLINK("https://diaocthongthai.com/xa-phu-thuan-b-hong-ngu/","Xã Phú Thuận B")</f>
        <v>Xã Phú Thuận B</v>
      </c>
    </row>
    <row r="9780" spans="1:7" x14ac:dyDescent="0.25">
      <c r="A9780" s="2">
        <v>9779</v>
      </c>
      <c r="B9780" s="3" t="s">
        <v>58</v>
      </c>
      <c r="C9780" s="4" t="str">
        <f t="shared" si="876"/>
        <v>Đồng Tháp</v>
      </c>
      <c r="D9780" s="3" t="s">
        <v>688</v>
      </c>
      <c r="E9780" s="4" t="str">
        <f t="shared" si="877"/>
        <v>Huyện Hồng Ngự</v>
      </c>
      <c r="F9780" s="3" t="s">
        <v>10539</v>
      </c>
      <c r="G9780" s="4" t="str">
        <f>HYPERLINK("https://diaocthongthai.com/xa-phu-thuan-a-hong-ngu/","Xã Phú Thuận A")</f>
        <v>Xã Phú Thuận A</v>
      </c>
    </row>
    <row r="9781" spans="1:7" x14ac:dyDescent="0.25">
      <c r="A9781" s="2">
        <v>9780</v>
      </c>
      <c r="B9781" s="3" t="s">
        <v>58</v>
      </c>
      <c r="C9781" s="4" t="str">
        <f t="shared" si="876"/>
        <v>Đồng Tháp</v>
      </c>
      <c r="D9781" s="3" t="s">
        <v>689</v>
      </c>
      <c r="E9781" s="4" t="str">
        <f t="shared" ref="E9781:E9792" si="878">HYPERLINK("https://diaocthongthai.com/ban-do-huyen-tam-nong-dong-thap/","Huyện Tam Nông")</f>
        <v>Huyện Tam Nông</v>
      </c>
      <c r="F9781" s="3" t="s">
        <v>10540</v>
      </c>
      <c r="G9781" s="4" t="str">
        <f>HYPERLINK("https://diaocthongthai.com/thi-tran-tram-chim-tam-nong-dong-thap/","Thị trấn Tràm Chim")</f>
        <v>Thị trấn Tràm Chim</v>
      </c>
    </row>
    <row r="9782" spans="1:7" x14ac:dyDescent="0.25">
      <c r="A9782" s="2">
        <v>9781</v>
      </c>
      <c r="B9782" s="3" t="s">
        <v>58</v>
      </c>
      <c r="C9782" s="4" t="str">
        <f t="shared" si="876"/>
        <v>Đồng Tháp</v>
      </c>
      <c r="D9782" s="3" t="s">
        <v>689</v>
      </c>
      <c r="E9782" s="4" t="str">
        <f t="shared" si="878"/>
        <v>Huyện Tam Nông</v>
      </c>
      <c r="F9782" s="3" t="s">
        <v>10541</v>
      </c>
      <c r="G9782" s="4" t="str">
        <f>HYPERLINK("https://diaocthongthai.com/xa-hoa-binh-tam-nong-dong-thap/","Xã Hoà Bình")</f>
        <v>Xã Hoà Bình</v>
      </c>
    </row>
    <row r="9783" spans="1:7" x14ac:dyDescent="0.25">
      <c r="A9783" s="2">
        <v>9782</v>
      </c>
      <c r="B9783" s="3" t="s">
        <v>58</v>
      </c>
      <c r="C9783" s="4" t="str">
        <f t="shared" si="876"/>
        <v>Đồng Tháp</v>
      </c>
      <c r="D9783" s="3" t="s">
        <v>689</v>
      </c>
      <c r="E9783" s="4" t="str">
        <f t="shared" si="878"/>
        <v>Huyện Tam Nông</v>
      </c>
      <c r="F9783" s="3" t="s">
        <v>10542</v>
      </c>
      <c r="G9783" s="4" t="str">
        <f>HYPERLINK("https://diaocthongthai.com/xa-tan-cong-sinh-tam-nong-dong-thap/","Xã Tân Công Sính")</f>
        <v>Xã Tân Công Sính</v>
      </c>
    </row>
    <row r="9784" spans="1:7" x14ac:dyDescent="0.25">
      <c r="A9784" s="2">
        <v>9783</v>
      </c>
      <c r="B9784" s="3" t="s">
        <v>58</v>
      </c>
      <c r="C9784" s="4" t="str">
        <f t="shared" si="876"/>
        <v>Đồng Tháp</v>
      </c>
      <c r="D9784" s="3" t="s">
        <v>689</v>
      </c>
      <c r="E9784" s="4" t="str">
        <f t="shared" si="878"/>
        <v>Huyện Tam Nông</v>
      </c>
      <c r="F9784" s="3" t="s">
        <v>10543</v>
      </c>
      <c r="G9784" s="4" t="str">
        <f>HYPERLINK("https://diaocthongthai.com/xa-phu-hiep-tam-nong-dong-thap/","Xã Phú Hiệp")</f>
        <v>Xã Phú Hiệp</v>
      </c>
    </row>
    <row r="9785" spans="1:7" x14ac:dyDescent="0.25">
      <c r="A9785" s="2">
        <v>9784</v>
      </c>
      <c r="B9785" s="3" t="s">
        <v>58</v>
      </c>
      <c r="C9785" s="4" t="str">
        <f t="shared" si="876"/>
        <v>Đồng Tháp</v>
      </c>
      <c r="D9785" s="3" t="s">
        <v>689</v>
      </c>
      <c r="E9785" s="4" t="str">
        <f t="shared" si="878"/>
        <v>Huyện Tam Nông</v>
      </c>
      <c r="F9785" s="3" t="s">
        <v>10544</v>
      </c>
      <c r="G9785" s="4" t="str">
        <f>HYPERLINK("https://diaocthongthai.com/xa-phu-duc-tam-nong-dong-thap/","Xã Phú Đức")</f>
        <v>Xã Phú Đức</v>
      </c>
    </row>
    <row r="9786" spans="1:7" x14ac:dyDescent="0.25">
      <c r="A9786" s="2">
        <v>9785</v>
      </c>
      <c r="B9786" s="3" t="s">
        <v>58</v>
      </c>
      <c r="C9786" s="4" t="str">
        <f t="shared" si="876"/>
        <v>Đồng Tháp</v>
      </c>
      <c r="D9786" s="3" t="s">
        <v>689</v>
      </c>
      <c r="E9786" s="4" t="str">
        <f t="shared" si="878"/>
        <v>Huyện Tam Nông</v>
      </c>
      <c r="F9786" s="3" t="s">
        <v>10545</v>
      </c>
      <c r="G9786" s="4" t="str">
        <f>HYPERLINK("https://diaocthongthai.com/xa-phu-thanh-b-tam-nong-dong-thap/","Xã Phú Thành B")</f>
        <v>Xã Phú Thành B</v>
      </c>
    </row>
    <row r="9787" spans="1:7" x14ac:dyDescent="0.25">
      <c r="A9787" s="2">
        <v>9786</v>
      </c>
      <c r="B9787" s="3" t="s">
        <v>58</v>
      </c>
      <c r="C9787" s="4" t="str">
        <f t="shared" si="876"/>
        <v>Đồng Tháp</v>
      </c>
      <c r="D9787" s="3" t="s">
        <v>689</v>
      </c>
      <c r="E9787" s="4" t="str">
        <f t="shared" si="878"/>
        <v>Huyện Tam Nông</v>
      </c>
      <c r="F9787" s="3" t="s">
        <v>10546</v>
      </c>
      <c r="G9787" s="4" t="str">
        <f>HYPERLINK("https://diaocthongthai.com/xa-an-hoa-tam-nong-dong-thap/","Xã An Hòa")</f>
        <v>Xã An Hòa</v>
      </c>
    </row>
    <row r="9788" spans="1:7" x14ac:dyDescent="0.25">
      <c r="A9788" s="2">
        <v>9787</v>
      </c>
      <c r="B9788" s="3" t="s">
        <v>58</v>
      </c>
      <c r="C9788" s="4" t="str">
        <f t="shared" si="876"/>
        <v>Đồng Tháp</v>
      </c>
      <c r="D9788" s="3" t="s">
        <v>689</v>
      </c>
      <c r="E9788" s="4" t="str">
        <f t="shared" si="878"/>
        <v>Huyện Tam Nông</v>
      </c>
      <c r="F9788" s="3" t="s">
        <v>10547</v>
      </c>
      <c r="G9788" s="4" t="str">
        <f>HYPERLINK("https://diaocthongthai.com/xa-an-long-tam-nong-dong-thap/","Xã An Long")</f>
        <v>Xã An Long</v>
      </c>
    </row>
    <row r="9789" spans="1:7" x14ac:dyDescent="0.25">
      <c r="A9789" s="2">
        <v>9788</v>
      </c>
      <c r="B9789" s="3" t="s">
        <v>58</v>
      </c>
      <c r="C9789" s="4" t="str">
        <f t="shared" si="876"/>
        <v>Đồng Tháp</v>
      </c>
      <c r="D9789" s="3" t="s">
        <v>689</v>
      </c>
      <c r="E9789" s="4" t="str">
        <f t="shared" si="878"/>
        <v>Huyện Tam Nông</v>
      </c>
      <c r="F9789" s="3" t="s">
        <v>10548</v>
      </c>
      <c r="G9789" s="4" t="str">
        <f>HYPERLINK("https://diaocthongthai.com/xa-phu-cuong-tam-nong-dong-thap/","Xã Phú Cường")</f>
        <v>Xã Phú Cường</v>
      </c>
    </row>
    <row r="9790" spans="1:7" x14ac:dyDescent="0.25">
      <c r="A9790" s="2">
        <v>9789</v>
      </c>
      <c r="B9790" s="3" t="s">
        <v>58</v>
      </c>
      <c r="C9790" s="4" t="str">
        <f t="shared" si="876"/>
        <v>Đồng Tháp</v>
      </c>
      <c r="D9790" s="3" t="s">
        <v>689</v>
      </c>
      <c r="E9790" s="4" t="str">
        <f t="shared" si="878"/>
        <v>Huyện Tam Nông</v>
      </c>
      <c r="F9790" s="3" t="s">
        <v>10549</v>
      </c>
      <c r="G9790" s="4" t="str">
        <f>HYPERLINK("https://diaocthongthai.com/xa-phu-ninh-tam-nong-dong-thap/","Xã Phú Ninh")</f>
        <v>Xã Phú Ninh</v>
      </c>
    </row>
    <row r="9791" spans="1:7" x14ac:dyDescent="0.25">
      <c r="A9791" s="2">
        <v>9790</v>
      </c>
      <c r="B9791" s="3" t="s">
        <v>58</v>
      </c>
      <c r="C9791" s="4" t="str">
        <f t="shared" si="876"/>
        <v>Đồng Tháp</v>
      </c>
      <c r="D9791" s="3" t="s">
        <v>689</v>
      </c>
      <c r="E9791" s="4" t="str">
        <f t="shared" si="878"/>
        <v>Huyện Tam Nông</v>
      </c>
      <c r="F9791" s="3" t="s">
        <v>10550</v>
      </c>
      <c r="G9791" s="4" t="str">
        <f>HYPERLINK("https://diaocthongthai.com/xa-phu-tho-tam-nong-dong-thap/","Xã Phú Thọ")</f>
        <v>Xã Phú Thọ</v>
      </c>
    </row>
    <row r="9792" spans="1:7" x14ac:dyDescent="0.25">
      <c r="A9792" s="2">
        <v>9791</v>
      </c>
      <c r="B9792" s="3" t="s">
        <v>58</v>
      </c>
      <c r="C9792" s="4" t="str">
        <f t="shared" si="876"/>
        <v>Đồng Tháp</v>
      </c>
      <c r="D9792" s="3" t="s">
        <v>689</v>
      </c>
      <c r="E9792" s="4" t="str">
        <f t="shared" si="878"/>
        <v>Huyện Tam Nông</v>
      </c>
      <c r="F9792" s="3" t="s">
        <v>10551</v>
      </c>
      <c r="G9792" s="4" t="str">
        <f>HYPERLINK("https://diaocthongthai.com/xa-phu-thanh-a-tam-nong-dong-thap/","Xã Phú Thành A")</f>
        <v>Xã Phú Thành A</v>
      </c>
    </row>
    <row r="9793" spans="1:7" x14ac:dyDescent="0.25">
      <c r="A9793" s="2">
        <v>9792</v>
      </c>
      <c r="B9793" s="3" t="s">
        <v>58</v>
      </c>
      <c r="C9793" s="4" t="str">
        <f t="shared" si="876"/>
        <v>Đồng Tháp</v>
      </c>
      <c r="D9793" s="3" t="s">
        <v>690</v>
      </c>
      <c r="E9793" s="4" t="str">
        <f t="shared" ref="E9793:E9805" si="879">HYPERLINK("https://diaocthongthai.com/ban-do-huyen-thap-muoi-dong-thap/","Huyện Tháp Mười")</f>
        <v>Huyện Tháp Mười</v>
      </c>
      <c r="F9793" s="3" t="s">
        <v>10552</v>
      </c>
      <c r="G9793" s="4" t="str">
        <f>HYPERLINK("https://diaocthongthai.com/thi-tran-my-an-thap-muoi/","Thị trấn Mỹ An")</f>
        <v>Thị trấn Mỹ An</v>
      </c>
    </row>
    <row r="9794" spans="1:7" x14ac:dyDescent="0.25">
      <c r="A9794" s="2">
        <v>9793</v>
      </c>
      <c r="B9794" s="3" t="s">
        <v>58</v>
      </c>
      <c r="C9794" s="4" t="str">
        <f t="shared" si="876"/>
        <v>Đồng Tháp</v>
      </c>
      <c r="D9794" s="3" t="s">
        <v>690</v>
      </c>
      <c r="E9794" s="4" t="str">
        <f t="shared" si="879"/>
        <v>Huyện Tháp Mười</v>
      </c>
      <c r="F9794" s="3" t="s">
        <v>10553</v>
      </c>
      <c r="G9794" s="4" t="str">
        <f>HYPERLINK("https://diaocthongthai.com/xa-thanh-loi-thap-muoi/","Xã Thạnh Lợi")</f>
        <v>Xã Thạnh Lợi</v>
      </c>
    </row>
    <row r="9795" spans="1:7" x14ac:dyDescent="0.25">
      <c r="A9795" s="2">
        <v>9794</v>
      </c>
      <c r="B9795" s="3" t="s">
        <v>58</v>
      </c>
      <c r="C9795" s="4" t="str">
        <f t="shared" ref="C9795:C9826" si="880">HYPERLINK("https://diaocthongthai.com/ban-do-dong-thap/","Đồng Tháp")</f>
        <v>Đồng Tháp</v>
      </c>
      <c r="D9795" s="3" t="s">
        <v>690</v>
      </c>
      <c r="E9795" s="4" t="str">
        <f t="shared" si="879"/>
        <v>Huyện Tháp Mười</v>
      </c>
      <c r="F9795" s="3" t="s">
        <v>10554</v>
      </c>
      <c r="G9795" s="4" t="str">
        <f>HYPERLINK("https://diaocthongthai.com/xa-hung-thanh-thap-muoi/","Xã Hưng Thạnh")</f>
        <v>Xã Hưng Thạnh</v>
      </c>
    </row>
    <row r="9796" spans="1:7" x14ac:dyDescent="0.25">
      <c r="A9796" s="2">
        <v>9795</v>
      </c>
      <c r="B9796" s="3" t="s">
        <v>58</v>
      </c>
      <c r="C9796" s="4" t="str">
        <f t="shared" si="880"/>
        <v>Đồng Tháp</v>
      </c>
      <c r="D9796" s="3" t="s">
        <v>690</v>
      </c>
      <c r="E9796" s="4" t="str">
        <f t="shared" si="879"/>
        <v>Huyện Tháp Mười</v>
      </c>
      <c r="F9796" s="3" t="s">
        <v>10555</v>
      </c>
      <c r="G9796" s="4" t="str">
        <f>HYPERLINK("https://diaocthongthai.com/xa-truong-xuan-thap-muoi/","Xã Trường Xuân")</f>
        <v>Xã Trường Xuân</v>
      </c>
    </row>
    <row r="9797" spans="1:7" x14ac:dyDescent="0.25">
      <c r="A9797" s="2">
        <v>9796</v>
      </c>
      <c r="B9797" s="3" t="s">
        <v>58</v>
      </c>
      <c r="C9797" s="4" t="str">
        <f t="shared" si="880"/>
        <v>Đồng Tháp</v>
      </c>
      <c r="D9797" s="3" t="s">
        <v>690</v>
      </c>
      <c r="E9797" s="4" t="str">
        <f t="shared" si="879"/>
        <v>Huyện Tháp Mười</v>
      </c>
      <c r="F9797" s="3" t="s">
        <v>10556</v>
      </c>
      <c r="G9797" s="4" t="str">
        <f>HYPERLINK("https://diaocthongthai.com/xa-tan-kieu-thap-muoi/","Xã Tân Kiều")</f>
        <v>Xã Tân Kiều</v>
      </c>
    </row>
    <row r="9798" spans="1:7" x14ac:dyDescent="0.25">
      <c r="A9798" s="2">
        <v>9797</v>
      </c>
      <c r="B9798" s="3" t="s">
        <v>58</v>
      </c>
      <c r="C9798" s="4" t="str">
        <f t="shared" si="880"/>
        <v>Đồng Tháp</v>
      </c>
      <c r="D9798" s="3" t="s">
        <v>690</v>
      </c>
      <c r="E9798" s="4" t="str">
        <f t="shared" si="879"/>
        <v>Huyện Tháp Mười</v>
      </c>
      <c r="F9798" s="3" t="s">
        <v>10557</v>
      </c>
      <c r="G9798" s="4" t="str">
        <f>HYPERLINK("https://diaocthongthai.com/xa-my-hoa-thap-muoi/","Xã Mỹ Hòa")</f>
        <v>Xã Mỹ Hòa</v>
      </c>
    </row>
    <row r="9799" spans="1:7" x14ac:dyDescent="0.25">
      <c r="A9799" s="2">
        <v>9798</v>
      </c>
      <c r="B9799" s="3" t="s">
        <v>58</v>
      </c>
      <c r="C9799" s="4" t="str">
        <f t="shared" si="880"/>
        <v>Đồng Tháp</v>
      </c>
      <c r="D9799" s="3" t="s">
        <v>690</v>
      </c>
      <c r="E9799" s="4" t="str">
        <f t="shared" si="879"/>
        <v>Huyện Tháp Mười</v>
      </c>
      <c r="F9799" s="3" t="s">
        <v>10558</v>
      </c>
      <c r="G9799" s="4" t="str">
        <f>HYPERLINK("https://diaocthongthai.com/xa-my-quy-thap-muoi/","Xã Mỹ Quý")</f>
        <v>Xã Mỹ Quý</v>
      </c>
    </row>
    <row r="9800" spans="1:7" x14ac:dyDescent="0.25">
      <c r="A9800" s="2">
        <v>9799</v>
      </c>
      <c r="B9800" s="3" t="s">
        <v>58</v>
      </c>
      <c r="C9800" s="4" t="str">
        <f t="shared" si="880"/>
        <v>Đồng Tháp</v>
      </c>
      <c r="D9800" s="3" t="s">
        <v>690</v>
      </c>
      <c r="E9800" s="4" t="str">
        <f t="shared" si="879"/>
        <v>Huyện Tháp Mười</v>
      </c>
      <c r="F9800" s="3" t="s">
        <v>10559</v>
      </c>
      <c r="G9800" s="4" t="str">
        <f>HYPERLINK("https://diaocthongthai.com/xa-my-dong-thap-muoi/","Xã Mỹ Đông")</f>
        <v>Xã Mỹ Đông</v>
      </c>
    </row>
    <row r="9801" spans="1:7" x14ac:dyDescent="0.25">
      <c r="A9801" s="2">
        <v>9800</v>
      </c>
      <c r="B9801" s="3" t="s">
        <v>58</v>
      </c>
      <c r="C9801" s="4" t="str">
        <f t="shared" si="880"/>
        <v>Đồng Tháp</v>
      </c>
      <c r="D9801" s="3" t="s">
        <v>690</v>
      </c>
      <c r="E9801" s="4" t="str">
        <f t="shared" si="879"/>
        <v>Huyện Tháp Mười</v>
      </c>
      <c r="F9801" s="3" t="s">
        <v>10560</v>
      </c>
      <c r="G9801" s="4" t="str">
        <f>HYPERLINK("https://diaocthongthai.com/xa-doc-binh-kieu-thap-muoi/","Xã Đốc Binh Kiều")</f>
        <v>Xã Đốc Binh Kiều</v>
      </c>
    </row>
    <row r="9802" spans="1:7" x14ac:dyDescent="0.25">
      <c r="A9802" s="2">
        <v>9801</v>
      </c>
      <c r="B9802" s="3" t="s">
        <v>58</v>
      </c>
      <c r="C9802" s="4" t="str">
        <f t="shared" si="880"/>
        <v>Đồng Tháp</v>
      </c>
      <c r="D9802" s="3" t="s">
        <v>690</v>
      </c>
      <c r="E9802" s="4" t="str">
        <f t="shared" si="879"/>
        <v>Huyện Tháp Mười</v>
      </c>
      <c r="F9802" s="3" t="s">
        <v>10561</v>
      </c>
      <c r="G9802" s="4" t="str">
        <f>HYPERLINK("https://diaocthongthai.com/xa-my-an-thap-muoi/","Xã Mỹ An")</f>
        <v>Xã Mỹ An</v>
      </c>
    </row>
    <row r="9803" spans="1:7" x14ac:dyDescent="0.25">
      <c r="A9803" s="2">
        <v>9802</v>
      </c>
      <c r="B9803" s="3" t="s">
        <v>58</v>
      </c>
      <c r="C9803" s="4" t="str">
        <f t="shared" si="880"/>
        <v>Đồng Tháp</v>
      </c>
      <c r="D9803" s="3" t="s">
        <v>690</v>
      </c>
      <c r="E9803" s="4" t="str">
        <f t="shared" si="879"/>
        <v>Huyện Tháp Mười</v>
      </c>
      <c r="F9803" s="3" t="s">
        <v>10562</v>
      </c>
      <c r="G9803" s="4" t="str">
        <f>HYPERLINK("https://diaocthongthai.com/xa-phu-dien-thap-muoi/","Xã Phú Điền")</f>
        <v>Xã Phú Điền</v>
      </c>
    </row>
    <row r="9804" spans="1:7" x14ac:dyDescent="0.25">
      <c r="A9804" s="2">
        <v>9803</v>
      </c>
      <c r="B9804" s="3" t="s">
        <v>58</v>
      </c>
      <c r="C9804" s="4" t="str">
        <f t="shared" si="880"/>
        <v>Đồng Tháp</v>
      </c>
      <c r="D9804" s="3" t="s">
        <v>690</v>
      </c>
      <c r="E9804" s="4" t="str">
        <f t="shared" si="879"/>
        <v>Huyện Tháp Mười</v>
      </c>
      <c r="F9804" s="3" t="s">
        <v>10563</v>
      </c>
      <c r="G9804" s="4" t="str">
        <f>HYPERLINK("https://diaocthongthai.com/xa-lang-bien-thap-muoi/","Xã Láng Biển")</f>
        <v>Xã Láng Biển</v>
      </c>
    </row>
    <row r="9805" spans="1:7" x14ac:dyDescent="0.25">
      <c r="A9805" s="2">
        <v>9804</v>
      </c>
      <c r="B9805" s="3" t="s">
        <v>58</v>
      </c>
      <c r="C9805" s="4" t="str">
        <f t="shared" si="880"/>
        <v>Đồng Tháp</v>
      </c>
      <c r="D9805" s="3" t="s">
        <v>690</v>
      </c>
      <c r="E9805" s="4" t="str">
        <f t="shared" si="879"/>
        <v>Huyện Tháp Mười</v>
      </c>
      <c r="F9805" s="3" t="s">
        <v>10564</v>
      </c>
      <c r="G9805" s="4" t="str">
        <f>HYPERLINK("https://diaocthongthai.com/xa-thanh-my-thap-muoi/","Xã Thanh Mỹ")</f>
        <v>Xã Thanh Mỹ</v>
      </c>
    </row>
    <row r="9806" spans="1:7" x14ac:dyDescent="0.25">
      <c r="A9806" s="2">
        <v>9805</v>
      </c>
      <c r="B9806" s="3" t="s">
        <v>58</v>
      </c>
      <c r="C9806" s="4" t="str">
        <f t="shared" si="880"/>
        <v>Đồng Tháp</v>
      </c>
      <c r="D9806" s="3" t="s">
        <v>691</v>
      </c>
      <c r="E9806" s="4" t="str">
        <f t="shared" ref="E9806:E9823" si="881">HYPERLINK("https://diaocthongthai.com/ban-do-huyen-cao-lanh-dong-thap/","Huyện Cao Lãnh")</f>
        <v>Huyện Cao Lãnh</v>
      </c>
      <c r="F9806" s="3" t="s">
        <v>10565</v>
      </c>
      <c r="G9806" s="4" t="str">
        <f>HYPERLINK("https://diaocthongthai.com/thi-tran-my-tho-cao-lanh/","Thị trấn Mỹ Thọ")</f>
        <v>Thị trấn Mỹ Thọ</v>
      </c>
    </row>
    <row r="9807" spans="1:7" x14ac:dyDescent="0.25">
      <c r="A9807" s="2">
        <v>9806</v>
      </c>
      <c r="B9807" s="3" t="s">
        <v>58</v>
      </c>
      <c r="C9807" s="4" t="str">
        <f t="shared" si="880"/>
        <v>Đồng Tháp</v>
      </c>
      <c r="D9807" s="3" t="s">
        <v>691</v>
      </c>
      <c r="E9807" s="4" t="str">
        <f t="shared" si="881"/>
        <v>Huyện Cao Lãnh</v>
      </c>
      <c r="F9807" s="3" t="s">
        <v>10566</v>
      </c>
      <c r="G9807" s="4" t="str">
        <f>HYPERLINK("https://diaocthongthai.com/xa-gao-giong-cao-lanh/","Xã Gáo Giồng")</f>
        <v>Xã Gáo Giồng</v>
      </c>
    </row>
    <row r="9808" spans="1:7" x14ac:dyDescent="0.25">
      <c r="A9808" s="2">
        <v>9807</v>
      </c>
      <c r="B9808" s="3" t="s">
        <v>58</v>
      </c>
      <c r="C9808" s="4" t="str">
        <f t="shared" si="880"/>
        <v>Đồng Tháp</v>
      </c>
      <c r="D9808" s="3" t="s">
        <v>691</v>
      </c>
      <c r="E9808" s="4" t="str">
        <f t="shared" si="881"/>
        <v>Huyện Cao Lãnh</v>
      </c>
      <c r="F9808" s="3" t="s">
        <v>10567</v>
      </c>
      <c r="G9808" s="4" t="str">
        <f>HYPERLINK("https://diaocthongthai.com/xa-phuong-thinh-cao-lanh/","Xã Phương Thịnh")</f>
        <v>Xã Phương Thịnh</v>
      </c>
    </row>
    <row r="9809" spans="1:7" x14ac:dyDescent="0.25">
      <c r="A9809" s="2">
        <v>9808</v>
      </c>
      <c r="B9809" s="3" t="s">
        <v>58</v>
      </c>
      <c r="C9809" s="4" t="str">
        <f t="shared" si="880"/>
        <v>Đồng Tháp</v>
      </c>
      <c r="D9809" s="3" t="s">
        <v>691</v>
      </c>
      <c r="E9809" s="4" t="str">
        <f t="shared" si="881"/>
        <v>Huyện Cao Lãnh</v>
      </c>
      <c r="F9809" s="3" t="s">
        <v>10568</v>
      </c>
      <c r="G9809" s="4" t="str">
        <f>HYPERLINK("https://diaocthongthai.com/xa-ba-sao-cao-lanh/","Xã Ba Sao")</f>
        <v>Xã Ba Sao</v>
      </c>
    </row>
    <row r="9810" spans="1:7" x14ac:dyDescent="0.25">
      <c r="A9810" s="2">
        <v>9809</v>
      </c>
      <c r="B9810" s="3" t="s">
        <v>58</v>
      </c>
      <c r="C9810" s="4" t="str">
        <f t="shared" si="880"/>
        <v>Đồng Tháp</v>
      </c>
      <c r="D9810" s="3" t="s">
        <v>691</v>
      </c>
      <c r="E9810" s="4" t="str">
        <f t="shared" si="881"/>
        <v>Huyện Cao Lãnh</v>
      </c>
      <c r="F9810" s="3" t="s">
        <v>10569</v>
      </c>
      <c r="G9810" s="4" t="str">
        <f>HYPERLINK("https://diaocthongthai.com/xa-phong-my-cao-lanh/","Xã Phong Mỹ")</f>
        <v>Xã Phong Mỹ</v>
      </c>
    </row>
    <row r="9811" spans="1:7" x14ac:dyDescent="0.25">
      <c r="A9811" s="2">
        <v>9810</v>
      </c>
      <c r="B9811" s="3" t="s">
        <v>58</v>
      </c>
      <c r="C9811" s="4" t="str">
        <f t="shared" si="880"/>
        <v>Đồng Tháp</v>
      </c>
      <c r="D9811" s="3" t="s">
        <v>691</v>
      </c>
      <c r="E9811" s="4" t="str">
        <f t="shared" si="881"/>
        <v>Huyện Cao Lãnh</v>
      </c>
      <c r="F9811" s="3" t="s">
        <v>10570</v>
      </c>
      <c r="G9811" s="4" t="str">
        <f>HYPERLINK("https://diaocthongthai.com/xa-tan-nghia-cao-lanh/","Xã Tân Nghĩa")</f>
        <v>Xã Tân Nghĩa</v>
      </c>
    </row>
    <row r="9812" spans="1:7" x14ac:dyDescent="0.25">
      <c r="A9812" s="2">
        <v>9811</v>
      </c>
      <c r="B9812" s="3" t="s">
        <v>58</v>
      </c>
      <c r="C9812" s="4" t="str">
        <f t="shared" si="880"/>
        <v>Đồng Tháp</v>
      </c>
      <c r="D9812" s="3" t="s">
        <v>691</v>
      </c>
      <c r="E9812" s="4" t="str">
        <f t="shared" si="881"/>
        <v>Huyện Cao Lãnh</v>
      </c>
      <c r="F9812" s="3" t="s">
        <v>10571</v>
      </c>
      <c r="G9812" s="4" t="str">
        <f>HYPERLINK("https://diaocthongthai.com/xa-phuong-tra-cao-lanh/","Xã Phương Trà")</f>
        <v>Xã Phương Trà</v>
      </c>
    </row>
    <row r="9813" spans="1:7" x14ac:dyDescent="0.25">
      <c r="A9813" s="2">
        <v>9812</v>
      </c>
      <c r="B9813" s="3" t="s">
        <v>58</v>
      </c>
      <c r="C9813" s="4" t="str">
        <f t="shared" si="880"/>
        <v>Đồng Tháp</v>
      </c>
      <c r="D9813" s="3" t="s">
        <v>691</v>
      </c>
      <c r="E9813" s="4" t="str">
        <f t="shared" si="881"/>
        <v>Huyện Cao Lãnh</v>
      </c>
      <c r="F9813" s="3" t="s">
        <v>10572</v>
      </c>
      <c r="G9813" s="4" t="str">
        <f>HYPERLINK("https://diaocthongthai.com/xa-nhi-my-cao-lanh/","Xã Nhị Mỹ")</f>
        <v>Xã Nhị Mỹ</v>
      </c>
    </row>
    <row r="9814" spans="1:7" x14ac:dyDescent="0.25">
      <c r="A9814" s="2">
        <v>9813</v>
      </c>
      <c r="B9814" s="3" t="s">
        <v>58</v>
      </c>
      <c r="C9814" s="4" t="str">
        <f t="shared" si="880"/>
        <v>Đồng Tháp</v>
      </c>
      <c r="D9814" s="3" t="s">
        <v>691</v>
      </c>
      <c r="E9814" s="4" t="str">
        <f t="shared" si="881"/>
        <v>Huyện Cao Lãnh</v>
      </c>
      <c r="F9814" s="3" t="s">
        <v>10573</v>
      </c>
      <c r="G9814" s="4" t="str">
        <f>HYPERLINK("https://diaocthongthai.com/xa-my-tho-cao-lanh/","Xã Mỹ Thọ")</f>
        <v>Xã Mỹ Thọ</v>
      </c>
    </row>
    <row r="9815" spans="1:7" x14ac:dyDescent="0.25">
      <c r="A9815" s="2">
        <v>9814</v>
      </c>
      <c r="B9815" s="3" t="s">
        <v>58</v>
      </c>
      <c r="C9815" s="4" t="str">
        <f t="shared" si="880"/>
        <v>Đồng Tháp</v>
      </c>
      <c r="D9815" s="3" t="s">
        <v>691</v>
      </c>
      <c r="E9815" s="4" t="str">
        <f t="shared" si="881"/>
        <v>Huyện Cao Lãnh</v>
      </c>
      <c r="F9815" s="3" t="s">
        <v>10574</v>
      </c>
      <c r="G9815" s="4" t="str">
        <f>HYPERLINK("https://diaocthongthai.com/xa-tan-hoi-trung-cao-lanh/","Xã Tân Hội Trung")</f>
        <v>Xã Tân Hội Trung</v>
      </c>
    </row>
    <row r="9816" spans="1:7" x14ac:dyDescent="0.25">
      <c r="A9816" s="2">
        <v>9815</v>
      </c>
      <c r="B9816" s="3" t="s">
        <v>58</v>
      </c>
      <c r="C9816" s="4" t="str">
        <f t="shared" si="880"/>
        <v>Đồng Tháp</v>
      </c>
      <c r="D9816" s="3" t="s">
        <v>691</v>
      </c>
      <c r="E9816" s="4" t="str">
        <f t="shared" si="881"/>
        <v>Huyện Cao Lãnh</v>
      </c>
      <c r="F9816" s="3" t="s">
        <v>10575</v>
      </c>
      <c r="G9816" s="4" t="str">
        <f>HYPERLINK("https://diaocthongthai.com/xa-an-binh-cao-lanh/","Xã An Bình")</f>
        <v>Xã An Bình</v>
      </c>
    </row>
    <row r="9817" spans="1:7" x14ac:dyDescent="0.25">
      <c r="A9817" s="2">
        <v>9816</v>
      </c>
      <c r="B9817" s="3" t="s">
        <v>58</v>
      </c>
      <c r="C9817" s="4" t="str">
        <f t="shared" si="880"/>
        <v>Đồng Tháp</v>
      </c>
      <c r="D9817" s="3" t="s">
        <v>691</v>
      </c>
      <c r="E9817" s="4" t="str">
        <f t="shared" si="881"/>
        <v>Huyện Cao Lãnh</v>
      </c>
      <c r="F9817" s="3" t="s">
        <v>10576</v>
      </c>
      <c r="G9817" s="4" t="str">
        <f>HYPERLINK("https://diaocthongthai.com/xa-my-hoi-cao-lanh/","Xã Mỹ Hội")</f>
        <v>Xã Mỹ Hội</v>
      </c>
    </row>
    <row r="9818" spans="1:7" x14ac:dyDescent="0.25">
      <c r="A9818" s="2">
        <v>9817</v>
      </c>
      <c r="B9818" s="3" t="s">
        <v>58</v>
      </c>
      <c r="C9818" s="4" t="str">
        <f t="shared" si="880"/>
        <v>Đồng Tháp</v>
      </c>
      <c r="D9818" s="3" t="s">
        <v>691</v>
      </c>
      <c r="E9818" s="4" t="str">
        <f t="shared" si="881"/>
        <v>Huyện Cao Lãnh</v>
      </c>
      <c r="F9818" s="3" t="s">
        <v>10577</v>
      </c>
      <c r="G9818" s="4" t="str">
        <f>HYPERLINK("https://diaocthongthai.com/xa-my-hiep-cao-lanh/","Xã Mỹ Hiệp")</f>
        <v>Xã Mỹ Hiệp</v>
      </c>
    </row>
    <row r="9819" spans="1:7" x14ac:dyDescent="0.25">
      <c r="A9819" s="2">
        <v>9818</v>
      </c>
      <c r="B9819" s="3" t="s">
        <v>58</v>
      </c>
      <c r="C9819" s="4" t="str">
        <f t="shared" si="880"/>
        <v>Đồng Tháp</v>
      </c>
      <c r="D9819" s="3" t="s">
        <v>691</v>
      </c>
      <c r="E9819" s="4" t="str">
        <f t="shared" si="881"/>
        <v>Huyện Cao Lãnh</v>
      </c>
      <c r="F9819" s="3" t="s">
        <v>10578</v>
      </c>
      <c r="G9819" s="4" t="str">
        <f>HYPERLINK("https://diaocthongthai.com/xa-my-long-cao-lanh/","Xã Mỹ Long")</f>
        <v>Xã Mỹ Long</v>
      </c>
    </row>
    <row r="9820" spans="1:7" x14ac:dyDescent="0.25">
      <c r="A9820" s="2">
        <v>9819</v>
      </c>
      <c r="B9820" s="3" t="s">
        <v>58</v>
      </c>
      <c r="C9820" s="4" t="str">
        <f t="shared" si="880"/>
        <v>Đồng Tháp</v>
      </c>
      <c r="D9820" s="3" t="s">
        <v>691</v>
      </c>
      <c r="E9820" s="4" t="str">
        <f t="shared" si="881"/>
        <v>Huyện Cao Lãnh</v>
      </c>
      <c r="F9820" s="3" t="s">
        <v>10579</v>
      </c>
      <c r="G9820" s="4" t="str">
        <f>HYPERLINK("https://diaocthongthai.com/xa-binh-hang-trung-cao-lanh/","Xã Bình Hàng Trung")</f>
        <v>Xã Bình Hàng Trung</v>
      </c>
    </row>
    <row r="9821" spans="1:7" x14ac:dyDescent="0.25">
      <c r="A9821" s="2">
        <v>9820</v>
      </c>
      <c r="B9821" s="3" t="s">
        <v>58</v>
      </c>
      <c r="C9821" s="4" t="str">
        <f t="shared" si="880"/>
        <v>Đồng Tháp</v>
      </c>
      <c r="D9821" s="3" t="s">
        <v>691</v>
      </c>
      <c r="E9821" s="4" t="str">
        <f t="shared" si="881"/>
        <v>Huyện Cao Lãnh</v>
      </c>
      <c r="F9821" s="3" t="s">
        <v>10580</v>
      </c>
      <c r="G9821" s="4" t="str">
        <f>HYPERLINK("https://diaocthongthai.com/xa-my-xuong-cao-lanh/","Xã Mỹ Xương")</f>
        <v>Xã Mỹ Xương</v>
      </c>
    </row>
    <row r="9822" spans="1:7" x14ac:dyDescent="0.25">
      <c r="A9822" s="2">
        <v>9821</v>
      </c>
      <c r="B9822" s="3" t="s">
        <v>58</v>
      </c>
      <c r="C9822" s="4" t="str">
        <f t="shared" si="880"/>
        <v>Đồng Tháp</v>
      </c>
      <c r="D9822" s="3" t="s">
        <v>691</v>
      </c>
      <c r="E9822" s="4" t="str">
        <f t="shared" si="881"/>
        <v>Huyện Cao Lãnh</v>
      </c>
      <c r="F9822" s="3" t="s">
        <v>10581</v>
      </c>
      <c r="G9822" s="4" t="str">
        <f>HYPERLINK("https://diaocthongthai.com/xa-binh-hang-tay-cao-lanh/","Xã Bình Hàng Tây")</f>
        <v>Xã Bình Hàng Tây</v>
      </c>
    </row>
    <row r="9823" spans="1:7" x14ac:dyDescent="0.25">
      <c r="A9823" s="2">
        <v>9822</v>
      </c>
      <c r="B9823" s="3" t="s">
        <v>58</v>
      </c>
      <c r="C9823" s="4" t="str">
        <f t="shared" si="880"/>
        <v>Đồng Tháp</v>
      </c>
      <c r="D9823" s="3" t="s">
        <v>691</v>
      </c>
      <c r="E9823" s="4" t="str">
        <f t="shared" si="881"/>
        <v>Huyện Cao Lãnh</v>
      </c>
      <c r="F9823" s="3" t="s">
        <v>10582</v>
      </c>
      <c r="G9823" s="4" t="str">
        <f>HYPERLINK("https://diaocthongthai.com/xa-binh-thanh-cao-lanh/","Xã Bình Thạnh")</f>
        <v>Xã Bình Thạnh</v>
      </c>
    </row>
    <row r="9824" spans="1:7" x14ac:dyDescent="0.25">
      <c r="A9824" s="2">
        <v>9823</v>
      </c>
      <c r="B9824" s="3" t="s">
        <v>58</v>
      </c>
      <c r="C9824" s="4" t="str">
        <f t="shared" si="880"/>
        <v>Đồng Tháp</v>
      </c>
      <c r="D9824" s="3" t="s">
        <v>692</v>
      </c>
      <c r="E9824" s="4" t="str">
        <f t="shared" ref="E9824:E9836" si="882">HYPERLINK("https://diaocthongthai.com/ban-do-huyen-thanh-binh-dong-thap/","Huyện Thanh Bình")</f>
        <v>Huyện Thanh Bình</v>
      </c>
      <c r="F9824" s="3" t="s">
        <v>10583</v>
      </c>
      <c r="G9824" s="4" t="str">
        <f>HYPERLINK("https://diaocthongthai.com/thi-tran-thanh-binh-thanh-binh/","Thị trấn Thanh Bình")</f>
        <v>Thị trấn Thanh Bình</v>
      </c>
    </row>
    <row r="9825" spans="1:7" x14ac:dyDescent="0.25">
      <c r="A9825" s="2">
        <v>9824</v>
      </c>
      <c r="B9825" s="3" t="s">
        <v>58</v>
      </c>
      <c r="C9825" s="4" t="str">
        <f t="shared" si="880"/>
        <v>Đồng Tháp</v>
      </c>
      <c r="D9825" s="3" t="s">
        <v>692</v>
      </c>
      <c r="E9825" s="4" t="str">
        <f t="shared" si="882"/>
        <v>Huyện Thanh Bình</v>
      </c>
      <c r="F9825" s="3" t="s">
        <v>10584</v>
      </c>
      <c r="G9825" s="4" t="str">
        <f>HYPERLINK("https://diaocthongthai.com/xa-tan-quoi-thanh-binh/","Xã Tân Quới")</f>
        <v>Xã Tân Quới</v>
      </c>
    </row>
    <row r="9826" spans="1:7" x14ac:dyDescent="0.25">
      <c r="A9826" s="2">
        <v>9825</v>
      </c>
      <c r="B9826" s="3" t="s">
        <v>58</v>
      </c>
      <c r="C9826" s="4" t="str">
        <f t="shared" si="880"/>
        <v>Đồng Tháp</v>
      </c>
      <c r="D9826" s="3" t="s">
        <v>692</v>
      </c>
      <c r="E9826" s="4" t="str">
        <f t="shared" si="882"/>
        <v>Huyện Thanh Bình</v>
      </c>
      <c r="F9826" s="3" t="s">
        <v>10585</v>
      </c>
      <c r="G9826" s="4" t="str">
        <f>HYPERLINK("https://diaocthongthai.com/xa-tan-hoa-thanh-binh/","Xã Tân Hòa")</f>
        <v>Xã Tân Hòa</v>
      </c>
    </row>
    <row r="9827" spans="1:7" x14ac:dyDescent="0.25">
      <c r="A9827" s="2">
        <v>9826</v>
      </c>
      <c r="B9827" s="3" t="s">
        <v>58</v>
      </c>
      <c r="C9827" s="4" t="str">
        <f t="shared" ref="C9827:C9858" si="883">HYPERLINK("https://diaocthongthai.com/ban-do-dong-thap/","Đồng Tháp")</f>
        <v>Đồng Tháp</v>
      </c>
      <c r="D9827" s="3" t="s">
        <v>692</v>
      </c>
      <c r="E9827" s="4" t="str">
        <f t="shared" si="882"/>
        <v>Huyện Thanh Bình</v>
      </c>
      <c r="F9827" s="3" t="s">
        <v>10586</v>
      </c>
      <c r="G9827" s="4" t="str">
        <f>HYPERLINK("https://diaocthongthai.com/xa-an-phong-thanh-binh/","Xã An Phong")</f>
        <v>Xã An Phong</v>
      </c>
    </row>
    <row r="9828" spans="1:7" x14ac:dyDescent="0.25">
      <c r="A9828" s="2">
        <v>9827</v>
      </c>
      <c r="B9828" s="3" t="s">
        <v>58</v>
      </c>
      <c r="C9828" s="4" t="str">
        <f t="shared" si="883"/>
        <v>Đồng Tháp</v>
      </c>
      <c r="D9828" s="3" t="s">
        <v>692</v>
      </c>
      <c r="E9828" s="4" t="str">
        <f t="shared" si="882"/>
        <v>Huyện Thanh Bình</v>
      </c>
      <c r="F9828" s="3" t="s">
        <v>10587</v>
      </c>
      <c r="G9828" s="4" t="str">
        <f>HYPERLINK("https://diaocthongthai.com/xa-phu-loi-thanh-binh/","Xã Phú Lợi")</f>
        <v>Xã Phú Lợi</v>
      </c>
    </row>
    <row r="9829" spans="1:7" x14ac:dyDescent="0.25">
      <c r="A9829" s="2">
        <v>9828</v>
      </c>
      <c r="B9829" s="3" t="s">
        <v>58</v>
      </c>
      <c r="C9829" s="4" t="str">
        <f t="shared" si="883"/>
        <v>Đồng Tháp</v>
      </c>
      <c r="D9829" s="3" t="s">
        <v>692</v>
      </c>
      <c r="E9829" s="4" t="str">
        <f t="shared" si="882"/>
        <v>Huyện Thanh Bình</v>
      </c>
      <c r="F9829" s="3" t="s">
        <v>10588</v>
      </c>
      <c r="G9829" s="4" t="str">
        <f>HYPERLINK("https://diaocthongthai.com/xa-tan-my-thanh-binh/","Xã Tân Mỹ")</f>
        <v>Xã Tân Mỹ</v>
      </c>
    </row>
    <row r="9830" spans="1:7" x14ac:dyDescent="0.25">
      <c r="A9830" s="2">
        <v>9829</v>
      </c>
      <c r="B9830" s="3" t="s">
        <v>58</v>
      </c>
      <c r="C9830" s="4" t="str">
        <f t="shared" si="883"/>
        <v>Đồng Tháp</v>
      </c>
      <c r="D9830" s="3" t="s">
        <v>692</v>
      </c>
      <c r="E9830" s="4" t="str">
        <f t="shared" si="882"/>
        <v>Huyện Thanh Bình</v>
      </c>
      <c r="F9830" s="3" t="s">
        <v>10589</v>
      </c>
      <c r="G9830" s="4" t="str">
        <f>HYPERLINK("https://diaocthongthai.com/xa-binh-tan-thanh-binh/","Xã Bình Tấn")</f>
        <v>Xã Bình Tấn</v>
      </c>
    </row>
    <row r="9831" spans="1:7" x14ac:dyDescent="0.25">
      <c r="A9831" s="2">
        <v>9830</v>
      </c>
      <c r="B9831" s="3" t="s">
        <v>58</v>
      </c>
      <c r="C9831" s="4" t="str">
        <f t="shared" si="883"/>
        <v>Đồng Tháp</v>
      </c>
      <c r="D9831" s="3" t="s">
        <v>692</v>
      </c>
      <c r="E9831" s="4" t="str">
        <f t="shared" si="882"/>
        <v>Huyện Thanh Bình</v>
      </c>
      <c r="F9831" s="3" t="s">
        <v>10590</v>
      </c>
      <c r="G9831" s="4" t="str">
        <f>HYPERLINK("https://diaocthongthai.com/xa-tan-hue-thanh-binh/","Xã Tân Huề")</f>
        <v>Xã Tân Huề</v>
      </c>
    </row>
    <row r="9832" spans="1:7" x14ac:dyDescent="0.25">
      <c r="A9832" s="2">
        <v>9831</v>
      </c>
      <c r="B9832" s="3" t="s">
        <v>58</v>
      </c>
      <c r="C9832" s="4" t="str">
        <f t="shared" si="883"/>
        <v>Đồng Tháp</v>
      </c>
      <c r="D9832" s="3" t="s">
        <v>692</v>
      </c>
      <c r="E9832" s="4" t="str">
        <f t="shared" si="882"/>
        <v>Huyện Thanh Bình</v>
      </c>
      <c r="F9832" s="3" t="s">
        <v>10591</v>
      </c>
      <c r="G9832" s="4" t="str">
        <f>HYPERLINK("https://diaocthongthai.com/xa-tan-binh-thanh-binh/","Xã Tân Bình")</f>
        <v>Xã Tân Bình</v>
      </c>
    </row>
    <row r="9833" spans="1:7" x14ac:dyDescent="0.25">
      <c r="A9833" s="2">
        <v>9832</v>
      </c>
      <c r="B9833" s="3" t="s">
        <v>58</v>
      </c>
      <c r="C9833" s="4" t="str">
        <f t="shared" si="883"/>
        <v>Đồng Tháp</v>
      </c>
      <c r="D9833" s="3" t="s">
        <v>692</v>
      </c>
      <c r="E9833" s="4" t="str">
        <f t="shared" si="882"/>
        <v>Huyện Thanh Bình</v>
      </c>
      <c r="F9833" s="3" t="s">
        <v>10592</v>
      </c>
      <c r="G9833" s="4" t="str">
        <f>HYPERLINK("https://diaocthongthai.com/xa-tan-thanh-thanh-binh/","Xã Tân Thạnh")</f>
        <v>Xã Tân Thạnh</v>
      </c>
    </row>
    <row r="9834" spans="1:7" x14ac:dyDescent="0.25">
      <c r="A9834" s="2">
        <v>9833</v>
      </c>
      <c r="B9834" s="3" t="s">
        <v>58</v>
      </c>
      <c r="C9834" s="4" t="str">
        <f t="shared" si="883"/>
        <v>Đồng Tháp</v>
      </c>
      <c r="D9834" s="3" t="s">
        <v>692</v>
      </c>
      <c r="E9834" s="4" t="str">
        <f t="shared" si="882"/>
        <v>Huyện Thanh Bình</v>
      </c>
      <c r="F9834" s="3" t="s">
        <v>10593</v>
      </c>
      <c r="G9834" s="4" t="str">
        <f>HYPERLINK("https://diaocthongthai.com/xa-tan-phu-thanh-binh/","Xã Tân Phú")</f>
        <v>Xã Tân Phú</v>
      </c>
    </row>
    <row r="9835" spans="1:7" x14ac:dyDescent="0.25">
      <c r="A9835" s="2">
        <v>9834</v>
      </c>
      <c r="B9835" s="3" t="s">
        <v>58</v>
      </c>
      <c r="C9835" s="4" t="str">
        <f t="shared" si="883"/>
        <v>Đồng Tháp</v>
      </c>
      <c r="D9835" s="3" t="s">
        <v>692</v>
      </c>
      <c r="E9835" s="4" t="str">
        <f t="shared" si="882"/>
        <v>Huyện Thanh Bình</v>
      </c>
      <c r="F9835" s="3" t="s">
        <v>10594</v>
      </c>
      <c r="G9835" s="4" t="str">
        <f>HYPERLINK("https://diaocthongthai.com/xa-binh-thanh-thanh-binh/","Xã Bình Thành")</f>
        <v>Xã Bình Thành</v>
      </c>
    </row>
    <row r="9836" spans="1:7" x14ac:dyDescent="0.25">
      <c r="A9836" s="2">
        <v>9835</v>
      </c>
      <c r="B9836" s="3" t="s">
        <v>58</v>
      </c>
      <c r="C9836" s="4" t="str">
        <f t="shared" si="883"/>
        <v>Đồng Tháp</v>
      </c>
      <c r="D9836" s="3" t="s">
        <v>692</v>
      </c>
      <c r="E9836" s="4" t="str">
        <f t="shared" si="882"/>
        <v>Huyện Thanh Bình</v>
      </c>
      <c r="F9836" s="3" t="s">
        <v>10595</v>
      </c>
      <c r="G9836" s="4" t="str">
        <f>HYPERLINK("https://diaocthongthai.com/xa-tan-long-thanh-binh/","Xã Tân Long")</f>
        <v>Xã Tân Long</v>
      </c>
    </row>
    <row r="9837" spans="1:7" x14ac:dyDescent="0.25">
      <c r="A9837" s="2">
        <v>9836</v>
      </c>
      <c r="B9837" s="3" t="s">
        <v>58</v>
      </c>
      <c r="C9837" s="4" t="str">
        <f t="shared" si="883"/>
        <v>Đồng Tháp</v>
      </c>
      <c r="D9837" s="3" t="s">
        <v>693</v>
      </c>
      <c r="E9837" s="4" t="str">
        <f t="shared" ref="E9837:E9849" si="884">HYPERLINK("https://diaocthongthai.com/ban-do-huyen-lap-vo-dong-thap/","Huyện Lấp Vò")</f>
        <v>Huyện Lấp Vò</v>
      </c>
      <c r="F9837" s="3" t="s">
        <v>10596</v>
      </c>
      <c r="G9837" s="4" t="str">
        <f>HYPERLINK("https://diaocthongthai.com/thi-tran-lap-vo-lap-vo/","Thị trấn Lấp Vò")</f>
        <v>Thị trấn Lấp Vò</v>
      </c>
    </row>
    <row r="9838" spans="1:7" x14ac:dyDescent="0.25">
      <c r="A9838" s="2">
        <v>9837</v>
      </c>
      <c r="B9838" s="3" t="s">
        <v>58</v>
      </c>
      <c r="C9838" s="4" t="str">
        <f t="shared" si="883"/>
        <v>Đồng Tháp</v>
      </c>
      <c r="D9838" s="3" t="s">
        <v>693</v>
      </c>
      <c r="E9838" s="4" t="str">
        <f t="shared" si="884"/>
        <v>Huyện Lấp Vò</v>
      </c>
      <c r="F9838" s="3" t="s">
        <v>10597</v>
      </c>
      <c r="G9838" s="4" t="str">
        <f>HYPERLINK("https://diaocthongthai.com/xa-my-an-hung-a-lap-vo/","Xã Mỹ An Hưng A")</f>
        <v>Xã Mỹ An Hưng A</v>
      </c>
    </row>
    <row r="9839" spans="1:7" x14ac:dyDescent="0.25">
      <c r="A9839" s="2">
        <v>9838</v>
      </c>
      <c r="B9839" s="3" t="s">
        <v>58</v>
      </c>
      <c r="C9839" s="4" t="str">
        <f t="shared" si="883"/>
        <v>Đồng Tháp</v>
      </c>
      <c r="D9839" s="3" t="s">
        <v>693</v>
      </c>
      <c r="E9839" s="4" t="str">
        <f t="shared" si="884"/>
        <v>Huyện Lấp Vò</v>
      </c>
      <c r="F9839" s="3" t="s">
        <v>10598</v>
      </c>
      <c r="G9839" s="4" t="str">
        <f>HYPERLINK("https://diaocthongthai.com/xa-tan-my-lap-vo/","Xã Tân Mỹ")</f>
        <v>Xã Tân Mỹ</v>
      </c>
    </row>
    <row r="9840" spans="1:7" x14ac:dyDescent="0.25">
      <c r="A9840" s="2">
        <v>9839</v>
      </c>
      <c r="B9840" s="3" t="s">
        <v>58</v>
      </c>
      <c r="C9840" s="4" t="str">
        <f t="shared" si="883"/>
        <v>Đồng Tháp</v>
      </c>
      <c r="D9840" s="3" t="s">
        <v>693</v>
      </c>
      <c r="E9840" s="4" t="str">
        <f t="shared" si="884"/>
        <v>Huyện Lấp Vò</v>
      </c>
      <c r="F9840" s="3" t="s">
        <v>10599</v>
      </c>
      <c r="G9840" s="4" t="str">
        <f>HYPERLINK("https://diaocthongthai.com/xa-my-an-hung-b-lap-vo/","Xã Mỹ An Hưng B")</f>
        <v>Xã Mỹ An Hưng B</v>
      </c>
    </row>
    <row r="9841" spans="1:7" x14ac:dyDescent="0.25">
      <c r="A9841" s="2">
        <v>9840</v>
      </c>
      <c r="B9841" s="3" t="s">
        <v>58</v>
      </c>
      <c r="C9841" s="4" t="str">
        <f t="shared" si="883"/>
        <v>Đồng Tháp</v>
      </c>
      <c r="D9841" s="3" t="s">
        <v>693</v>
      </c>
      <c r="E9841" s="4" t="str">
        <f t="shared" si="884"/>
        <v>Huyện Lấp Vò</v>
      </c>
      <c r="F9841" s="3" t="s">
        <v>10600</v>
      </c>
      <c r="G9841" s="4" t="str">
        <f>HYPERLINK("https://diaocthongthai.com/xa-tan-khanh-trung-lap-vo/","Xã Tân  Khánh Trung")</f>
        <v>Xã Tân  Khánh Trung</v>
      </c>
    </row>
    <row r="9842" spans="1:7" x14ac:dyDescent="0.25">
      <c r="A9842" s="2">
        <v>9841</v>
      </c>
      <c r="B9842" s="3" t="s">
        <v>58</v>
      </c>
      <c r="C9842" s="4" t="str">
        <f t="shared" si="883"/>
        <v>Đồng Tháp</v>
      </c>
      <c r="D9842" s="3" t="s">
        <v>693</v>
      </c>
      <c r="E9842" s="4" t="str">
        <f t="shared" si="884"/>
        <v>Huyện Lấp Vò</v>
      </c>
      <c r="F9842" s="3" t="s">
        <v>10601</v>
      </c>
      <c r="G9842" s="4" t="str">
        <f>HYPERLINK("https://diaocthongthai.com/xa-long-hung-a-lap-vo/","Xã Long Hưng A")</f>
        <v>Xã Long Hưng A</v>
      </c>
    </row>
    <row r="9843" spans="1:7" x14ac:dyDescent="0.25">
      <c r="A9843" s="2">
        <v>9842</v>
      </c>
      <c r="B9843" s="3" t="s">
        <v>58</v>
      </c>
      <c r="C9843" s="4" t="str">
        <f t="shared" si="883"/>
        <v>Đồng Tháp</v>
      </c>
      <c r="D9843" s="3" t="s">
        <v>693</v>
      </c>
      <c r="E9843" s="4" t="str">
        <f t="shared" si="884"/>
        <v>Huyện Lấp Vò</v>
      </c>
      <c r="F9843" s="3" t="s">
        <v>10602</v>
      </c>
      <c r="G9843" s="4" t="str">
        <f>HYPERLINK("https://diaocthongthai.com/xa-vinh-thanh-lap-vo/","Xã Vĩnh Thạnh")</f>
        <v>Xã Vĩnh Thạnh</v>
      </c>
    </row>
    <row r="9844" spans="1:7" x14ac:dyDescent="0.25">
      <c r="A9844" s="2">
        <v>9843</v>
      </c>
      <c r="B9844" s="3" t="s">
        <v>58</v>
      </c>
      <c r="C9844" s="4" t="str">
        <f t="shared" si="883"/>
        <v>Đồng Tháp</v>
      </c>
      <c r="D9844" s="3" t="s">
        <v>693</v>
      </c>
      <c r="E9844" s="4" t="str">
        <f t="shared" si="884"/>
        <v>Huyện Lấp Vò</v>
      </c>
      <c r="F9844" s="3" t="s">
        <v>10603</v>
      </c>
      <c r="G9844" s="4" t="str">
        <f>HYPERLINK("https://diaocthongthai.com/xa-long-hung-b-lap-vo/","Xã Long Hưng B")</f>
        <v>Xã Long Hưng B</v>
      </c>
    </row>
    <row r="9845" spans="1:7" x14ac:dyDescent="0.25">
      <c r="A9845" s="2">
        <v>9844</v>
      </c>
      <c r="B9845" s="3" t="s">
        <v>58</v>
      </c>
      <c r="C9845" s="4" t="str">
        <f t="shared" si="883"/>
        <v>Đồng Tháp</v>
      </c>
      <c r="D9845" s="3" t="s">
        <v>693</v>
      </c>
      <c r="E9845" s="4" t="str">
        <f t="shared" si="884"/>
        <v>Huyện Lấp Vò</v>
      </c>
      <c r="F9845" s="3" t="s">
        <v>10604</v>
      </c>
      <c r="G9845" s="4" t="str">
        <f>HYPERLINK("https://diaocthongthai.com/xa-binh-thanh-lap-vo/","Xã Bình Thành")</f>
        <v>Xã Bình Thành</v>
      </c>
    </row>
    <row r="9846" spans="1:7" x14ac:dyDescent="0.25">
      <c r="A9846" s="2">
        <v>9845</v>
      </c>
      <c r="B9846" s="3" t="s">
        <v>58</v>
      </c>
      <c r="C9846" s="4" t="str">
        <f t="shared" si="883"/>
        <v>Đồng Tháp</v>
      </c>
      <c r="D9846" s="3" t="s">
        <v>693</v>
      </c>
      <c r="E9846" s="4" t="str">
        <f t="shared" si="884"/>
        <v>Huyện Lấp Vò</v>
      </c>
      <c r="F9846" s="3" t="s">
        <v>10605</v>
      </c>
      <c r="G9846" s="4" t="str">
        <f>HYPERLINK("https://diaocthongthai.com/xa-dinh-an-lap-vo/","Xã Định An")</f>
        <v>Xã Định An</v>
      </c>
    </row>
    <row r="9847" spans="1:7" x14ac:dyDescent="0.25">
      <c r="A9847" s="2">
        <v>9846</v>
      </c>
      <c r="B9847" s="3" t="s">
        <v>58</v>
      </c>
      <c r="C9847" s="4" t="str">
        <f t="shared" si="883"/>
        <v>Đồng Tháp</v>
      </c>
      <c r="D9847" s="3" t="s">
        <v>693</v>
      </c>
      <c r="E9847" s="4" t="str">
        <f t="shared" si="884"/>
        <v>Huyện Lấp Vò</v>
      </c>
      <c r="F9847" s="3" t="s">
        <v>10606</v>
      </c>
      <c r="G9847" s="4" t="str">
        <f>HYPERLINK("https://diaocthongthai.com/xa-dinh-yen-lap-vo/","Xã Định Yên")</f>
        <v>Xã Định Yên</v>
      </c>
    </row>
    <row r="9848" spans="1:7" x14ac:dyDescent="0.25">
      <c r="A9848" s="2">
        <v>9847</v>
      </c>
      <c r="B9848" s="3" t="s">
        <v>58</v>
      </c>
      <c r="C9848" s="4" t="str">
        <f t="shared" si="883"/>
        <v>Đồng Tháp</v>
      </c>
      <c r="D9848" s="3" t="s">
        <v>693</v>
      </c>
      <c r="E9848" s="4" t="str">
        <f t="shared" si="884"/>
        <v>Huyện Lấp Vò</v>
      </c>
      <c r="F9848" s="3" t="s">
        <v>10607</v>
      </c>
      <c r="G9848" s="4" t="str">
        <f>HYPERLINK("https://diaocthongthai.com/xa-hoi-an-dong-lap-vo/","Xã Hội An Đông")</f>
        <v>Xã Hội An Đông</v>
      </c>
    </row>
    <row r="9849" spans="1:7" x14ac:dyDescent="0.25">
      <c r="A9849" s="2">
        <v>9848</v>
      </c>
      <c r="B9849" s="3" t="s">
        <v>58</v>
      </c>
      <c r="C9849" s="4" t="str">
        <f t="shared" si="883"/>
        <v>Đồng Tháp</v>
      </c>
      <c r="D9849" s="3" t="s">
        <v>693</v>
      </c>
      <c r="E9849" s="4" t="str">
        <f t="shared" si="884"/>
        <v>Huyện Lấp Vò</v>
      </c>
      <c r="F9849" s="3" t="s">
        <v>10608</v>
      </c>
      <c r="G9849" s="4" t="str">
        <f>HYPERLINK("https://diaocthongthai.com/xa-binh-thanh-trung-lap-vo/","Xã Bình Thạnh Trung")</f>
        <v>Xã Bình Thạnh Trung</v>
      </c>
    </row>
    <row r="9850" spans="1:7" x14ac:dyDescent="0.25">
      <c r="A9850" s="2">
        <v>9849</v>
      </c>
      <c r="B9850" s="3" t="s">
        <v>58</v>
      </c>
      <c r="C9850" s="4" t="str">
        <f t="shared" si="883"/>
        <v>Đồng Tháp</v>
      </c>
      <c r="D9850" s="3" t="s">
        <v>694</v>
      </c>
      <c r="E9850" s="4" t="str">
        <f t="shared" ref="E9850:E9861" si="885">HYPERLINK("https://diaocthongthai.com/ban-do-huyen-lai-vung-dong-thap/","Huyện Lai Vung")</f>
        <v>Huyện Lai Vung</v>
      </c>
      <c r="F9850" s="3" t="s">
        <v>10609</v>
      </c>
      <c r="G9850" s="4" t="str">
        <f>HYPERLINK("https://diaocthongthai.com/thi-tran-lai-vung-lai-vung/","Thị trấn Lai Vung")</f>
        <v>Thị trấn Lai Vung</v>
      </c>
    </row>
    <row r="9851" spans="1:7" x14ac:dyDescent="0.25">
      <c r="A9851" s="2">
        <v>9850</v>
      </c>
      <c r="B9851" s="3" t="s">
        <v>58</v>
      </c>
      <c r="C9851" s="4" t="str">
        <f t="shared" si="883"/>
        <v>Đồng Tháp</v>
      </c>
      <c r="D9851" s="3" t="s">
        <v>694</v>
      </c>
      <c r="E9851" s="4" t="str">
        <f t="shared" si="885"/>
        <v>Huyện Lai Vung</v>
      </c>
      <c r="F9851" s="3" t="s">
        <v>10610</v>
      </c>
      <c r="G9851" s="4" t="str">
        <f>HYPERLINK("https://diaocthongthai.com/xa-tan-duong-lai-vung/","Xã Tân Dương")</f>
        <v>Xã Tân Dương</v>
      </c>
    </row>
    <row r="9852" spans="1:7" x14ac:dyDescent="0.25">
      <c r="A9852" s="2">
        <v>9851</v>
      </c>
      <c r="B9852" s="3" t="s">
        <v>58</v>
      </c>
      <c r="C9852" s="4" t="str">
        <f t="shared" si="883"/>
        <v>Đồng Tháp</v>
      </c>
      <c r="D9852" s="3" t="s">
        <v>694</v>
      </c>
      <c r="E9852" s="4" t="str">
        <f t="shared" si="885"/>
        <v>Huyện Lai Vung</v>
      </c>
      <c r="F9852" s="3" t="s">
        <v>10611</v>
      </c>
      <c r="G9852" s="4" t="str">
        <f>HYPERLINK("https://diaocthongthai.com/xa-hoa-thanh-lai-vung/","Xã Hòa Thành")</f>
        <v>Xã Hòa Thành</v>
      </c>
    </row>
    <row r="9853" spans="1:7" x14ac:dyDescent="0.25">
      <c r="A9853" s="2">
        <v>9852</v>
      </c>
      <c r="B9853" s="3" t="s">
        <v>58</v>
      </c>
      <c r="C9853" s="4" t="str">
        <f t="shared" si="883"/>
        <v>Đồng Tháp</v>
      </c>
      <c r="D9853" s="3" t="s">
        <v>694</v>
      </c>
      <c r="E9853" s="4" t="str">
        <f t="shared" si="885"/>
        <v>Huyện Lai Vung</v>
      </c>
      <c r="F9853" s="3" t="s">
        <v>10612</v>
      </c>
      <c r="G9853" s="4" t="str">
        <f>HYPERLINK("https://diaocthongthai.com/xa-long-hau-lai-vung/","Xã Long Hậu")</f>
        <v>Xã Long Hậu</v>
      </c>
    </row>
    <row r="9854" spans="1:7" x14ac:dyDescent="0.25">
      <c r="A9854" s="2">
        <v>9853</v>
      </c>
      <c r="B9854" s="3" t="s">
        <v>58</v>
      </c>
      <c r="C9854" s="4" t="str">
        <f t="shared" si="883"/>
        <v>Đồng Tháp</v>
      </c>
      <c r="D9854" s="3" t="s">
        <v>694</v>
      </c>
      <c r="E9854" s="4" t="str">
        <f t="shared" si="885"/>
        <v>Huyện Lai Vung</v>
      </c>
      <c r="F9854" s="3" t="s">
        <v>10613</v>
      </c>
      <c r="G9854" s="4" t="str">
        <f>HYPERLINK("https://diaocthongthai.com/xa-tan-phuoc-lai-vung/","Xã Tân Phước")</f>
        <v>Xã Tân Phước</v>
      </c>
    </row>
    <row r="9855" spans="1:7" x14ac:dyDescent="0.25">
      <c r="A9855" s="2">
        <v>9854</v>
      </c>
      <c r="B9855" s="3" t="s">
        <v>58</v>
      </c>
      <c r="C9855" s="4" t="str">
        <f t="shared" si="883"/>
        <v>Đồng Tháp</v>
      </c>
      <c r="D9855" s="3" t="s">
        <v>694</v>
      </c>
      <c r="E9855" s="4" t="str">
        <f t="shared" si="885"/>
        <v>Huyện Lai Vung</v>
      </c>
      <c r="F9855" s="3" t="s">
        <v>10614</v>
      </c>
      <c r="G9855" s="4" t="str">
        <f>HYPERLINK("https://diaocthongthai.com/xa-hoa-long-lai-vung/","Xã Hòa Long")</f>
        <v>Xã Hòa Long</v>
      </c>
    </row>
    <row r="9856" spans="1:7" x14ac:dyDescent="0.25">
      <c r="A9856" s="2">
        <v>9855</v>
      </c>
      <c r="B9856" s="3" t="s">
        <v>58</v>
      </c>
      <c r="C9856" s="4" t="str">
        <f t="shared" si="883"/>
        <v>Đồng Tháp</v>
      </c>
      <c r="D9856" s="3" t="s">
        <v>694</v>
      </c>
      <c r="E9856" s="4" t="str">
        <f t="shared" si="885"/>
        <v>Huyện Lai Vung</v>
      </c>
      <c r="F9856" s="3" t="s">
        <v>10615</v>
      </c>
      <c r="G9856" s="4" t="str">
        <f>HYPERLINK("https://diaocthongthai.com/xa-tan-thanh-lai-vung/","Xã Tân Thành")</f>
        <v>Xã Tân Thành</v>
      </c>
    </row>
    <row r="9857" spans="1:7" x14ac:dyDescent="0.25">
      <c r="A9857" s="2">
        <v>9856</v>
      </c>
      <c r="B9857" s="3" t="s">
        <v>58</v>
      </c>
      <c r="C9857" s="4" t="str">
        <f t="shared" si="883"/>
        <v>Đồng Tháp</v>
      </c>
      <c r="D9857" s="3" t="s">
        <v>694</v>
      </c>
      <c r="E9857" s="4" t="str">
        <f t="shared" si="885"/>
        <v>Huyện Lai Vung</v>
      </c>
      <c r="F9857" s="3" t="s">
        <v>10616</v>
      </c>
      <c r="G9857" s="4" t="str">
        <f>HYPERLINK("https://diaocthongthai.com/xa-long-thang-lai-vung/","Xã Long Thắng")</f>
        <v>Xã Long Thắng</v>
      </c>
    </row>
    <row r="9858" spans="1:7" x14ac:dyDescent="0.25">
      <c r="A9858" s="2">
        <v>9857</v>
      </c>
      <c r="B9858" s="3" t="s">
        <v>58</v>
      </c>
      <c r="C9858" s="4" t="str">
        <f t="shared" si="883"/>
        <v>Đồng Tháp</v>
      </c>
      <c r="D9858" s="3" t="s">
        <v>694</v>
      </c>
      <c r="E9858" s="4" t="str">
        <f t="shared" si="885"/>
        <v>Huyện Lai Vung</v>
      </c>
      <c r="F9858" s="3" t="s">
        <v>10617</v>
      </c>
      <c r="G9858" s="4" t="str">
        <f>HYPERLINK("https://diaocthongthai.com/xa-vinh-thoi-lai-vung/","Xã Vĩnh Thới")</f>
        <v>Xã Vĩnh Thới</v>
      </c>
    </row>
    <row r="9859" spans="1:7" x14ac:dyDescent="0.25">
      <c r="A9859" s="2">
        <v>9858</v>
      </c>
      <c r="B9859" s="3" t="s">
        <v>58</v>
      </c>
      <c r="C9859" s="4" t="str">
        <f t="shared" ref="C9859:C9873" si="886">HYPERLINK("https://diaocthongthai.com/ban-do-dong-thap/","Đồng Tháp")</f>
        <v>Đồng Tháp</v>
      </c>
      <c r="D9859" s="3" t="s">
        <v>694</v>
      </c>
      <c r="E9859" s="4" t="str">
        <f t="shared" si="885"/>
        <v>Huyện Lai Vung</v>
      </c>
      <c r="F9859" s="3" t="s">
        <v>10618</v>
      </c>
      <c r="G9859" s="4" t="str">
        <f>HYPERLINK("https://diaocthongthai.com/xa-tan-hoa-lai-vung/","Xã Tân Hòa")</f>
        <v>Xã Tân Hòa</v>
      </c>
    </row>
    <row r="9860" spans="1:7" x14ac:dyDescent="0.25">
      <c r="A9860" s="2">
        <v>9859</v>
      </c>
      <c r="B9860" s="3" t="s">
        <v>58</v>
      </c>
      <c r="C9860" s="4" t="str">
        <f t="shared" si="886"/>
        <v>Đồng Tháp</v>
      </c>
      <c r="D9860" s="3" t="s">
        <v>694</v>
      </c>
      <c r="E9860" s="4" t="str">
        <f t="shared" si="885"/>
        <v>Huyện Lai Vung</v>
      </c>
      <c r="F9860" s="3" t="s">
        <v>10619</v>
      </c>
      <c r="G9860" s="4" t="str">
        <f>HYPERLINK("https://diaocthongthai.com/xa-dinh-hoa-lai-vung/","Xã Định Hòa")</f>
        <v>Xã Định Hòa</v>
      </c>
    </row>
    <row r="9861" spans="1:7" x14ac:dyDescent="0.25">
      <c r="A9861" s="2">
        <v>9860</v>
      </c>
      <c r="B9861" s="3" t="s">
        <v>58</v>
      </c>
      <c r="C9861" s="4" t="str">
        <f t="shared" si="886"/>
        <v>Đồng Tháp</v>
      </c>
      <c r="D9861" s="3" t="s">
        <v>694</v>
      </c>
      <c r="E9861" s="4" t="str">
        <f t="shared" si="885"/>
        <v>Huyện Lai Vung</v>
      </c>
      <c r="F9861" s="3" t="s">
        <v>10620</v>
      </c>
      <c r="G9861" s="4" t="str">
        <f>HYPERLINK("https://diaocthongthai.com/xa-phong-hoa-lai-vung/","Xã Phong Hòa")</f>
        <v>Xã Phong Hòa</v>
      </c>
    </row>
    <row r="9862" spans="1:7" x14ac:dyDescent="0.25">
      <c r="A9862" s="2">
        <v>9861</v>
      </c>
      <c r="B9862" s="3" t="s">
        <v>58</v>
      </c>
      <c r="C9862" s="4" t="str">
        <f t="shared" si="886"/>
        <v>Đồng Tháp</v>
      </c>
      <c r="D9862" s="3" t="s">
        <v>695</v>
      </c>
      <c r="E9862" s="4" t="str">
        <f t="shared" ref="E9862:E9873" si="887">HYPERLINK("https://diaocthongthai.com/ban-do-huyen-chau-thanh-dong-thap/","Huyện Châu Thành")</f>
        <v>Huyện Châu Thành</v>
      </c>
      <c r="F9862" s="3" t="s">
        <v>10621</v>
      </c>
      <c r="G9862" s="4" t="str">
        <f>HYPERLINK("https://diaocthongthai.com/thi-tran-cai-tau-ha-chau-thanh-dong-thap/","Thị trấn Cái Tàu Hạ")</f>
        <v>Thị trấn Cái Tàu Hạ</v>
      </c>
    </row>
    <row r="9863" spans="1:7" x14ac:dyDescent="0.25">
      <c r="A9863" s="2">
        <v>9862</v>
      </c>
      <c r="B9863" s="3" t="s">
        <v>58</v>
      </c>
      <c r="C9863" s="4" t="str">
        <f t="shared" si="886"/>
        <v>Đồng Tháp</v>
      </c>
      <c r="D9863" s="3" t="s">
        <v>695</v>
      </c>
      <c r="E9863" s="4" t="str">
        <f t="shared" si="887"/>
        <v>Huyện Châu Thành</v>
      </c>
      <c r="F9863" s="3" t="s">
        <v>10622</v>
      </c>
      <c r="G9863" s="4" t="str">
        <f>HYPERLINK("https://diaocthongthai.com/xa-an-hiep-chau-thanh-dong-thap/","Xã An Hiệp")</f>
        <v>Xã An Hiệp</v>
      </c>
    </row>
    <row r="9864" spans="1:7" x14ac:dyDescent="0.25">
      <c r="A9864" s="2">
        <v>9863</v>
      </c>
      <c r="B9864" s="3" t="s">
        <v>58</v>
      </c>
      <c r="C9864" s="4" t="str">
        <f t="shared" si="886"/>
        <v>Đồng Tháp</v>
      </c>
      <c r="D9864" s="3" t="s">
        <v>695</v>
      </c>
      <c r="E9864" s="4" t="str">
        <f t="shared" si="887"/>
        <v>Huyện Châu Thành</v>
      </c>
      <c r="F9864" s="3" t="s">
        <v>10623</v>
      </c>
      <c r="G9864" s="4" t="str">
        <f>HYPERLINK("https://diaocthongthai.com/xa-an-nhon-chau-thanh-dong-thap/","Xã An Nhơn")</f>
        <v>Xã An Nhơn</v>
      </c>
    </row>
    <row r="9865" spans="1:7" x14ac:dyDescent="0.25">
      <c r="A9865" s="2">
        <v>9864</v>
      </c>
      <c r="B9865" s="3" t="s">
        <v>58</v>
      </c>
      <c r="C9865" s="4" t="str">
        <f t="shared" si="886"/>
        <v>Đồng Tháp</v>
      </c>
      <c r="D9865" s="3" t="s">
        <v>695</v>
      </c>
      <c r="E9865" s="4" t="str">
        <f t="shared" si="887"/>
        <v>Huyện Châu Thành</v>
      </c>
      <c r="F9865" s="3" t="s">
        <v>10624</v>
      </c>
      <c r="G9865" s="4" t="str">
        <f>HYPERLINK("https://diaocthongthai.com/xa-tan-nhuan-dong-chau-thanh-dong-thap/","Xã Tân Nhuận Đông")</f>
        <v>Xã Tân Nhuận Đông</v>
      </c>
    </row>
    <row r="9866" spans="1:7" x14ac:dyDescent="0.25">
      <c r="A9866" s="2">
        <v>9865</v>
      </c>
      <c r="B9866" s="3" t="s">
        <v>58</v>
      </c>
      <c r="C9866" s="4" t="str">
        <f t="shared" si="886"/>
        <v>Đồng Tháp</v>
      </c>
      <c r="D9866" s="3" t="s">
        <v>695</v>
      </c>
      <c r="E9866" s="4" t="str">
        <f t="shared" si="887"/>
        <v>Huyện Châu Thành</v>
      </c>
      <c r="F9866" s="3" t="s">
        <v>10625</v>
      </c>
      <c r="G9866" s="4" t="str">
        <f>HYPERLINK("https://diaocthongthai.com/xa-tan-binh-chau-thanh-dong-thap/","Xã Tân Bình")</f>
        <v>Xã Tân Bình</v>
      </c>
    </row>
    <row r="9867" spans="1:7" x14ac:dyDescent="0.25">
      <c r="A9867" s="2">
        <v>9866</v>
      </c>
      <c r="B9867" s="3" t="s">
        <v>58</v>
      </c>
      <c r="C9867" s="4" t="str">
        <f t="shared" si="886"/>
        <v>Đồng Tháp</v>
      </c>
      <c r="D9867" s="3" t="s">
        <v>695</v>
      </c>
      <c r="E9867" s="4" t="str">
        <f t="shared" si="887"/>
        <v>Huyện Châu Thành</v>
      </c>
      <c r="F9867" s="3" t="s">
        <v>10626</v>
      </c>
      <c r="G9867" s="4" t="str">
        <f>HYPERLINK("https://diaocthongthai.com/xa-tan-phu-trung-chau-thanh-dong-thap/","Xã Tân Phú Trung")</f>
        <v>Xã Tân Phú Trung</v>
      </c>
    </row>
    <row r="9868" spans="1:7" x14ac:dyDescent="0.25">
      <c r="A9868" s="2">
        <v>9867</v>
      </c>
      <c r="B9868" s="3" t="s">
        <v>58</v>
      </c>
      <c r="C9868" s="4" t="str">
        <f t="shared" si="886"/>
        <v>Đồng Tháp</v>
      </c>
      <c r="D9868" s="3" t="s">
        <v>695</v>
      </c>
      <c r="E9868" s="4" t="str">
        <f t="shared" si="887"/>
        <v>Huyện Châu Thành</v>
      </c>
      <c r="F9868" s="3" t="s">
        <v>10627</v>
      </c>
      <c r="G9868" s="4" t="str">
        <f>HYPERLINK("https://diaocthongthai.com/xa-phu-long-chau-thanh-dong-thap/","Xã Phú Long")</f>
        <v>Xã Phú Long</v>
      </c>
    </row>
    <row r="9869" spans="1:7" x14ac:dyDescent="0.25">
      <c r="A9869" s="2">
        <v>9868</v>
      </c>
      <c r="B9869" s="3" t="s">
        <v>58</v>
      </c>
      <c r="C9869" s="4" t="str">
        <f t="shared" si="886"/>
        <v>Đồng Tháp</v>
      </c>
      <c r="D9869" s="3" t="s">
        <v>695</v>
      </c>
      <c r="E9869" s="4" t="str">
        <f t="shared" si="887"/>
        <v>Huyện Châu Thành</v>
      </c>
      <c r="F9869" s="3" t="s">
        <v>10628</v>
      </c>
      <c r="G9869" s="4" t="str">
        <f>HYPERLINK("https://diaocthongthai.com/xa-an-phu-thuan-chau-thanh-dong-thap/","Xã An Phú Thuận")</f>
        <v>Xã An Phú Thuận</v>
      </c>
    </row>
    <row r="9870" spans="1:7" x14ac:dyDescent="0.25">
      <c r="A9870" s="2">
        <v>9869</v>
      </c>
      <c r="B9870" s="3" t="s">
        <v>58</v>
      </c>
      <c r="C9870" s="4" t="str">
        <f t="shared" si="886"/>
        <v>Đồng Tháp</v>
      </c>
      <c r="D9870" s="3" t="s">
        <v>695</v>
      </c>
      <c r="E9870" s="4" t="str">
        <f t="shared" si="887"/>
        <v>Huyện Châu Thành</v>
      </c>
      <c r="F9870" s="3" t="s">
        <v>10629</v>
      </c>
      <c r="G9870" s="4" t="str">
        <f>HYPERLINK("https://diaocthongthai.com/xa-phu-huu-chau-thanh-dong-thap/","Xã Phú Hựu")</f>
        <v>Xã Phú Hựu</v>
      </c>
    </row>
    <row r="9871" spans="1:7" x14ac:dyDescent="0.25">
      <c r="A9871" s="2">
        <v>9870</v>
      </c>
      <c r="B9871" s="3" t="s">
        <v>58</v>
      </c>
      <c r="C9871" s="4" t="str">
        <f t="shared" si="886"/>
        <v>Đồng Tháp</v>
      </c>
      <c r="D9871" s="3" t="s">
        <v>695</v>
      </c>
      <c r="E9871" s="4" t="str">
        <f t="shared" si="887"/>
        <v>Huyện Châu Thành</v>
      </c>
      <c r="F9871" s="3" t="s">
        <v>10630</v>
      </c>
      <c r="G9871" s="4" t="str">
        <f>HYPERLINK("https://diaocthongthai.com/xa-an-khanh-chau-thanh-dong-thap/","Xã An Khánh")</f>
        <v>Xã An Khánh</v>
      </c>
    </row>
    <row r="9872" spans="1:7" x14ac:dyDescent="0.25">
      <c r="A9872" s="2">
        <v>9871</v>
      </c>
      <c r="B9872" s="3" t="s">
        <v>58</v>
      </c>
      <c r="C9872" s="4" t="str">
        <f t="shared" si="886"/>
        <v>Đồng Tháp</v>
      </c>
      <c r="D9872" s="3" t="s">
        <v>695</v>
      </c>
      <c r="E9872" s="4" t="str">
        <f t="shared" si="887"/>
        <v>Huyện Châu Thành</v>
      </c>
      <c r="F9872" s="3" t="s">
        <v>10631</v>
      </c>
      <c r="G9872" s="4" t="str">
        <f>HYPERLINK("https://diaocthongthai.com/xa-tan-phu-chau-thanh-dong-thap/","Xã Tân Phú")</f>
        <v>Xã Tân Phú</v>
      </c>
    </row>
    <row r="9873" spans="1:7" x14ac:dyDescent="0.25">
      <c r="A9873" s="2">
        <v>9872</v>
      </c>
      <c r="B9873" s="3" t="s">
        <v>58</v>
      </c>
      <c r="C9873" s="4" t="str">
        <f t="shared" si="886"/>
        <v>Đồng Tháp</v>
      </c>
      <c r="D9873" s="3" t="s">
        <v>695</v>
      </c>
      <c r="E9873" s="4" t="str">
        <f t="shared" si="887"/>
        <v>Huyện Châu Thành</v>
      </c>
      <c r="F9873" s="3" t="s">
        <v>10632</v>
      </c>
      <c r="G9873" s="4" t="str">
        <f>HYPERLINK("https://diaocthongthai.com/xa-hoa-tan-chau-thanh-dong-thap/","Xã Hòa Tân")</f>
        <v>Xã Hòa Tân</v>
      </c>
    </row>
    <row r="9874" spans="1:7" x14ac:dyDescent="0.25">
      <c r="A9874" s="2">
        <v>9873</v>
      </c>
      <c r="B9874" s="3" t="s">
        <v>59</v>
      </c>
      <c r="C9874" s="4" t="str">
        <f t="shared" ref="C9874:C9905" si="888">HYPERLINK("https://diaocthongthai.com/ban-do-an-giang/","An Giang")</f>
        <v>An Giang</v>
      </c>
      <c r="D9874" s="3" t="s">
        <v>696</v>
      </c>
      <c r="E9874" s="4" t="str">
        <f t="shared" ref="E9874:E9886" si="889">HYPERLINK("https://diaocthongthai.com/ban-do-tp-long-xuyen-an-giang/","Thành phố Long Xuyên")</f>
        <v>Thành phố Long Xuyên</v>
      </c>
      <c r="F9874" s="3" t="s">
        <v>10633</v>
      </c>
      <c r="G9874" s="4" t="str">
        <f>HYPERLINK("https://diaocthongthai.com/phuong-my-binh-tp-long-xuyen/","Phường Mỹ Bình")</f>
        <v>Phường Mỹ Bình</v>
      </c>
    </row>
    <row r="9875" spans="1:7" x14ac:dyDescent="0.25">
      <c r="A9875" s="2">
        <v>9874</v>
      </c>
      <c r="B9875" s="3" t="s">
        <v>59</v>
      </c>
      <c r="C9875" s="4" t="str">
        <f t="shared" si="888"/>
        <v>An Giang</v>
      </c>
      <c r="D9875" s="3" t="s">
        <v>696</v>
      </c>
      <c r="E9875" s="4" t="str">
        <f t="shared" si="889"/>
        <v>Thành phố Long Xuyên</v>
      </c>
      <c r="F9875" s="3" t="s">
        <v>10634</v>
      </c>
      <c r="G9875" s="4" t="str">
        <f>HYPERLINK("https://diaocthongthai.com/phuong-my-long-tp-long-xuyen/","Phường Mỹ Long")</f>
        <v>Phường Mỹ Long</v>
      </c>
    </row>
    <row r="9876" spans="1:7" x14ac:dyDescent="0.25">
      <c r="A9876" s="2">
        <v>9875</v>
      </c>
      <c r="B9876" s="3" t="s">
        <v>59</v>
      </c>
      <c r="C9876" s="4" t="str">
        <f t="shared" si="888"/>
        <v>An Giang</v>
      </c>
      <c r="D9876" s="3" t="s">
        <v>696</v>
      </c>
      <c r="E9876" s="4" t="str">
        <f t="shared" si="889"/>
        <v>Thành phố Long Xuyên</v>
      </c>
      <c r="F9876" s="3" t="s">
        <v>10635</v>
      </c>
      <c r="G9876" s="4" t="str">
        <f>HYPERLINK("https://diaocthongthai.com/phuong-dong-xuyen-tp-long-xuyen/","Phường Đông Xuyên")</f>
        <v>Phường Đông Xuyên</v>
      </c>
    </row>
    <row r="9877" spans="1:7" x14ac:dyDescent="0.25">
      <c r="A9877" s="2">
        <v>9876</v>
      </c>
      <c r="B9877" s="3" t="s">
        <v>59</v>
      </c>
      <c r="C9877" s="4" t="str">
        <f t="shared" si="888"/>
        <v>An Giang</v>
      </c>
      <c r="D9877" s="3" t="s">
        <v>696</v>
      </c>
      <c r="E9877" s="4" t="str">
        <f t="shared" si="889"/>
        <v>Thành phố Long Xuyên</v>
      </c>
      <c r="F9877" s="3" t="s">
        <v>10636</v>
      </c>
      <c r="G9877" s="4" t="str">
        <f>HYPERLINK("https://diaocthongthai.com/phuong-my-xuyen-tp-long-xuyen/","Phường Mỹ Xuyên")</f>
        <v>Phường Mỹ Xuyên</v>
      </c>
    </row>
    <row r="9878" spans="1:7" x14ac:dyDescent="0.25">
      <c r="A9878" s="2">
        <v>9877</v>
      </c>
      <c r="B9878" s="3" t="s">
        <v>59</v>
      </c>
      <c r="C9878" s="4" t="str">
        <f t="shared" si="888"/>
        <v>An Giang</v>
      </c>
      <c r="D9878" s="3" t="s">
        <v>696</v>
      </c>
      <c r="E9878" s="4" t="str">
        <f t="shared" si="889"/>
        <v>Thành phố Long Xuyên</v>
      </c>
      <c r="F9878" s="3" t="s">
        <v>10637</v>
      </c>
      <c r="G9878" s="4" t="str">
        <f>HYPERLINK("https://diaocthongthai.com/phuong-binh-duc-tp-long-xuyen/","Phường Bình Đức")</f>
        <v>Phường Bình Đức</v>
      </c>
    </row>
    <row r="9879" spans="1:7" x14ac:dyDescent="0.25">
      <c r="A9879" s="2">
        <v>9878</v>
      </c>
      <c r="B9879" s="3" t="s">
        <v>59</v>
      </c>
      <c r="C9879" s="4" t="str">
        <f t="shared" si="888"/>
        <v>An Giang</v>
      </c>
      <c r="D9879" s="3" t="s">
        <v>696</v>
      </c>
      <c r="E9879" s="4" t="str">
        <f t="shared" si="889"/>
        <v>Thành phố Long Xuyên</v>
      </c>
      <c r="F9879" s="3" t="s">
        <v>10638</v>
      </c>
      <c r="G9879" s="4" t="str">
        <f>HYPERLINK("https://diaocthongthai.com/phuong-binh-khanh-tp-long-xuyen/","Phường Bình Khánh")</f>
        <v>Phường Bình Khánh</v>
      </c>
    </row>
    <row r="9880" spans="1:7" x14ac:dyDescent="0.25">
      <c r="A9880" s="2">
        <v>9879</v>
      </c>
      <c r="B9880" s="3" t="s">
        <v>59</v>
      </c>
      <c r="C9880" s="4" t="str">
        <f t="shared" si="888"/>
        <v>An Giang</v>
      </c>
      <c r="D9880" s="3" t="s">
        <v>696</v>
      </c>
      <c r="E9880" s="4" t="str">
        <f t="shared" si="889"/>
        <v>Thành phố Long Xuyên</v>
      </c>
      <c r="F9880" s="3" t="s">
        <v>10639</v>
      </c>
      <c r="G9880" s="4" t="str">
        <f>HYPERLINK("https://diaocthongthai.com/phuong-my-phuoc-tp-long-xuyen/","Phường Mỹ Phước")</f>
        <v>Phường Mỹ Phước</v>
      </c>
    </row>
    <row r="9881" spans="1:7" x14ac:dyDescent="0.25">
      <c r="A9881" s="2">
        <v>9880</v>
      </c>
      <c r="B9881" s="3" t="s">
        <v>59</v>
      </c>
      <c r="C9881" s="4" t="str">
        <f t="shared" si="888"/>
        <v>An Giang</v>
      </c>
      <c r="D9881" s="3" t="s">
        <v>696</v>
      </c>
      <c r="E9881" s="4" t="str">
        <f t="shared" si="889"/>
        <v>Thành phố Long Xuyên</v>
      </c>
      <c r="F9881" s="3" t="s">
        <v>10640</v>
      </c>
      <c r="G9881" s="4" t="str">
        <f>HYPERLINK("https://diaocthongthai.com/phuong-my-quy-tp-long-xuyen/","Phường Mỹ Quý")</f>
        <v>Phường Mỹ Quý</v>
      </c>
    </row>
    <row r="9882" spans="1:7" x14ac:dyDescent="0.25">
      <c r="A9882" s="2">
        <v>9881</v>
      </c>
      <c r="B9882" s="3" t="s">
        <v>59</v>
      </c>
      <c r="C9882" s="4" t="str">
        <f t="shared" si="888"/>
        <v>An Giang</v>
      </c>
      <c r="D9882" s="3" t="s">
        <v>696</v>
      </c>
      <c r="E9882" s="4" t="str">
        <f t="shared" si="889"/>
        <v>Thành phố Long Xuyên</v>
      </c>
      <c r="F9882" s="3" t="s">
        <v>10641</v>
      </c>
      <c r="G9882" s="4" t="str">
        <f>HYPERLINK("https://diaocthongthai.com/phuong-my-thoi-tp-long-xuyen/","Phường Mỹ Thới")</f>
        <v>Phường Mỹ Thới</v>
      </c>
    </row>
    <row r="9883" spans="1:7" x14ac:dyDescent="0.25">
      <c r="A9883" s="2">
        <v>9882</v>
      </c>
      <c r="B9883" s="3" t="s">
        <v>59</v>
      </c>
      <c r="C9883" s="4" t="str">
        <f t="shared" si="888"/>
        <v>An Giang</v>
      </c>
      <c r="D9883" s="3" t="s">
        <v>696</v>
      </c>
      <c r="E9883" s="4" t="str">
        <f t="shared" si="889"/>
        <v>Thành phố Long Xuyên</v>
      </c>
      <c r="F9883" s="3" t="s">
        <v>10642</v>
      </c>
      <c r="G9883" s="4" t="str">
        <f>HYPERLINK("https://diaocthongthai.com/phuong-my-thanh-tp-long-xuyen/","Phường Mỹ Thạnh")</f>
        <v>Phường Mỹ Thạnh</v>
      </c>
    </row>
    <row r="9884" spans="1:7" x14ac:dyDescent="0.25">
      <c r="A9884" s="2">
        <v>9883</v>
      </c>
      <c r="B9884" s="3" t="s">
        <v>59</v>
      </c>
      <c r="C9884" s="4" t="str">
        <f t="shared" si="888"/>
        <v>An Giang</v>
      </c>
      <c r="D9884" s="3" t="s">
        <v>696</v>
      </c>
      <c r="E9884" s="4" t="str">
        <f t="shared" si="889"/>
        <v>Thành phố Long Xuyên</v>
      </c>
      <c r="F9884" s="3" t="s">
        <v>10643</v>
      </c>
      <c r="G9884" s="4" t="str">
        <f>HYPERLINK("https://diaocthongthai.com/phuong-my-hoa-tp-long-xuyen/","Phường Mỹ Hòa")</f>
        <v>Phường Mỹ Hòa</v>
      </c>
    </row>
    <row r="9885" spans="1:7" x14ac:dyDescent="0.25">
      <c r="A9885" s="2">
        <v>9884</v>
      </c>
      <c r="B9885" s="3" t="s">
        <v>59</v>
      </c>
      <c r="C9885" s="4" t="str">
        <f t="shared" si="888"/>
        <v>An Giang</v>
      </c>
      <c r="D9885" s="3" t="s">
        <v>696</v>
      </c>
      <c r="E9885" s="4" t="str">
        <f t="shared" si="889"/>
        <v>Thành phố Long Xuyên</v>
      </c>
      <c r="F9885" s="3" t="s">
        <v>10644</v>
      </c>
      <c r="G9885" s="4" t="str">
        <f>HYPERLINK("https://diaocthongthai.com/xa-my-khanh-tp-long-xuyen/","Xã Mỹ Khánh")</f>
        <v>Xã Mỹ Khánh</v>
      </c>
    </row>
    <row r="9886" spans="1:7" x14ac:dyDescent="0.25">
      <c r="A9886" s="2">
        <v>9885</v>
      </c>
      <c r="B9886" s="3" t="s">
        <v>59</v>
      </c>
      <c r="C9886" s="4" t="str">
        <f t="shared" si="888"/>
        <v>An Giang</v>
      </c>
      <c r="D9886" s="3" t="s">
        <v>696</v>
      </c>
      <c r="E9886" s="4" t="str">
        <f t="shared" si="889"/>
        <v>Thành phố Long Xuyên</v>
      </c>
      <c r="F9886" s="3" t="s">
        <v>10645</v>
      </c>
      <c r="G9886" s="4" t="str">
        <f>HYPERLINK("https://diaocthongthai.com/xa-my-hoa-hung-tp-long-xuyen/","Xã Mỹ Hoà Hưng")</f>
        <v>Xã Mỹ Hoà Hưng</v>
      </c>
    </row>
    <row r="9887" spans="1:7" x14ac:dyDescent="0.25">
      <c r="A9887" s="2">
        <v>9886</v>
      </c>
      <c r="B9887" s="3" t="s">
        <v>59</v>
      </c>
      <c r="C9887" s="4" t="str">
        <f t="shared" si="888"/>
        <v>An Giang</v>
      </c>
      <c r="D9887" s="3" t="s">
        <v>697</v>
      </c>
      <c r="E9887" s="4" t="str">
        <f t="shared" ref="E9887:E9893" si="890">HYPERLINK("https://diaocthongthai.com/ban-do-tp-chau-doc-an-giang/","Thành phố Châu Đốc")</f>
        <v>Thành phố Châu Đốc</v>
      </c>
      <c r="F9887" s="3" t="s">
        <v>10646</v>
      </c>
      <c r="G9887" s="4" t="str">
        <f>HYPERLINK("https://diaocthongthai.com/phuong-chau-phu-b-tp-chau-doc/","Phường Châu Phú B")</f>
        <v>Phường Châu Phú B</v>
      </c>
    </row>
    <row r="9888" spans="1:7" x14ac:dyDescent="0.25">
      <c r="A9888" s="2">
        <v>9887</v>
      </c>
      <c r="B9888" s="3" t="s">
        <v>59</v>
      </c>
      <c r="C9888" s="4" t="str">
        <f t="shared" si="888"/>
        <v>An Giang</v>
      </c>
      <c r="D9888" s="3" t="s">
        <v>697</v>
      </c>
      <c r="E9888" s="4" t="str">
        <f t="shared" si="890"/>
        <v>Thành phố Châu Đốc</v>
      </c>
      <c r="F9888" s="3" t="s">
        <v>10647</v>
      </c>
      <c r="G9888" s="4" t="str">
        <f>HYPERLINK("https://diaocthongthai.com/phuong-chau-phu-a-tp-chau-doc/","Phường Châu Phú A")</f>
        <v>Phường Châu Phú A</v>
      </c>
    </row>
    <row r="9889" spans="1:7" x14ac:dyDescent="0.25">
      <c r="A9889" s="2">
        <v>9888</v>
      </c>
      <c r="B9889" s="3" t="s">
        <v>59</v>
      </c>
      <c r="C9889" s="4" t="str">
        <f t="shared" si="888"/>
        <v>An Giang</v>
      </c>
      <c r="D9889" s="3" t="s">
        <v>697</v>
      </c>
      <c r="E9889" s="4" t="str">
        <f t="shared" si="890"/>
        <v>Thành phố Châu Đốc</v>
      </c>
      <c r="F9889" s="3" t="s">
        <v>10648</v>
      </c>
      <c r="G9889" s="4" t="str">
        <f>HYPERLINK("https://diaocthongthai.com/phuong-vinh-my-tp-chau-doc/","Phường Vĩnh Mỹ")</f>
        <v>Phường Vĩnh Mỹ</v>
      </c>
    </row>
    <row r="9890" spans="1:7" x14ac:dyDescent="0.25">
      <c r="A9890" s="2">
        <v>9889</v>
      </c>
      <c r="B9890" s="3" t="s">
        <v>59</v>
      </c>
      <c r="C9890" s="4" t="str">
        <f t="shared" si="888"/>
        <v>An Giang</v>
      </c>
      <c r="D9890" s="3" t="s">
        <v>697</v>
      </c>
      <c r="E9890" s="4" t="str">
        <f t="shared" si="890"/>
        <v>Thành phố Châu Đốc</v>
      </c>
      <c r="F9890" s="3" t="s">
        <v>10649</v>
      </c>
      <c r="G9890" s="4" t="str">
        <f>HYPERLINK("https://diaocthongthai.com/phuong-nui-sam-tp-chau-doc/","Phường Núi Sam")</f>
        <v>Phường Núi Sam</v>
      </c>
    </row>
    <row r="9891" spans="1:7" x14ac:dyDescent="0.25">
      <c r="A9891" s="2">
        <v>9890</v>
      </c>
      <c r="B9891" s="3" t="s">
        <v>59</v>
      </c>
      <c r="C9891" s="4" t="str">
        <f t="shared" si="888"/>
        <v>An Giang</v>
      </c>
      <c r="D9891" s="3" t="s">
        <v>697</v>
      </c>
      <c r="E9891" s="4" t="str">
        <f t="shared" si="890"/>
        <v>Thành phố Châu Đốc</v>
      </c>
      <c r="F9891" s="3" t="s">
        <v>10650</v>
      </c>
      <c r="G9891" s="4" t="str">
        <f>HYPERLINK("https://diaocthongthai.com/phuong-vinh-nguon-tp-chau-doc/","Phường Vĩnh Ngươn")</f>
        <v>Phường Vĩnh Ngươn</v>
      </c>
    </row>
    <row r="9892" spans="1:7" x14ac:dyDescent="0.25">
      <c r="A9892" s="2">
        <v>9891</v>
      </c>
      <c r="B9892" s="3" t="s">
        <v>59</v>
      </c>
      <c r="C9892" s="4" t="str">
        <f t="shared" si="888"/>
        <v>An Giang</v>
      </c>
      <c r="D9892" s="3" t="s">
        <v>697</v>
      </c>
      <c r="E9892" s="4" t="str">
        <f t="shared" si="890"/>
        <v>Thành phố Châu Đốc</v>
      </c>
      <c r="F9892" s="3" t="s">
        <v>10651</v>
      </c>
      <c r="G9892" s="4" t="str">
        <f>HYPERLINK("https://diaocthongthai.com/xa-vinh-te-tp-chau-doc/","Xã Vĩnh Tế")</f>
        <v>Xã Vĩnh Tế</v>
      </c>
    </row>
    <row r="9893" spans="1:7" x14ac:dyDescent="0.25">
      <c r="A9893" s="2">
        <v>9892</v>
      </c>
      <c r="B9893" s="3" t="s">
        <v>59</v>
      </c>
      <c r="C9893" s="4" t="str">
        <f t="shared" si="888"/>
        <v>An Giang</v>
      </c>
      <c r="D9893" s="3" t="s">
        <v>697</v>
      </c>
      <c r="E9893" s="4" t="str">
        <f t="shared" si="890"/>
        <v>Thành phố Châu Đốc</v>
      </c>
      <c r="F9893" s="3" t="s">
        <v>10652</v>
      </c>
      <c r="G9893" s="4" t="str">
        <f>HYPERLINK("https://diaocthongthai.com/xa-vinh-chau-tp-chau-doc/","Xã Vĩnh Châu")</f>
        <v>Xã Vĩnh Châu</v>
      </c>
    </row>
    <row r="9894" spans="1:7" x14ac:dyDescent="0.25">
      <c r="A9894" s="2">
        <v>9893</v>
      </c>
      <c r="B9894" s="3" t="s">
        <v>59</v>
      </c>
      <c r="C9894" s="4" t="str">
        <f t="shared" si="888"/>
        <v>An Giang</v>
      </c>
      <c r="D9894" s="3" t="s">
        <v>698</v>
      </c>
      <c r="E9894" s="4" t="str">
        <f t="shared" ref="E9894:E9907" si="891">HYPERLINK("https://diaocthongthai.com/ban-do-huyen-an-phu-an-giang/","Huyện An Phú")</f>
        <v>Huyện An Phú</v>
      </c>
      <c r="F9894" s="3" t="s">
        <v>10653</v>
      </c>
      <c r="G9894" s="4" t="str">
        <f>HYPERLINK("https://diaocthongthai.com/thi-tran-an-phu-an-phu/","Thị trấn An Phú")</f>
        <v>Thị trấn An Phú</v>
      </c>
    </row>
    <row r="9895" spans="1:7" x14ac:dyDescent="0.25">
      <c r="A9895" s="2">
        <v>9894</v>
      </c>
      <c r="B9895" s="3" t="s">
        <v>59</v>
      </c>
      <c r="C9895" s="4" t="str">
        <f t="shared" si="888"/>
        <v>An Giang</v>
      </c>
      <c r="D9895" s="3" t="s">
        <v>698</v>
      </c>
      <c r="E9895" s="4" t="str">
        <f t="shared" si="891"/>
        <v>Huyện An Phú</v>
      </c>
      <c r="F9895" s="3" t="s">
        <v>10654</v>
      </c>
      <c r="G9895" s="4" t="str">
        <f>HYPERLINK("https://diaocthongthai.com/xa-khanh-an-an-phu/","Xã Khánh An")</f>
        <v>Xã Khánh An</v>
      </c>
    </row>
    <row r="9896" spans="1:7" x14ac:dyDescent="0.25">
      <c r="A9896" s="2">
        <v>9895</v>
      </c>
      <c r="B9896" s="3" t="s">
        <v>59</v>
      </c>
      <c r="C9896" s="4" t="str">
        <f t="shared" si="888"/>
        <v>An Giang</v>
      </c>
      <c r="D9896" s="3" t="s">
        <v>698</v>
      </c>
      <c r="E9896" s="4" t="str">
        <f t="shared" si="891"/>
        <v>Huyện An Phú</v>
      </c>
      <c r="F9896" s="3" t="s">
        <v>10655</v>
      </c>
      <c r="G9896" s="4" t="str">
        <f>HYPERLINK("https://diaocthongthai.com/thi-tran-long-binh-an-phu/","Thị Trấn Long Bình")</f>
        <v>Thị Trấn Long Bình</v>
      </c>
    </row>
    <row r="9897" spans="1:7" x14ac:dyDescent="0.25">
      <c r="A9897" s="2">
        <v>9896</v>
      </c>
      <c r="B9897" s="3" t="s">
        <v>59</v>
      </c>
      <c r="C9897" s="4" t="str">
        <f t="shared" si="888"/>
        <v>An Giang</v>
      </c>
      <c r="D9897" s="3" t="s">
        <v>698</v>
      </c>
      <c r="E9897" s="4" t="str">
        <f t="shared" si="891"/>
        <v>Huyện An Phú</v>
      </c>
      <c r="F9897" s="3" t="s">
        <v>10656</v>
      </c>
      <c r="G9897" s="4" t="str">
        <f>HYPERLINK("https://diaocthongthai.com/xa-khanh-binh-an-phu/","Xã Khánh Bình")</f>
        <v>Xã Khánh Bình</v>
      </c>
    </row>
    <row r="9898" spans="1:7" x14ac:dyDescent="0.25">
      <c r="A9898" s="2">
        <v>9897</v>
      </c>
      <c r="B9898" s="3" t="s">
        <v>59</v>
      </c>
      <c r="C9898" s="4" t="str">
        <f t="shared" si="888"/>
        <v>An Giang</v>
      </c>
      <c r="D9898" s="3" t="s">
        <v>698</v>
      </c>
      <c r="E9898" s="4" t="str">
        <f t="shared" si="891"/>
        <v>Huyện An Phú</v>
      </c>
      <c r="F9898" s="3" t="s">
        <v>10657</v>
      </c>
      <c r="G9898" s="4" t="str">
        <f>HYPERLINK("https://diaocthongthai.com/xa-quoc-thai-an-phu/","Xã Quốc Thái")</f>
        <v>Xã Quốc Thái</v>
      </c>
    </row>
    <row r="9899" spans="1:7" x14ac:dyDescent="0.25">
      <c r="A9899" s="2">
        <v>9898</v>
      </c>
      <c r="B9899" s="3" t="s">
        <v>59</v>
      </c>
      <c r="C9899" s="4" t="str">
        <f t="shared" si="888"/>
        <v>An Giang</v>
      </c>
      <c r="D9899" s="3" t="s">
        <v>698</v>
      </c>
      <c r="E9899" s="4" t="str">
        <f t="shared" si="891"/>
        <v>Huyện An Phú</v>
      </c>
      <c r="F9899" s="3" t="s">
        <v>10658</v>
      </c>
      <c r="G9899" s="4" t="str">
        <f>HYPERLINK("https://diaocthongthai.com/xa-nhon-hoi-an-phu/","Xã Nhơn Hội")</f>
        <v>Xã Nhơn Hội</v>
      </c>
    </row>
    <row r="9900" spans="1:7" x14ac:dyDescent="0.25">
      <c r="A9900" s="2">
        <v>9899</v>
      </c>
      <c r="B9900" s="3" t="s">
        <v>59</v>
      </c>
      <c r="C9900" s="4" t="str">
        <f t="shared" si="888"/>
        <v>An Giang</v>
      </c>
      <c r="D9900" s="3" t="s">
        <v>698</v>
      </c>
      <c r="E9900" s="4" t="str">
        <f t="shared" si="891"/>
        <v>Huyện An Phú</v>
      </c>
      <c r="F9900" s="3" t="s">
        <v>10659</v>
      </c>
      <c r="G9900" s="4" t="str">
        <f>HYPERLINK("https://diaocthongthai.com/xa-phu-huu-an-phu/","Xã Phú Hữu")</f>
        <v>Xã Phú Hữu</v>
      </c>
    </row>
    <row r="9901" spans="1:7" x14ac:dyDescent="0.25">
      <c r="A9901" s="2">
        <v>9900</v>
      </c>
      <c r="B9901" s="3" t="s">
        <v>59</v>
      </c>
      <c r="C9901" s="4" t="str">
        <f t="shared" si="888"/>
        <v>An Giang</v>
      </c>
      <c r="D9901" s="3" t="s">
        <v>698</v>
      </c>
      <c r="E9901" s="4" t="str">
        <f t="shared" si="891"/>
        <v>Huyện An Phú</v>
      </c>
      <c r="F9901" s="3" t="s">
        <v>10660</v>
      </c>
      <c r="G9901" s="4" t="str">
        <f>HYPERLINK("https://diaocthongthai.com/xa-phu-hoi-an-phu/","Xã Phú Hội")</f>
        <v>Xã Phú Hội</v>
      </c>
    </row>
    <row r="9902" spans="1:7" x14ac:dyDescent="0.25">
      <c r="A9902" s="2">
        <v>9901</v>
      </c>
      <c r="B9902" s="3" t="s">
        <v>59</v>
      </c>
      <c r="C9902" s="4" t="str">
        <f t="shared" si="888"/>
        <v>An Giang</v>
      </c>
      <c r="D9902" s="3" t="s">
        <v>698</v>
      </c>
      <c r="E9902" s="4" t="str">
        <f t="shared" si="891"/>
        <v>Huyện An Phú</v>
      </c>
      <c r="F9902" s="3" t="s">
        <v>10661</v>
      </c>
      <c r="G9902" s="4" t="str">
        <f>HYPERLINK("https://diaocthongthai.com/xa-phuoc-hung-an-phu/","Xã Phước Hưng")</f>
        <v>Xã Phước Hưng</v>
      </c>
    </row>
    <row r="9903" spans="1:7" x14ac:dyDescent="0.25">
      <c r="A9903" s="2">
        <v>9902</v>
      </c>
      <c r="B9903" s="3" t="s">
        <v>59</v>
      </c>
      <c r="C9903" s="4" t="str">
        <f t="shared" si="888"/>
        <v>An Giang</v>
      </c>
      <c r="D9903" s="3" t="s">
        <v>698</v>
      </c>
      <c r="E9903" s="4" t="str">
        <f t="shared" si="891"/>
        <v>Huyện An Phú</v>
      </c>
      <c r="F9903" s="3" t="s">
        <v>10662</v>
      </c>
      <c r="G9903" s="4" t="str">
        <f>HYPERLINK("https://diaocthongthai.com/xa-vinh-loc-an-phu/","Xã Vĩnh Lộc")</f>
        <v>Xã Vĩnh Lộc</v>
      </c>
    </row>
    <row r="9904" spans="1:7" x14ac:dyDescent="0.25">
      <c r="A9904" s="2">
        <v>9903</v>
      </c>
      <c r="B9904" s="3" t="s">
        <v>59</v>
      </c>
      <c r="C9904" s="4" t="str">
        <f t="shared" si="888"/>
        <v>An Giang</v>
      </c>
      <c r="D9904" s="3" t="s">
        <v>698</v>
      </c>
      <c r="E9904" s="4" t="str">
        <f t="shared" si="891"/>
        <v>Huyện An Phú</v>
      </c>
      <c r="F9904" s="3" t="s">
        <v>10663</v>
      </c>
      <c r="G9904" s="4" t="str">
        <f>HYPERLINK("https://diaocthongthai.com/xa-vinh-hau-an-phu/","Xã Vĩnh Hậu")</f>
        <v>Xã Vĩnh Hậu</v>
      </c>
    </row>
    <row r="9905" spans="1:7" x14ac:dyDescent="0.25">
      <c r="A9905" s="2">
        <v>9904</v>
      </c>
      <c r="B9905" s="3" t="s">
        <v>59</v>
      </c>
      <c r="C9905" s="4" t="str">
        <f t="shared" si="888"/>
        <v>An Giang</v>
      </c>
      <c r="D9905" s="3" t="s">
        <v>698</v>
      </c>
      <c r="E9905" s="4" t="str">
        <f t="shared" si="891"/>
        <v>Huyện An Phú</v>
      </c>
      <c r="F9905" s="3" t="s">
        <v>10664</v>
      </c>
      <c r="G9905" s="4" t="str">
        <f>HYPERLINK("https://diaocthongthai.com/xa-vinh-truong-an-phu/","Xã Vĩnh Trường")</f>
        <v>Xã Vĩnh Trường</v>
      </c>
    </row>
    <row r="9906" spans="1:7" x14ac:dyDescent="0.25">
      <c r="A9906" s="2">
        <v>9905</v>
      </c>
      <c r="B9906" s="3" t="s">
        <v>59</v>
      </c>
      <c r="C9906" s="4" t="str">
        <f t="shared" ref="C9906:C9937" si="892">HYPERLINK("https://diaocthongthai.com/ban-do-an-giang/","An Giang")</f>
        <v>An Giang</v>
      </c>
      <c r="D9906" s="3" t="s">
        <v>698</v>
      </c>
      <c r="E9906" s="4" t="str">
        <f t="shared" si="891"/>
        <v>Huyện An Phú</v>
      </c>
      <c r="F9906" s="3" t="s">
        <v>10665</v>
      </c>
      <c r="G9906" s="4" t="str">
        <f>HYPERLINK("https://diaocthongthai.com/xa-vinh-hoi-dong-an-phu/","Xã Vĩnh Hội Đông")</f>
        <v>Xã Vĩnh Hội Đông</v>
      </c>
    </row>
    <row r="9907" spans="1:7" x14ac:dyDescent="0.25">
      <c r="A9907" s="2">
        <v>9906</v>
      </c>
      <c r="B9907" s="3" t="s">
        <v>59</v>
      </c>
      <c r="C9907" s="4" t="str">
        <f t="shared" si="892"/>
        <v>An Giang</v>
      </c>
      <c r="D9907" s="3" t="s">
        <v>698</v>
      </c>
      <c r="E9907" s="4" t="str">
        <f t="shared" si="891"/>
        <v>Huyện An Phú</v>
      </c>
      <c r="F9907" s="3" t="s">
        <v>10666</v>
      </c>
      <c r="G9907" s="4" t="str">
        <f>HYPERLINK("https://diaocthongthai.com/xa-da-phuoc-an-phu/","Xã Đa Phước")</f>
        <v>Xã Đa Phước</v>
      </c>
    </row>
    <row r="9908" spans="1:7" x14ac:dyDescent="0.25">
      <c r="A9908" s="2">
        <v>9907</v>
      </c>
      <c r="B9908" s="3" t="s">
        <v>59</v>
      </c>
      <c r="C9908" s="4" t="str">
        <f t="shared" si="892"/>
        <v>An Giang</v>
      </c>
      <c r="D9908" s="3" t="s">
        <v>699</v>
      </c>
      <c r="E9908" s="4" t="str">
        <f t="shared" ref="E9908:E9921" si="893">HYPERLINK("https://diaocthongthai.com/ban-do-thi-xa-tan-chau-an-giang/","Thị xã Tân Châu")</f>
        <v>Thị xã Tân Châu</v>
      </c>
      <c r="F9908" s="3" t="s">
        <v>10667</v>
      </c>
      <c r="G9908" s="4" t="str">
        <f>HYPERLINK("https://diaocthongthai.com/phuong-long-thanh-tan-chau-an-giang/","Phường Long Thạnh")</f>
        <v>Phường Long Thạnh</v>
      </c>
    </row>
    <row r="9909" spans="1:7" x14ac:dyDescent="0.25">
      <c r="A9909" s="2">
        <v>9908</v>
      </c>
      <c r="B9909" s="3" t="s">
        <v>59</v>
      </c>
      <c r="C9909" s="4" t="str">
        <f t="shared" si="892"/>
        <v>An Giang</v>
      </c>
      <c r="D9909" s="3" t="s">
        <v>699</v>
      </c>
      <c r="E9909" s="4" t="str">
        <f t="shared" si="893"/>
        <v>Thị xã Tân Châu</v>
      </c>
      <c r="F9909" s="3" t="s">
        <v>10668</v>
      </c>
      <c r="G9909" s="4" t="str">
        <f>HYPERLINK("https://diaocthongthai.com/phuong-long-hung-tan-chau-an-giang/","Phường Long Hưng")</f>
        <v>Phường Long Hưng</v>
      </c>
    </row>
    <row r="9910" spans="1:7" x14ac:dyDescent="0.25">
      <c r="A9910" s="2">
        <v>9909</v>
      </c>
      <c r="B9910" s="3" t="s">
        <v>59</v>
      </c>
      <c r="C9910" s="4" t="str">
        <f t="shared" si="892"/>
        <v>An Giang</v>
      </c>
      <c r="D9910" s="3" t="s">
        <v>699</v>
      </c>
      <c r="E9910" s="4" t="str">
        <f t="shared" si="893"/>
        <v>Thị xã Tân Châu</v>
      </c>
      <c r="F9910" s="3" t="s">
        <v>10669</v>
      </c>
      <c r="G9910" s="4" t="str">
        <f>HYPERLINK("https://diaocthongthai.com/phuong-long-chau-tan-chau-an-giang/","Phường Long Châu")</f>
        <v>Phường Long Châu</v>
      </c>
    </row>
    <row r="9911" spans="1:7" x14ac:dyDescent="0.25">
      <c r="A9911" s="2">
        <v>9910</v>
      </c>
      <c r="B9911" s="3" t="s">
        <v>59</v>
      </c>
      <c r="C9911" s="4" t="str">
        <f t="shared" si="892"/>
        <v>An Giang</v>
      </c>
      <c r="D9911" s="3" t="s">
        <v>699</v>
      </c>
      <c r="E9911" s="4" t="str">
        <f t="shared" si="893"/>
        <v>Thị xã Tân Châu</v>
      </c>
      <c r="F9911" s="3" t="s">
        <v>10670</v>
      </c>
      <c r="G9911" s="4" t="str">
        <f>HYPERLINK("https://diaocthongthai.com/xa-phu-loc-tan-chau-an-giang/","Xã Phú Lộc")</f>
        <v>Xã Phú Lộc</v>
      </c>
    </row>
    <row r="9912" spans="1:7" x14ac:dyDescent="0.25">
      <c r="A9912" s="2">
        <v>9911</v>
      </c>
      <c r="B9912" s="3" t="s">
        <v>59</v>
      </c>
      <c r="C9912" s="4" t="str">
        <f t="shared" si="892"/>
        <v>An Giang</v>
      </c>
      <c r="D9912" s="3" t="s">
        <v>699</v>
      </c>
      <c r="E9912" s="4" t="str">
        <f t="shared" si="893"/>
        <v>Thị xã Tân Châu</v>
      </c>
      <c r="F9912" s="3" t="s">
        <v>10671</v>
      </c>
      <c r="G9912" s="4" t="str">
        <f>HYPERLINK("https://diaocthongthai.com/xa-vinh-xuong-tan-chau-an-giang/","Xã Vĩnh Xương")</f>
        <v>Xã Vĩnh Xương</v>
      </c>
    </row>
    <row r="9913" spans="1:7" x14ac:dyDescent="0.25">
      <c r="A9913" s="2">
        <v>9912</v>
      </c>
      <c r="B9913" s="3" t="s">
        <v>59</v>
      </c>
      <c r="C9913" s="4" t="str">
        <f t="shared" si="892"/>
        <v>An Giang</v>
      </c>
      <c r="D9913" s="3" t="s">
        <v>699</v>
      </c>
      <c r="E9913" s="4" t="str">
        <f t="shared" si="893"/>
        <v>Thị xã Tân Châu</v>
      </c>
      <c r="F9913" s="3" t="s">
        <v>10672</v>
      </c>
      <c r="G9913" s="4" t="str">
        <f>HYPERLINK("https://diaocthongthai.com/xa-vinh-hoa-tan-chau-an-giang/","Xã Vĩnh Hòa")</f>
        <v>Xã Vĩnh Hòa</v>
      </c>
    </row>
    <row r="9914" spans="1:7" x14ac:dyDescent="0.25">
      <c r="A9914" s="2">
        <v>9913</v>
      </c>
      <c r="B9914" s="3" t="s">
        <v>59</v>
      </c>
      <c r="C9914" s="4" t="str">
        <f t="shared" si="892"/>
        <v>An Giang</v>
      </c>
      <c r="D9914" s="3" t="s">
        <v>699</v>
      </c>
      <c r="E9914" s="4" t="str">
        <f t="shared" si="893"/>
        <v>Thị xã Tân Châu</v>
      </c>
      <c r="F9914" s="3" t="s">
        <v>10673</v>
      </c>
      <c r="G9914" s="4" t="str">
        <f>HYPERLINK("https://diaocthongthai.com/xa-tan-thanh-tan-chau-an-giang/","Xã Tân Thạnh")</f>
        <v>Xã Tân Thạnh</v>
      </c>
    </row>
    <row r="9915" spans="1:7" x14ac:dyDescent="0.25">
      <c r="A9915" s="2">
        <v>9914</v>
      </c>
      <c r="B9915" s="3" t="s">
        <v>59</v>
      </c>
      <c r="C9915" s="4" t="str">
        <f t="shared" si="892"/>
        <v>An Giang</v>
      </c>
      <c r="D9915" s="3" t="s">
        <v>699</v>
      </c>
      <c r="E9915" s="4" t="str">
        <f t="shared" si="893"/>
        <v>Thị xã Tân Châu</v>
      </c>
      <c r="F9915" s="3" t="s">
        <v>10674</v>
      </c>
      <c r="G9915" s="4" t="str">
        <f>HYPERLINK("https://diaocthongthai.com/xa-tan-an-tan-chau-an-giang/","Xã Tân An")</f>
        <v>Xã Tân An</v>
      </c>
    </row>
    <row r="9916" spans="1:7" x14ac:dyDescent="0.25">
      <c r="A9916" s="2">
        <v>9915</v>
      </c>
      <c r="B9916" s="3" t="s">
        <v>59</v>
      </c>
      <c r="C9916" s="4" t="str">
        <f t="shared" si="892"/>
        <v>An Giang</v>
      </c>
      <c r="D9916" s="3" t="s">
        <v>699</v>
      </c>
      <c r="E9916" s="4" t="str">
        <f t="shared" si="893"/>
        <v>Thị xã Tân Châu</v>
      </c>
      <c r="F9916" s="3" t="s">
        <v>10675</v>
      </c>
      <c r="G9916" s="4" t="str">
        <f>HYPERLINK("https://diaocthongthai.com/xa-long-an-tan-chau-an-giang/","Xã Long An")</f>
        <v>Xã Long An</v>
      </c>
    </row>
    <row r="9917" spans="1:7" x14ac:dyDescent="0.25">
      <c r="A9917" s="2">
        <v>9916</v>
      </c>
      <c r="B9917" s="3" t="s">
        <v>59</v>
      </c>
      <c r="C9917" s="4" t="str">
        <f t="shared" si="892"/>
        <v>An Giang</v>
      </c>
      <c r="D9917" s="3" t="s">
        <v>699</v>
      </c>
      <c r="E9917" s="4" t="str">
        <f t="shared" si="893"/>
        <v>Thị xã Tân Châu</v>
      </c>
      <c r="F9917" s="3" t="s">
        <v>10676</v>
      </c>
      <c r="G9917" s="4" t="str">
        <f>HYPERLINK("https://diaocthongthai.com/phuong-long-phu-tan-chau-an-giang/","Phường Long Phú")</f>
        <v>Phường Long Phú</v>
      </c>
    </row>
    <row r="9918" spans="1:7" x14ac:dyDescent="0.25">
      <c r="A9918" s="2">
        <v>9917</v>
      </c>
      <c r="B9918" s="3" t="s">
        <v>59</v>
      </c>
      <c r="C9918" s="4" t="str">
        <f t="shared" si="892"/>
        <v>An Giang</v>
      </c>
      <c r="D9918" s="3" t="s">
        <v>699</v>
      </c>
      <c r="E9918" s="4" t="str">
        <f t="shared" si="893"/>
        <v>Thị xã Tân Châu</v>
      </c>
      <c r="F9918" s="3" t="s">
        <v>10677</v>
      </c>
      <c r="G9918" s="4" t="str">
        <f>HYPERLINK("https://diaocthongthai.com/xa-chau-phong-tan-chau-an-giang/","Xã Châu Phong")</f>
        <v>Xã Châu Phong</v>
      </c>
    </row>
    <row r="9919" spans="1:7" x14ac:dyDescent="0.25">
      <c r="A9919" s="2">
        <v>9918</v>
      </c>
      <c r="B9919" s="3" t="s">
        <v>59</v>
      </c>
      <c r="C9919" s="4" t="str">
        <f t="shared" si="892"/>
        <v>An Giang</v>
      </c>
      <c r="D9919" s="3" t="s">
        <v>699</v>
      </c>
      <c r="E9919" s="4" t="str">
        <f t="shared" si="893"/>
        <v>Thị xã Tân Châu</v>
      </c>
      <c r="F9919" s="3" t="s">
        <v>10678</v>
      </c>
      <c r="G9919" s="4" t="str">
        <f>HYPERLINK("https://diaocthongthai.com/xa-phu-vinh-tan-chau-an-giang/","Xã Phú Vĩnh")</f>
        <v>Xã Phú Vĩnh</v>
      </c>
    </row>
    <row r="9920" spans="1:7" x14ac:dyDescent="0.25">
      <c r="A9920" s="2">
        <v>9919</v>
      </c>
      <c r="B9920" s="3" t="s">
        <v>59</v>
      </c>
      <c r="C9920" s="4" t="str">
        <f t="shared" si="892"/>
        <v>An Giang</v>
      </c>
      <c r="D9920" s="3" t="s">
        <v>699</v>
      </c>
      <c r="E9920" s="4" t="str">
        <f t="shared" si="893"/>
        <v>Thị xã Tân Châu</v>
      </c>
      <c r="F9920" s="3" t="s">
        <v>10679</v>
      </c>
      <c r="G9920" s="4" t="str">
        <f>HYPERLINK("https://diaocthongthai.com/xa-le-chanh-tan-chau-an-giang/","Xã Lê Chánh")</f>
        <v>Xã Lê Chánh</v>
      </c>
    </row>
    <row r="9921" spans="1:7" x14ac:dyDescent="0.25">
      <c r="A9921" s="2">
        <v>9920</v>
      </c>
      <c r="B9921" s="3" t="s">
        <v>59</v>
      </c>
      <c r="C9921" s="4" t="str">
        <f t="shared" si="892"/>
        <v>An Giang</v>
      </c>
      <c r="D9921" s="3" t="s">
        <v>699</v>
      </c>
      <c r="E9921" s="4" t="str">
        <f t="shared" si="893"/>
        <v>Thị xã Tân Châu</v>
      </c>
      <c r="F9921" s="3" t="s">
        <v>10680</v>
      </c>
      <c r="G9921" s="4" t="str">
        <f>HYPERLINK("https://diaocthongthai.com/phuong-long-son-tan-chau-an-giang/","Phường Long Sơn")</f>
        <v>Phường Long Sơn</v>
      </c>
    </row>
    <row r="9922" spans="1:7" x14ac:dyDescent="0.25">
      <c r="A9922" s="2">
        <v>9921</v>
      </c>
      <c r="B9922" s="3" t="s">
        <v>59</v>
      </c>
      <c r="C9922" s="4" t="str">
        <f t="shared" si="892"/>
        <v>An Giang</v>
      </c>
      <c r="D9922" s="3" t="s">
        <v>700</v>
      </c>
      <c r="E9922" s="4" t="str">
        <f t="shared" ref="E9922:E9939" si="894">HYPERLINK("https://diaocthongthai.com/ban-do-huyen-phu-tan-an-giang/","Huyện Phú Tân")</f>
        <v>Huyện Phú Tân</v>
      </c>
      <c r="F9922" s="3" t="s">
        <v>10681</v>
      </c>
      <c r="G9922" s="4" t="str">
        <f>HYPERLINK("https://diaocthongthai.com/thi-tran-phu-my-phu-tan-an-giang/","Thị trấn Phú Mỹ")</f>
        <v>Thị trấn Phú Mỹ</v>
      </c>
    </row>
    <row r="9923" spans="1:7" x14ac:dyDescent="0.25">
      <c r="A9923" s="2">
        <v>9922</v>
      </c>
      <c r="B9923" s="3" t="s">
        <v>59</v>
      </c>
      <c r="C9923" s="4" t="str">
        <f t="shared" si="892"/>
        <v>An Giang</v>
      </c>
      <c r="D9923" s="3" t="s">
        <v>700</v>
      </c>
      <c r="E9923" s="4" t="str">
        <f t="shared" si="894"/>
        <v>Huyện Phú Tân</v>
      </c>
      <c r="F9923" s="3" t="s">
        <v>10682</v>
      </c>
      <c r="G9923" s="4" t="str">
        <f>HYPERLINK("https://diaocthongthai.com/thi-tran-cho-vam-phu-tan-an-giang/","Thị trấn Chợ Vàm")</f>
        <v>Thị trấn Chợ Vàm</v>
      </c>
    </row>
    <row r="9924" spans="1:7" x14ac:dyDescent="0.25">
      <c r="A9924" s="2">
        <v>9923</v>
      </c>
      <c r="B9924" s="3" t="s">
        <v>59</v>
      </c>
      <c r="C9924" s="4" t="str">
        <f t="shared" si="892"/>
        <v>An Giang</v>
      </c>
      <c r="D9924" s="3" t="s">
        <v>700</v>
      </c>
      <c r="E9924" s="4" t="str">
        <f t="shared" si="894"/>
        <v>Huyện Phú Tân</v>
      </c>
      <c r="F9924" s="3" t="s">
        <v>10683</v>
      </c>
      <c r="G9924" s="4" t="str">
        <f>HYPERLINK("https://diaocthongthai.com/xa-long-hoa-phu-tan-an-giang/","Xã Long Hoà")</f>
        <v>Xã Long Hoà</v>
      </c>
    </row>
    <row r="9925" spans="1:7" x14ac:dyDescent="0.25">
      <c r="A9925" s="2">
        <v>9924</v>
      </c>
      <c r="B9925" s="3" t="s">
        <v>59</v>
      </c>
      <c r="C9925" s="4" t="str">
        <f t="shared" si="892"/>
        <v>An Giang</v>
      </c>
      <c r="D9925" s="3" t="s">
        <v>700</v>
      </c>
      <c r="E9925" s="4" t="str">
        <f t="shared" si="894"/>
        <v>Huyện Phú Tân</v>
      </c>
      <c r="F9925" s="3" t="s">
        <v>10684</v>
      </c>
      <c r="G9925" s="4" t="str">
        <f>HYPERLINK("https://diaocthongthai.com/xa-phu-long-phu-tan-an-giang/","Xã Phú Long")</f>
        <v>Xã Phú Long</v>
      </c>
    </row>
    <row r="9926" spans="1:7" x14ac:dyDescent="0.25">
      <c r="A9926" s="2">
        <v>9925</v>
      </c>
      <c r="B9926" s="3" t="s">
        <v>59</v>
      </c>
      <c r="C9926" s="4" t="str">
        <f t="shared" si="892"/>
        <v>An Giang</v>
      </c>
      <c r="D9926" s="3" t="s">
        <v>700</v>
      </c>
      <c r="E9926" s="4" t="str">
        <f t="shared" si="894"/>
        <v>Huyện Phú Tân</v>
      </c>
      <c r="F9926" s="3" t="s">
        <v>10685</v>
      </c>
      <c r="G9926" s="4" t="str">
        <f>HYPERLINK("https://diaocthongthai.com/xa-phu-lam-phu-tan-an-giang/","Xã Phú Lâm")</f>
        <v>Xã Phú Lâm</v>
      </c>
    </row>
    <row r="9927" spans="1:7" x14ac:dyDescent="0.25">
      <c r="A9927" s="2">
        <v>9926</v>
      </c>
      <c r="B9927" s="3" t="s">
        <v>59</v>
      </c>
      <c r="C9927" s="4" t="str">
        <f t="shared" si="892"/>
        <v>An Giang</v>
      </c>
      <c r="D9927" s="3" t="s">
        <v>700</v>
      </c>
      <c r="E9927" s="4" t="str">
        <f t="shared" si="894"/>
        <v>Huyện Phú Tân</v>
      </c>
      <c r="F9927" s="3" t="s">
        <v>10686</v>
      </c>
      <c r="G9927" s="4" t="str">
        <f>HYPERLINK("https://diaocthongthai.com/xa-phu-hiep-phu-tan-an-giang/","Xã Phú Hiệp")</f>
        <v>Xã Phú Hiệp</v>
      </c>
    </row>
    <row r="9928" spans="1:7" x14ac:dyDescent="0.25">
      <c r="A9928" s="2">
        <v>9927</v>
      </c>
      <c r="B9928" s="3" t="s">
        <v>59</v>
      </c>
      <c r="C9928" s="4" t="str">
        <f t="shared" si="892"/>
        <v>An Giang</v>
      </c>
      <c r="D9928" s="3" t="s">
        <v>700</v>
      </c>
      <c r="E9928" s="4" t="str">
        <f t="shared" si="894"/>
        <v>Huyện Phú Tân</v>
      </c>
      <c r="F9928" s="3" t="s">
        <v>10687</v>
      </c>
      <c r="G9928" s="4" t="str">
        <f>HYPERLINK("https://diaocthongthai.com/xa-phu-thanh-2-phu-tan-an-giang/","Xã Phú Thạnh")</f>
        <v>Xã Phú Thạnh</v>
      </c>
    </row>
    <row r="9929" spans="1:7" x14ac:dyDescent="0.25">
      <c r="A9929" s="2">
        <v>9928</v>
      </c>
      <c r="B9929" s="3" t="s">
        <v>59</v>
      </c>
      <c r="C9929" s="4" t="str">
        <f t="shared" si="892"/>
        <v>An Giang</v>
      </c>
      <c r="D9929" s="3" t="s">
        <v>700</v>
      </c>
      <c r="E9929" s="4" t="str">
        <f t="shared" si="894"/>
        <v>Huyện Phú Tân</v>
      </c>
      <c r="F9929" s="3" t="s">
        <v>10688</v>
      </c>
      <c r="G9929" s="4" t="str">
        <f>HYPERLINK("https://diaocthongthai.com/xa-hoa-lac-phu-tan-an-giang/","Xã Hoà Lạc")</f>
        <v>Xã Hoà Lạc</v>
      </c>
    </row>
    <row r="9930" spans="1:7" x14ac:dyDescent="0.25">
      <c r="A9930" s="2">
        <v>9929</v>
      </c>
      <c r="B9930" s="3" t="s">
        <v>59</v>
      </c>
      <c r="C9930" s="4" t="str">
        <f t="shared" si="892"/>
        <v>An Giang</v>
      </c>
      <c r="D9930" s="3" t="s">
        <v>700</v>
      </c>
      <c r="E9930" s="4" t="str">
        <f t="shared" si="894"/>
        <v>Huyện Phú Tân</v>
      </c>
      <c r="F9930" s="3" t="s">
        <v>10689</v>
      </c>
      <c r="G9930" s="4" t="str">
        <f>HYPERLINK("https://diaocthongthai.com/xa-phu-thanh-1-phu-tan-an-giang/","Xã Phú Thành")</f>
        <v>Xã Phú Thành</v>
      </c>
    </row>
    <row r="9931" spans="1:7" x14ac:dyDescent="0.25">
      <c r="A9931" s="2">
        <v>9930</v>
      </c>
      <c r="B9931" s="3" t="s">
        <v>59</v>
      </c>
      <c r="C9931" s="4" t="str">
        <f t="shared" si="892"/>
        <v>An Giang</v>
      </c>
      <c r="D9931" s="3" t="s">
        <v>700</v>
      </c>
      <c r="E9931" s="4" t="str">
        <f t="shared" si="894"/>
        <v>Huyện Phú Tân</v>
      </c>
      <c r="F9931" s="3" t="s">
        <v>10690</v>
      </c>
      <c r="G9931" s="4" t="str">
        <f>HYPERLINK("https://diaocthongthai.com/xa-phu-an-phu-tan-an-giang/","Xã Phú An")</f>
        <v>Xã Phú An</v>
      </c>
    </row>
    <row r="9932" spans="1:7" x14ac:dyDescent="0.25">
      <c r="A9932" s="2">
        <v>9931</v>
      </c>
      <c r="B9932" s="3" t="s">
        <v>59</v>
      </c>
      <c r="C9932" s="4" t="str">
        <f t="shared" si="892"/>
        <v>An Giang</v>
      </c>
      <c r="D9932" s="3" t="s">
        <v>700</v>
      </c>
      <c r="E9932" s="4" t="str">
        <f t="shared" si="894"/>
        <v>Huyện Phú Tân</v>
      </c>
      <c r="F9932" s="3" t="s">
        <v>10691</v>
      </c>
      <c r="G9932" s="4" t="str">
        <f>HYPERLINK("https://diaocthongthai.com/xa-phu-xuan-phu-tan-an-giang/","Xã Phú Xuân")</f>
        <v>Xã Phú Xuân</v>
      </c>
    </row>
    <row r="9933" spans="1:7" x14ac:dyDescent="0.25">
      <c r="A9933" s="2">
        <v>9932</v>
      </c>
      <c r="B9933" s="3" t="s">
        <v>59</v>
      </c>
      <c r="C9933" s="4" t="str">
        <f t="shared" si="892"/>
        <v>An Giang</v>
      </c>
      <c r="D9933" s="3" t="s">
        <v>700</v>
      </c>
      <c r="E9933" s="4" t="str">
        <f t="shared" si="894"/>
        <v>Huyện Phú Tân</v>
      </c>
      <c r="F9933" s="3" t="s">
        <v>10692</v>
      </c>
      <c r="G9933" s="4" t="str">
        <f>HYPERLINK("https://diaocthongthai.com/xa-hiep-xuong-phu-tan-an-giang/","Xã Hiệp Xương")</f>
        <v>Xã Hiệp Xương</v>
      </c>
    </row>
    <row r="9934" spans="1:7" x14ac:dyDescent="0.25">
      <c r="A9934" s="2">
        <v>9933</v>
      </c>
      <c r="B9934" s="3" t="s">
        <v>59</v>
      </c>
      <c r="C9934" s="4" t="str">
        <f t="shared" si="892"/>
        <v>An Giang</v>
      </c>
      <c r="D9934" s="3" t="s">
        <v>700</v>
      </c>
      <c r="E9934" s="4" t="str">
        <f t="shared" si="894"/>
        <v>Huyện Phú Tân</v>
      </c>
      <c r="F9934" s="3" t="s">
        <v>10693</v>
      </c>
      <c r="G9934" s="4" t="str">
        <f>HYPERLINK("https://diaocthongthai.com/xa-phu-binh-phu-tan-an-giang/","Xã Phú Bình")</f>
        <v>Xã Phú Bình</v>
      </c>
    </row>
    <row r="9935" spans="1:7" x14ac:dyDescent="0.25">
      <c r="A9935" s="2">
        <v>9934</v>
      </c>
      <c r="B9935" s="3" t="s">
        <v>59</v>
      </c>
      <c r="C9935" s="4" t="str">
        <f t="shared" si="892"/>
        <v>An Giang</v>
      </c>
      <c r="D9935" s="3" t="s">
        <v>700</v>
      </c>
      <c r="E9935" s="4" t="str">
        <f t="shared" si="894"/>
        <v>Huyện Phú Tân</v>
      </c>
      <c r="F9935" s="3" t="s">
        <v>10694</v>
      </c>
      <c r="G9935" s="4" t="str">
        <f>HYPERLINK("https://diaocthongthai.com/xa-phu-tho-phu-tan-an-giang/","Xã Phú Thọ")</f>
        <v>Xã Phú Thọ</v>
      </c>
    </row>
    <row r="9936" spans="1:7" x14ac:dyDescent="0.25">
      <c r="A9936" s="2">
        <v>9935</v>
      </c>
      <c r="B9936" s="3" t="s">
        <v>59</v>
      </c>
      <c r="C9936" s="4" t="str">
        <f t="shared" si="892"/>
        <v>An Giang</v>
      </c>
      <c r="D9936" s="3" t="s">
        <v>700</v>
      </c>
      <c r="E9936" s="4" t="str">
        <f t="shared" si="894"/>
        <v>Huyện Phú Tân</v>
      </c>
      <c r="F9936" s="3" t="s">
        <v>10695</v>
      </c>
      <c r="G9936" s="4" t="str">
        <f>HYPERLINK("https://diaocthongthai.com/xa-phu-hung-phu-tan-an-giang/","Xã Phú Hưng")</f>
        <v>Xã Phú Hưng</v>
      </c>
    </row>
    <row r="9937" spans="1:7" x14ac:dyDescent="0.25">
      <c r="A9937" s="2">
        <v>9936</v>
      </c>
      <c r="B9937" s="3" t="s">
        <v>59</v>
      </c>
      <c r="C9937" s="4" t="str">
        <f t="shared" si="892"/>
        <v>An Giang</v>
      </c>
      <c r="D9937" s="3" t="s">
        <v>700</v>
      </c>
      <c r="E9937" s="4" t="str">
        <f t="shared" si="894"/>
        <v>Huyện Phú Tân</v>
      </c>
      <c r="F9937" s="3" t="s">
        <v>10696</v>
      </c>
      <c r="G9937" s="4" t="str">
        <f>HYPERLINK("https://diaocthongthai.com/xa-binh-thanh-dong-phu-tan-an-giang/","Xã Bình Thạnh Đông")</f>
        <v>Xã Bình Thạnh Đông</v>
      </c>
    </row>
    <row r="9938" spans="1:7" x14ac:dyDescent="0.25">
      <c r="A9938" s="2">
        <v>9937</v>
      </c>
      <c r="B9938" s="3" t="s">
        <v>59</v>
      </c>
      <c r="C9938" s="4" t="str">
        <f t="shared" ref="C9938:C9969" si="895">HYPERLINK("https://diaocthongthai.com/ban-do-an-giang/","An Giang")</f>
        <v>An Giang</v>
      </c>
      <c r="D9938" s="3" t="s">
        <v>700</v>
      </c>
      <c r="E9938" s="4" t="str">
        <f t="shared" si="894"/>
        <v>Huyện Phú Tân</v>
      </c>
      <c r="F9938" s="3" t="s">
        <v>10697</v>
      </c>
      <c r="G9938" s="4" t="str">
        <f>HYPERLINK("https://diaocthongthai.com/xa-tan-hoa-phu-tan-an-giang/","Xã Tân Hòa")</f>
        <v>Xã Tân Hòa</v>
      </c>
    </row>
    <row r="9939" spans="1:7" x14ac:dyDescent="0.25">
      <c r="A9939" s="2">
        <v>9938</v>
      </c>
      <c r="B9939" s="3" t="s">
        <v>59</v>
      </c>
      <c r="C9939" s="4" t="str">
        <f t="shared" si="895"/>
        <v>An Giang</v>
      </c>
      <c r="D9939" s="3" t="s">
        <v>700</v>
      </c>
      <c r="E9939" s="4" t="str">
        <f t="shared" si="894"/>
        <v>Huyện Phú Tân</v>
      </c>
      <c r="F9939" s="3" t="s">
        <v>10698</v>
      </c>
      <c r="G9939" s="4" t="str">
        <f>HYPERLINK("https://diaocthongthai.com/xa-tan-trung-phu-tan-an-giang/","Xã Tân Trung")</f>
        <v>Xã Tân Trung</v>
      </c>
    </row>
    <row r="9940" spans="1:7" x14ac:dyDescent="0.25">
      <c r="A9940" s="2">
        <v>9939</v>
      </c>
      <c r="B9940" s="3" t="s">
        <v>59</v>
      </c>
      <c r="C9940" s="4" t="str">
        <f t="shared" si="895"/>
        <v>An Giang</v>
      </c>
      <c r="D9940" s="3" t="s">
        <v>701</v>
      </c>
      <c r="E9940" s="4" t="str">
        <f t="shared" ref="E9940:E9952" si="896">HYPERLINK("https://diaocthongthai.com/ban-do-huyen-chau-phu-an-giang/","Huyện Châu Phú")</f>
        <v>Huyện Châu Phú</v>
      </c>
      <c r="F9940" s="3" t="s">
        <v>10699</v>
      </c>
      <c r="G9940" s="4" t="str">
        <f>HYPERLINK("https://diaocthongthai.com/thi-tran-cai-dau-chau-phu/","Thị trấn Cái Dầu")</f>
        <v>Thị trấn Cái Dầu</v>
      </c>
    </row>
    <row r="9941" spans="1:7" x14ac:dyDescent="0.25">
      <c r="A9941" s="2">
        <v>9940</v>
      </c>
      <c r="B9941" s="3" t="s">
        <v>59</v>
      </c>
      <c r="C9941" s="4" t="str">
        <f t="shared" si="895"/>
        <v>An Giang</v>
      </c>
      <c r="D9941" s="3" t="s">
        <v>701</v>
      </c>
      <c r="E9941" s="4" t="str">
        <f t="shared" si="896"/>
        <v>Huyện Châu Phú</v>
      </c>
      <c r="F9941" s="3" t="s">
        <v>10700</v>
      </c>
      <c r="G9941" s="4" t="str">
        <f>HYPERLINK("https://diaocthongthai.com/xa-khanh-hoa-chau-phu/","Xã Khánh Hòa")</f>
        <v>Xã Khánh Hòa</v>
      </c>
    </row>
    <row r="9942" spans="1:7" x14ac:dyDescent="0.25">
      <c r="A9942" s="2">
        <v>9941</v>
      </c>
      <c r="B9942" s="3" t="s">
        <v>59</v>
      </c>
      <c r="C9942" s="4" t="str">
        <f t="shared" si="895"/>
        <v>An Giang</v>
      </c>
      <c r="D9942" s="3" t="s">
        <v>701</v>
      </c>
      <c r="E9942" s="4" t="str">
        <f t="shared" si="896"/>
        <v>Huyện Châu Phú</v>
      </c>
      <c r="F9942" s="3" t="s">
        <v>10701</v>
      </c>
      <c r="G9942" s="4" t="str">
        <f>HYPERLINK("https://diaocthongthai.com/xa-my-duc-chau-phu/","Xã Mỹ Đức")</f>
        <v>Xã Mỹ Đức</v>
      </c>
    </row>
    <row r="9943" spans="1:7" x14ac:dyDescent="0.25">
      <c r="A9943" s="2">
        <v>9942</v>
      </c>
      <c r="B9943" s="3" t="s">
        <v>59</v>
      </c>
      <c r="C9943" s="4" t="str">
        <f t="shared" si="895"/>
        <v>An Giang</v>
      </c>
      <c r="D9943" s="3" t="s">
        <v>701</v>
      </c>
      <c r="E9943" s="4" t="str">
        <f t="shared" si="896"/>
        <v>Huyện Châu Phú</v>
      </c>
      <c r="F9943" s="3" t="s">
        <v>10702</v>
      </c>
      <c r="G9943" s="4" t="str">
        <f>HYPERLINK("https://diaocthongthai.com/xa-my-phu-chau-phu/","Xã Mỹ Phú")</f>
        <v>Xã Mỹ Phú</v>
      </c>
    </row>
    <row r="9944" spans="1:7" x14ac:dyDescent="0.25">
      <c r="A9944" s="2">
        <v>9943</v>
      </c>
      <c r="B9944" s="3" t="s">
        <v>59</v>
      </c>
      <c r="C9944" s="4" t="str">
        <f t="shared" si="895"/>
        <v>An Giang</v>
      </c>
      <c r="D9944" s="3" t="s">
        <v>701</v>
      </c>
      <c r="E9944" s="4" t="str">
        <f t="shared" si="896"/>
        <v>Huyện Châu Phú</v>
      </c>
      <c r="F9944" s="3" t="s">
        <v>10703</v>
      </c>
      <c r="G9944" s="4" t="str">
        <f>HYPERLINK("https://diaocthongthai.com/xa-o-long-vy-chau-phu/","Xã Ô Long Vỹ")</f>
        <v>Xã Ô Long Vỹ</v>
      </c>
    </row>
    <row r="9945" spans="1:7" x14ac:dyDescent="0.25">
      <c r="A9945" s="2">
        <v>9944</v>
      </c>
      <c r="B9945" s="3" t="s">
        <v>59</v>
      </c>
      <c r="C9945" s="4" t="str">
        <f t="shared" si="895"/>
        <v>An Giang</v>
      </c>
      <c r="D9945" s="3" t="s">
        <v>701</v>
      </c>
      <c r="E9945" s="4" t="str">
        <f t="shared" si="896"/>
        <v>Huyện Châu Phú</v>
      </c>
      <c r="F9945" s="3" t="s">
        <v>10704</v>
      </c>
      <c r="G9945" s="4" t="str">
        <f>HYPERLINK("https://diaocthongthai.com/thi-tran-vinh-thanh-trung-chau-phu/","Thị trấn Vĩnh Thạnh Trung")</f>
        <v>Thị trấn Vĩnh Thạnh Trung</v>
      </c>
    </row>
    <row r="9946" spans="1:7" x14ac:dyDescent="0.25">
      <c r="A9946" s="2">
        <v>9945</v>
      </c>
      <c r="B9946" s="3" t="s">
        <v>59</v>
      </c>
      <c r="C9946" s="4" t="str">
        <f t="shared" si="895"/>
        <v>An Giang</v>
      </c>
      <c r="D9946" s="3" t="s">
        <v>701</v>
      </c>
      <c r="E9946" s="4" t="str">
        <f t="shared" si="896"/>
        <v>Huyện Châu Phú</v>
      </c>
      <c r="F9946" s="3" t="s">
        <v>10705</v>
      </c>
      <c r="G9946" s="4" t="str">
        <f>HYPERLINK("https://diaocthongthai.com/xa-thanh-my-tay-chau-phu/","Xã Thạnh Mỹ Tây")</f>
        <v>Xã Thạnh Mỹ Tây</v>
      </c>
    </row>
    <row r="9947" spans="1:7" x14ac:dyDescent="0.25">
      <c r="A9947" s="2">
        <v>9946</v>
      </c>
      <c r="B9947" s="3" t="s">
        <v>59</v>
      </c>
      <c r="C9947" s="4" t="str">
        <f t="shared" si="895"/>
        <v>An Giang</v>
      </c>
      <c r="D9947" s="3" t="s">
        <v>701</v>
      </c>
      <c r="E9947" s="4" t="str">
        <f t="shared" si="896"/>
        <v>Huyện Châu Phú</v>
      </c>
      <c r="F9947" s="3" t="s">
        <v>10706</v>
      </c>
      <c r="G9947" s="4" t="str">
        <f>HYPERLINK("https://diaocthongthai.com/xa-binh-long-chau-phu/","Xã Bình Long")</f>
        <v>Xã Bình Long</v>
      </c>
    </row>
    <row r="9948" spans="1:7" x14ac:dyDescent="0.25">
      <c r="A9948" s="2">
        <v>9947</v>
      </c>
      <c r="B9948" s="3" t="s">
        <v>59</v>
      </c>
      <c r="C9948" s="4" t="str">
        <f t="shared" si="895"/>
        <v>An Giang</v>
      </c>
      <c r="D9948" s="3" t="s">
        <v>701</v>
      </c>
      <c r="E9948" s="4" t="str">
        <f t="shared" si="896"/>
        <v>Huyện Châu Phú</v>
      </c>
      <c r="F9948" s="3" t="s">
        <v>10707</v>
      </c>
      <c r="G9948" s="4" t="str">
        <f>HYPERLINK("https://diaocthongthai.com/xa-binh-my-chau-phu/","Xã Bình Mỹ")</f>
        <v>Xã Bình Mỹ</v>
      </c>
    </row>
    <row r="9949" spans="1:7" x14ac:dyDescent="0.25">
      <c r="A9949" s="2">
        <v>9948</v>
      </c>
      <c r="B9949" s="3" t="s">
        <v>59</v>
      </c>
      <c r="C9949" s="4" t="str">
        <f t="shared" si="895"/>
        <v>An Giang</v>
      </c>
      <c r="D9949" s="3" t="s">
        <v>701</v>
      </c>
      <c r="E9949" s="4" t="str">
        <f t="shared" si="896"/>
        <v>Huyện Châu Phú</v>
      </c>
      <c r="F9949" s="3" t="s">
        <v>10708</v>
      </c>
      <c r="G9949" s="4" t="str">
        <f>HYPERLINK("https://diaocthongthai.com/xa-binh-thuy-chau-phu/","Xã Bình Thủy")</f>
        <v>Xã Bình Thủy</v>
      </c>
    </row>
    <row r="9950" spans="1:7" x14ac:dyDescent="0.25">
      <c r="A9950" s="2">
        <v>9949</v>
      </c>
      <c r="B9950" s="3" t="s">
        <v>59</v>
      </c>
      <c r="C9950" s="4" t="str">
        <f t="shared" si="895"/>
        <v>An Giang</v>
      </c>
      <c r="D9950" s="3" t="s">
        <v>701</v>
      </c>
      <c r="E9950" s="4" t="str">
        <f t="shared" si="896"/>
        <v>Huyện Châu Phú</v>
      </c>
      <c r="F9950" s="3" t="s">
        <v>10709</v>
      </c>
      <c r="G9950" s="4" t="str">
        <f>HYPERLINK("https://diaocthongthai.com/xa-dao-huu-canh-chau-phu/","Xã Đào Hữu Cảnh")</f>
        <v>Xã Đào Hữu Cảnh</v>
      </c>
    </row>
    <row r="9951" spans="1:7" x14ac:dyDescent="0.25">
      <c r="A9951" s="2">
        <v>9950</v>
      </c>
      <c r="B9951" s="3" t="s">
        <v>59</v>
      </c>
      <c r="C9951" s="4" t="str">
        <f t="shared" si="895"/>
        <v>An Giang</v>
      </c>
      <c r="D9951" s="3" t="s">
        <v>701</v>
      </c>
      <c r="E9951" s="4" t="str">
        <f t="shared" si="896"/>
        <v>Huyện Châu Phú</v>
      </c>
      <c r="F9951" s="3" t="s">
        <v>10710</v>
      </c>
      <c r="G9951" s="4" t="str">
        <f>HYPERLINK("https://diaocthongthai.com/xa-binh-phu-chau-phu/","Xã Bình Phú")</f>
        <v>Xã Bình Phú</v>
      </c>
    </row>
    <row r="9952" spans="1:7" x14ac:dyDescent="0.25">
      <c r="A9952" s="2">
        <v>9951</v>
      </c>
      <c r="B9952" s="3" t="s">
        <v>59</v>
      </c>
      <c r="C9952" s="4" t="str">
        <f t="shared" si="895"/>
        <v>An Giang</v>
      </c>
      <c r="D9952" s="3" t="s">
        <v>701</v>
      </c>
      <c r="E9952" s="4" t="str">
        <f t="shared" si="896"/>
        <v>Huyện Châu Phú</v>
      </c>
      <c r="F9952" s="3" t="s">
        <v>10711</v>
      </c>
      <c r="G9952" s="4" t="str">
        <f>HYPERLINK("https://diaocthongthai.com/xa-binh-chanh-chau-phu/","Xã Bình Chánh")</f>
        <v>Xã Bình Chánh</v>
      </c>
    </row>
    <row r="9953" spans="1:7" x14ac:dyDescent="0.25">
      <c r="A9953" s="2">
        <v>9952</v>
      </c>
      <c r="B9953" s="3" t="s">
        <v>59</v>
      </c>
      <c r="C9953" s="4" t="str">
        <f t="shared" si="895"/>
        <v>An Giang</v>
      </c>
      <c r="D9953" s="3" t="s">
        <v>702</v>
      </c>
      <c r="E9953" s="4" t="str">
        <f t="shared" ref="E9953:E9966" si="897">HYPERLINK("https://diaocthongthai.com/ban-do-huyen-tinh-bien-an-giang/","Huyện Tịnh Biên")</f>
        <v>Huyện Tịnh Biên</v>
      </c>
      <c r="F9953" s="3" t="s">
        <v>10712</v>
      </c>
      <c r="G9953" s="4" t="str">
        <f>HYPERLINK("https://diaocthongthai.com/thi-tran-nha-bang-tinh-bien/","Thị trấn Nhà Bàng")</f>
        <v>Thị trấn Nhà Bàng</v>
      </c>
    </row>
    <row r="9954" spans="1:7" x14ac:dyDescent="0.25">
      <c r="A9954" s="2">
        <v>9953</v>
      </c>
      <c r="B9954" s="3" t="s">
        <v>59</v>
      </c>
      <c r="C9954" s="4" t="str">
        <f t="shared" si="895"/>
        <v>An Giang</v>
      </c>
      <c r="D9954" s="3" t="s">
        <v>702</v>
      </c>
      <c r="E9954" s="4" t="str">
        <f t="shared" si="897"/>
        <v>Huyện Tịnh Biên</v>
      </c>
      <c r="F9954" s="3" t="s">
        <v>10713</v>
      </c>
      <c r="G9954" s="4" t="str">
        <f>HYPERLINK("https://diaocthongthai.com/thi-tran-chi-lang-tinh-bien/","Thị trấn Chi Lăng")</f>
        <v>Thị trấn Chi Lăng</v>
      </c>
    </row>
    <row r="9955" spans="1:7" x14ac:dyDescent="0.25">
      <c r="A9955" s="2">
        <v>9954</v>
      </c>
      <c r="B9955" s="3" t="s">
        <v>59</v>
      </c>
      <c r="C9955" s="4" t="str">
        <f t="shared" si="895"/>
        <v>An Giang</v>
      </c>
      <c r="D9955" s="3" t="s">
        <v>702</v>
      </c>
      <c r="E9955" s="4" t="str">
        <f t="shared" si="897"/>
        <v>Huyện Tịnh Biên</v>
      </c>
      <c r="F9955" s="3" t="s">
        <v>10714</v>
      </c>
      <c r="G9955" s="4" t="str">
        <f>HYPERLINK("https://diaocthongthai.com/xa-nui-voi-tinh-bien/","Xã Núi Voi")</f>
        <v>Xã Núi Voi</v>
      </c>
    </row>
    <row r="9956" spans="1:7" x14ac:dyDescent="0.25">
      <c r="A9956" s="2">
        <v>9955</v>
      </c>
      <c r="B9956" s="3" t="s">
        <v>59</v>
      </c>
      <c r="C9956" s="4" t="str">
        <f t="shared" si="895"/>
        <v>An Giang</v>
      </c>
      <c r="D9956" s="3" t="s">
        <v>702</v>
      </c>
      <c r="E9956" s="4" t="str">
        <f t="shared" si="897"/>
        <v>Huyện Tịnh Biên</v>
      </c>
      <c r="F9956" s="3" t="s">
        <v>10715</v>
      </c>
      <c r="G9956" s="4" t="str">
        <f>HYPERLINK("https://diaocthongthai.com/xa-nhon-hung-tinh-bien/","Xã Nhơn Hưng")</f>
        <v>Xã Nhơn Hưng</v>
      </c>
    </row>
    <row r="9957" spans="1:7" x14ac:dyDescent="0.25">
      <c r="A9957" s="2">
        <v>9956</v>
      </c>
      <c r="B9957" s="3" t="s">
        <v>59</v>
      </c>
      <c r="C9957" s="4" t="str">
        <f t="shared" si="895"/>
        <v>An Giang</v>
      </c>
      <c r="D9957" s="3" t="s">
        <v>702</v>
      </c>
      <c r="E9957" s="4" t="str">
        <f t="shared" si="897"/>
        <v>Huyện Tịnh Biên</v>
      </c>
      <c r="F9957" s="3" t="s">
        <v>10716</v>
      </c>
      <c r="G9957" s="4" t="str">
        <f>HYPERLINK("https://diaocthongthai.com/xa-an-phu-tinh-bien/","Xã An Phú")</f>
        <v>Xã An Phú</v>
      </c>
    </row>
    <row r="9958" spans="1:7" x14ac:dyDescent="0.25">
      <c r="A9958" s="2">
        <v>9957</v>
      </c>
      <c r="B9958" s="3" t="s">
        <v>59</v>
      </c>
      <c r="C9958" s="4" t="str">
        <f t="shared" si="895"/>
        <v>An Giang</v>
      </c>
      <c r="D9958" s="3" t="s">
        <v>702</v>
      </c>
      <c r="E9958" s="4" t="str">
        <f t="shared" si="897"/>
        <v>Huyện Tịnh Biên</v>
      </c>
      <c r="F9958" s="3" t="s">
        <v>10717</v>
      </c>
      <c r="G9958" s="4" t="str">
        <f>HYPERLINK("https://diaocthongthai.com/xa-thoi-son-tinh-bien/","Xã Thới Sơn")</f>
        <v>Xã Thới Sơn</v>
      </c>
    </row>
    <row r="9959" spans="1:7" x14ac:dyDescent="0.25">
      <c r="A9959" s="2">
        <v>9958</v>
      </c>
      <c r="B9959" s="3" t="s">
        <v>59</v>
      </c>
      <c r="C9959" s="4" t="str">
        <f t="shared" si="895"/>
        <v>An Giang</v>
      </c>
      <c r="D9959" s="3" t="s">
        <v>702</v>
      </c>
      <c r="E9959" s="4" t="str">
        <f t="shared" si="897"/>
        <v>Huyện Tịnh Biên</v>
      </c>
      <c r="F9959" s="3" t="s">
        <v>10718</v>
      </c>
      <c r="G9959" s="4" t="str">
        <f>HYPERLINK("https://diaocthongthai.com/thi-tran-tinh-bien-tinh-bien/","Thị trấn Tịnh Biên")</f>
        <v>Thị trấn Tịnh Biên</v>
      </c>
    </row>
    <row r="9960" spans="1:7" x14ac:dyDescent="0.25">
      <c r="A9960" s="2">
        <v>9959</v>
      </c>
      <c r="B9960" s="3" t="s">
        <v>59</v>
      </c>
      <c r="C9960" s="4" t="str">
        <f t="shared" si="895"/>
        <v>An Giang</v>
      </c>
      <c r="D9960" s="3" t="s">
        <v>702</v>
      </c>
      <c r="E9960" s="4" t="str">
        <f t="shared" si="897"/>
        <v>Huyện Tịnh Biên</v>
      </c>
      <c r="F9960" s="3" t="s">
        <v>10719</v>
      </c>
      <c r="G9960" s="4" t="str">
        <f>HYPERLINK("https://diaocthongthai.com/xa-van-giao-tinh-bien/","Xã Văn Giáo")</f>
        <v>Xã Văn Giáo</v>
      </c>
    </row>
    <row r="9961" spans="1:7" x14ac:dyDescent="0.25">
      <c r="A9961" s="2">
        <v>9960</v>
      </c>
      <c r="B9961" s="3" t="s">
        <v>59</v>
      </c>
      <c r="C9961" s="4" t="str">
        <f t="shared" si="895"/>
        <v>An Giang</v>
      </c>
      <c r="D9961" s="3" t="s">
        <v>702</v>
      </c>
      <c r="E9961" s="4" t="str">
        <f t="shared" si="897"/>
        <v>Huyện Tịnh Biên</v>
      </c>
      <c r="F9961" s="3" t="s">
        <v>10720</v>
      </c>
      <c r="G9961" s="4" t="str">
        <f>HYPERLINK("https://diaocthongthai.com/xa-an-cu-tinh-bien/","Xã An Cư")</f>
        <v>Xã An Cư</v>
      </c>
    </row>
    <row r="9962" spans="1:7" x14ac:dyDescent="0.25">
      <c r="A9962" s="2">
        <v>9961</v>
      </c>
      <c r="B9962" s="3" t="s">
        <v>59</v>
      </c>
      <c r="C9962" s="4" t="str">
        <f t="shared" si="895"/>
        <v>An Giang</v>
      </c>
      <c r="D9962" s="3" t="s">
        <v>702</v>
      </c>
      <c r="E9962" s="4" t="str">
        <f t="shared" si="897"/>
        <v>Huyện Tịnh Biên</v>
      </c>
      <c r="F9962" s="3" t="s">
        <v>10721</v>
      </c>
      <c r="G9962" s="4" t="str">
        <f>HYPERLINK("https://diaocthongthai.com/xa-an-nong-tinh-bien/","Xã An Nông")</f>
        <v>Xã An Nông</v>
      </c>
    </row>
    <row r="9963" spans="1:7" x14ac:dyDescent="0.25">
      <c r="A9963" s="2">
        <v>9962</v>
      </c>
      <c r="B9963" s="3" t="s">
        <v>59</v>
      </c>
      <c r="C9963" s="4" t="str">
        <f t="shared" si="895"/>
        <v>An Giang</v>
      </c>
      <c r="D9963" s="3" t="s">
        <v>702</v>
      </c>
      <c r="E9963" s="4" t="str">
        <f t="shared" si="897"/>
        <v>Huyện Tịnh Biên</v>
      </c>
      <c r="F9963" s="3" t="s">
        <v>10722</v>
      </c>
      <c r="G9963" s="4" t="str">
        <f>HYPERLINK("https://diaocthongthai.com/xa-vinh-trung-tinh-bien/","Xã Vĩnh Trung")</f>
        <v>Xã Vĩnh Trung</v>
      </c>
    </row>
    <row r="9964" spans="1:7" x14ac:dyDescent="0.25">
      <c r="A9964" s="2">
        <v>9963</v>
      </c>
      <c r="B9964" s="3" t="s">
        <v>59</v>
      </c>
      <c r="C9964" s="4" t="str">
        <f t="shared" si="895"/>
        <v>An Giang</v>
      </c>
      <c r="D9964" s="3" t="s">
        <v>702</v>
      </c>
      <c r="E9964" s="4" t="str">
        <f t="shared" si="897"/>
        <v>Huyện Tịnh Biên</v>
      </c>
      <c r="F9964" s="3" t="s">
        <v>10723</v>
      </c>
      <c r="G9964" s="4" t="str">
        <f>HYPERLINK("https://diaocthongthai.com/xa-tan-loi-tinh-bien/","Xã Tân Lợi")</f>
        <v>Xã Tân Lợi</v>
      </c>
    </row>
    <row r="9965" spans="1:7" x14ac:dyDescent="0.25">
      <c r="A9965" s="2">
        <v>9964</v>
      </c>
      <c r="B9965" s="3" t="s">
        <v>59</v>
      </c>
      <c r="C9965" s="4" t="str">
        <f t="shared" si="895"/>
        <v>An Giang</v>
      </c>
      <c r="D9965" s="3" t="s">
        <v>702</v>
      </c>
      <c r="E9965" s="4" t="str">
        <f t="shared" si="897"/>
        <v>Huyện Tịnh Biên</v>
      </c>
      <c r="F9965" s="3" t="s">
        <v>10724</v>
      </c>
      <c r="G9965" s="4" t="str">
        <f>HYPERLINK("https://diaocthongthai.com/xa-an-hao-tinh-bien/","Xã An Hảo")</f>
        <v>Xã An Hảo</v>
      </c>
    </row>
    <row r="9966" spans="1:7" x14ac:dyDescent="0.25">
      <c r="A9966" s="2">
        <v>9965</v>
      </c>
      <c r="B9966" s="3" t="s">
        <v>59</v>
      </c>
      <c r="C9966" s="4" t="str">
        <f t="shared" si="895"/>
        <v>An Giang</v>
      </c>
      <c r="D9966" s="3" t="s">
        <v>702</v>
      </c>
      <c r="E9966" s="4" t="str">
        <f t="shared" si="897"/>
        <v>Huyện Tịnh Biên</v>
      </c>
      <c r="F9966" s="3" t="s">
        <v>10725</v>
      </c>
      <c r="G9966" s="4" t="str">
        <f>HYPERLINK("https://diaocthongthai.com/xa-tan-lap-tinh-bien/","Xã Tân Lập")</f>
        <v>Xã Tân Lập</v>
      </c>
    </row>
    <row r="9967" spans="1:7" x14ac:dyDescent="0.25">
      <c r="A9967" s="2">
        <v>9966</v>
      </c>
      <c r="B9967" s="3" t="s">
        <v>59</v>
      </c>
      <c r="C9967" s="4" t="str">
        <f t="shared" si="895"/>
        <v>An Giang</v>
      </c>
      <c r="D9967" s="3" t="s">
        <v>703</v>
      </c>
      <c r="E9967" s="4" t="str">
        <f t="shared" ref="E9967:E9981" si="898">HYPERLINK("https://diaocthongthai.com/ban-do-huyen-tri-ton-an-giang/","Huyện Tri Tôn")</f>
        <v>Huyện Tri Tôn</v>
      </c>
      <c r="F9967" s="3" t="s">
        <v>10726</v>
      </c>
      <c r="G9967" s="4" t="str">
        <f>HYPERLINK("https://diaocthongthai.com/thi-tran-tri-ton-tri-ton/","Thị trấn Tri Tôn")</f>
        <v>Thị trấn Tri Tôn</v>
      </c>
    </row>
    <row r="9968" spans="1:7" x14ac:dyDescent="0.25">
      <c r="A9968" s="2">
        <v>9967</v>
      </c>
      <c r="B9968" s="3" t="s">
        <v>59</v>
      </c>
      <c r="C9968" s="4" t="str">
        <f t="shared" si="895"/>
        <v>An Giang</v>
      </c>
      <c r="D9968" s="3" t="s">
        <v>703</v>
      </c>
      <c r="E9968" s="4" t="str">
        <f t="shared" si="898"/>
        <v>Huyện Tri Tôn</v>
      </c>
      <c r="F9968" s="3" t="s">
        <v>10727</v>
      </c>
      <c r="G9968" s="4" t="str">
        <f>HYPERLINK("https://diaocthongthai.com/thi-tran-ba-chuc-tri-ton/","Thị trấn Ba Chúc")</f>
        <v>Thị trấn Ba Chúc</v>
      </c>
    </row>
    <row r="9969" spans="1:7" x14ac:dyDescent="0.25">
      <c r="A9969" s="2">
        <v>9968</v>
      </c>
      <c r="B9969" s="3" t="s">
        <v>59</v>
      </c>
      <c r="C9969" s="4" t="str">
        <f t="shared" si="895"/>
        <v>An Giang</v>
      </c>
      <c r="D9969" s="3" t="s">
        <v>703</v>
      </c>
      <c r="E9969" s="4" t="str">
        <f t="shared" si="898"/>
        <v>Huyện Tri Tôn</v>
      </c>
      <c r="F9969" s="3" t="s">
        <v>10728</v>
      </c>
      <c r="G9969" s="4" t="str">
        <f>HYPERLINK("https://diaocthongthai.com/xa-lac-quoi-tri-ton/","Xã Lạc Quới")</f>
        <v>Xã Lạc Quới</v>
      </c>
    </row>
    <row r="9970" spans="1:7" x14ac:dyDescent="0.25">
      <c r="A9970" s="2">
        <v>9969</v>
      </c>
      <c r="B9970" s="3" t="s">
        <v>59</v>
      </c>
      <c r="C9970" s="4" t="str">
        <f t="shared" ref="C9970:C10001" si="899">HYPERLINK("https://diaocthongthai.com/ban-do-an-giang/","An Giang")</f>
        <v>An Giang</v>
      </c>
      <c r="D9970" s="3" t="s">
        <v>703</v>
      </c>
      <c r="E9970" s="4" t="str">
        <f t="shared" si="898"/>
        <v>Huyện Tri Tôn</v>
      </c>
      <c r="F9970" s="3" t="s">
        <v>10729</v>
      </c>
      <c r="G9970" s="4" t="str">
        <f>HYPERLINK("https://diaocthongthai.com/xa-le-tri-tri-ton/","Xã Lê Trì")</f>
        <v>Xã Lê Trì</v>
      </c>
    </row>
    <row r="9971" spans="1:7" x14ac:dyDescent="0.25">
      <c r="A9971" s="2">
        <v>9970</v>
      </c>
      <c r="B9971" s="3" t="s">
        <v>59</v>
      </c>
      <c r="C9971" s="4" t="str">
        <f t="shared" si="899"/>
        <v>An Giang</v>
      </c>
      <c r="D9971" s="3" t="s">
        <v>703</v>
      </c>
      <c r="E9971" s="4" t="str">
        <f t="shared" si="898"/>
        <v>Huyện Tri Tôn</v>
      </c>
      <c r="F9971" s="3" t="s">
        <v>10730</v>
      </c>
      <c r="G9971" s="4" t="str">
        <f>HYPERLINK("https://diaocthongthai.com/xa-vinh-gia-tri-ton/","Xã Vĩnh Gia")</f>
        <v>Xã Vĩnh Gia</v>
      </c>
    </row>
    <row r="9972" spans="1:7" x14ac:dyDescent="0.25">
      <c r="A9972" s="2">
        <v>9971</v>
      </c>
      <c r="B9972" s="3" t="s">
        <v>59</v>
      </c>
      <c r="C9972" s="4" t="str">
        <f t="shared" si="899"/>
        <v>An Giang</v>
      </c>
      <c r="D9972" s="3" t="s">
        <v>703</v>
      </c>
      <c r="E9972" s="4" t="str">
        <f t="shared" si="898"/>
        <v>Huyện Tri Tôn</v>
      </c>
      <c r="F9972" s="3" t="s">
        <v>10731</v>
      </c>
      <c r="G9972" s="4" t="str">
        <f>HYPERLINK("https://diaocthongthai.com/xa-vinh-phuoc-tri-ton/","Xã Vĩnh Phước")</f>
        <v>Xã Vĩnh Phước</v>
      </c>
    </row>
    <row r="9973" spans="1:7" x14ac:dyDescent="0.25">
      <c r="A9973" s="2">
        <v>9972</v>
      </c>
      <c r="B9973" s="3" t="s">
        <v>59</v>
      </c>
      <c r="C9973" s="4" t="str">
        <f t="shared" si="899"/>
        <v>An Giang</v>
      </c>
      <c r="D9973" s="3" t="s">
        <v>703</v>
      </c>
      <c r="E9973" s="4" t="str">
        <f t="shared" si="898"/>
        <v>Huyện Tri Tôn</v>
      </c>
      <c r="F9973" s="3" t="s">
        <v>10732</v>
      </c>
      <c r="G9973" s="4" t="str">
        <f>HYPERLINK("https://diaocthongthai.com/xa-chau-lang-tri-ton/","Xã Châu Lăng")</f>
        <v>Xã Châu Lăng</v>
      </c>
    </row>
    <row r="9974" spans="1:7" x14ac:dyDescent="0.25">
      <c r="A9974" s="2">
        <v>9973</v>
      </c>
      <c r="B9974" s="3" t="s">
        <v>59</v>
      </c>
      <c r="C9974" s="4" t="str">
        <f t="shared" si="899"/>
        <v>An Giang</v>
      </c>
      <c r="D9974" s="3" t="s">
        <v>703</v>
      </c>
      <c r="E9974" s="4" t="str">
        <f t="shared" si="898"/>
        <v>Huyện Tri Tôn</v>
      </c>
      <c r="F9974" s="3" t="s">
        <v>10733</v>
      </c>
      <c r="G9974" s="4" t="str">
        <f>HYPERLINK("https://diaocthongthai.com/xa-luong-phi-tri-ton/","Xã Lương Phi")</f>
        <v>Xã Lương Phi</v>
      </c>
    </row>
    <row r="9975" spans="1:7" x14ac:dyDescent="0.25">
      <c r="A9975" s="2">
        <v>9974</v>
      </c>
      <c r="B9975" s="3" t="s">
        <v>59</v>
      </c>
      <c r="C9975" s="4" t="str">
        <f t="shared" si="899"/>
        <v>An Giang</v>
      </c>
      <c r="D9975" s="3" t="s">
        <v>703</v>
      </c>
      <c r="E9975" s="4" t="str">
        <f t="shared" si="898"/>
        <v>Huyện Tri Tôn</v>
      </c>
      <c r="F9975" s="3" t="s">
        <v>10734</v>
      </c>
      <c r="G9975" s="4" t="str">
        <f>HYPERLINK("https://diaocthongthai.com/xa-luong-an-tra-tri-ton/","Xã Lương An Trà")</f>
        <v>Xã Lương An Trà</v>
      </c>
    </row>
    <row r="9976" spans="1:7" x14ac:dyDescent="0.25">
      <c r="A9976" s="2">
        <v>9975</v>
      </c>
      <c r="B9976" s="3" t="s">
        <v>59</v>
      </c>
      <c r="C9976" s="4" t="str">
        <f t="shared" si="899"/>
        <v>An Giang</v>
      </c>
      <c r="D9976" s="3" t="s">
        <v>703</v>
      </c>
      <c r="E9976" s="4" t="str">
        <f t="shared" si="898"/>
        <v>Huyện Tri Tôn</v>
      </c>
      <c r="F9976" s="3" t="s">
        <v>10735</v>
      </c>
      <c r="G9976" s="4" t="str">
        <f>HYPERLINK("https://diaocthongthai.com/xa-ta-danh-tri-ton/","Xã Tà Đảnh")</f>
        <v>Xã Tà Đảnh</v>
      </c>
    </row>
    <row r="9977" spans="1:7" x14ac:dyDescent="0.25">
      <c r="A9977" s="2">
        <v>9976</v>
      </c>
      <c r="B9977" s="3" t="s">
        <v>59</v>
      </c>
      <c r="C9977" s="4" t="str">
        <f t="shared" si="899"/>
        <v>An Giang</v>
      </c>
      <c r="D9977" s="3" t="s">
        <v>703</v>
      </c>
      <c r="E9977" s="4" t="str">
        <f t="shared" si="898"/>
        <v>Huyện Tri Tôn</v>
      </c>
      <c r="F9977" s="3" t="s">
        <v>10736</v>
      </c>
      <c r="G9977" s="4" t="str">
        <f>HYPERLINK("https://diaocthongthai.com/xa-nui-to-tri-ton/","Xã Núi Tô")</f>
        <v>Xã Núi Tô</v>
      </c>
    </row>
    <row r="9978" spans="1:7" x14ac:dyDescent="0.25">
      <c r="A9978" s="2">
        <v>9977</v>
      </c>
      <c r="B9978" s="3" t="s">
        <v>59</v>
      </c>
      <c r="C9978" s="4" t="str">
        <f t="shared" si="899"/>
        <v>An Giang</v>
      </c>
      <c r="D9978" s="3" t="s">
        <v>703</v>
      </c>
      <c r="E9978" s="4" t="str">
        <f t="shared" si="898"/>
        <v>Huyện Tri Tôn</v>
      </c>
      <c r="F9978" s="3" t="s">
        <v>10737</v>
      </c>
      <c r="G9978" s="4" t="str">
        <f>HYPERLINK("https://diaocthongthai.com/xa-an-tuc-tri-ton/","Xã An Tức")</f>
        <v>Xã An Tức</v>
      </c>
    </row>
    <row r="9979" spans="1:7" x14ac:dyDescent="0.25">
      <c r="A9979" s="2">
        <v>9978</v>
      </c>
      <c r="B9979" s="3" t="s">
        <v>59</v>
      </c>
      <c r="C9979" s="4" t="str">
        <f t="shared" si="899"/>
        <v>An Giang</v>
      </c>
      <c r="D9979" s="3" t="s">
        <v>703</v>
      </c>
      <c r="E9979" s="4" t="str">
        <f t="shared" si="898"/>
        <v>Huyện Tri Tôn</v>
      </c>
      <c r="F9979" s="3" t="s">
        <v>10738</v>
      </c>
      <c r="G9979" s="4" t="str">
        <f>HYPERLINK("https://diaocthongthai.com/thi-tran-co-to-tri-ton/","Thị trấn Cô Tô")</f>
        <v>Thị trấn Cô Tô</v>
      </c>
    </row>
    <row r="9980" spans="1:7" x14ac:dyDescent="0.25">
      <c r="A9980" s="2">
        <v>9979</v>
      </c>
      <c r="B9980" s="3" t="s">
        <v>59</v>
      </c>
      <c r="C9980" s="4" t="str">
        <f t="shared" si="899"/>
        <v>An Giang</v>
      </c>
      <c r="D9980" s="3" t="s">
        <v>703</v>
      </c>
      <c r="E9980" s="4" t="str">
        <f t="shared" si="898"/>
        <v>Huyện Tri Tôn</v>
      </c>
      <c r="F9980" s="3" t="s">
        <v>10739</v>
      </c>
      <c r="G9980" s="4" t="str">
        <f>HYPERLINK("https://diaocthongthai.com/xa-tan-tuyen-tri-ton/","Xã Tân Tuyến")</f>
        <v>Xã Tân Tuyến</v>
      </c>
    </row>
    <row r="9981" spans="1:7" x14ac:dyDescent="0.25">
      <c r="A9981" s="2">
        <v>9980</v>
      </c>
      <c r="B9981" s="3" t="s">
        <v>59</v>
      </c>
      <c r="C9981" s="4" t="str">
        <f t="shared" si="899"/>
        <v>An Giang</v>
      </c>
      <c r="D9981" s="3" t="s">
        <v>703</v>
      </c>
      <c r="E9981" s="4" t="str">
        <f t="shared" si="898"/>
        <v>Huyện Tri Tôn</v>
      </c>
      <c r="F9981" s="3" t="s">
        <v>10740</v>
      </c>
      <c r="G9981" s="4" t="str">
        <f>HYPERLINK("https://diaocthongthai.com/xa-o-lam-tri-ton/","Xã Ô Lâm")</f>
        <v>Xã Ô Lâm</v>
      </c>
    </row>
    <row r="9982" spans="1:7" x14ac:dyDescent="0.25">
      <c r="A9982" s="2">
        <v>9981</v>
      </c>
      <c r="B9982" s="3" t="s">
        <v>59</v>
      </c>
      <c r="C9982" s="4" t="str">
        <f t="shared" si="899"/>
        <v>An Giang</v>
      </c>
      <c r="D9982" s="3" t="s">
        <v>704</v>
      </c>
      <c r="E9982" s="4" t="str">
        <f t="shared" ref="E9982:E9994" si="900">HYPERLINK("https://diaocthongthai.com/ban-do-huyen-chau-thanh-an-giang/","Huyện Châu Thành")</f>
        <v>Huyện Châu Thành</v>
      </c>
      <c r="F9982" s="3" t="s">
        <v>10741</v>
      </c>
      <c r="G9982" s="4" t="str">
        <f>HYPERLINK("https://diaocthongthai.com/thi-tran-an-chau-chau-thanh-an-giang/","Thị trấn An Châu")</f>
        <v>Thị trấn An Châu</v>
      </c>
    </row>
    <row r="9983" spans="1:7" x14ac:dyDescent="0.25">
      <c r="A9983" s="2">
        <v>9982</v>
      </c>
      <c r="B9983" s="3" t="s">
        <v>59</v>
      </c>
      <c r="C9983" s="4" t="str">
        <f t="shared" si="899"/>
        <v>An Giang</v>
      </c>
      <c r="D9983" s="3" t="s">
        <v>704</v>
      </c>
      <c r="E9983" s="4" t="str">
        <f t="shared" si="900"/>
        <v>Huyện Châu Thành</v>
      </c>
      <c r="F9983" s="3" t="s">
        <v>10742</v>
      </c>
      <c r="G9983" s="4" t="str">
        <f>HYPERLINK("https://diaocthongthai.com/xa-an-hoa-chau-thanh-an-giang/","Xã An Hòa")</f>
        <v>Xã An Hòa</v>
      </c>
    </row>
    <row r="9984" spans="1:7" x14ac:dyDescent="0.25">
      <c r="A9984" s="2">
        <v>9983</v>
      </c>
      <c r="B9984" s="3" t="s">
        <v>59</v>
      </c>
      <c r="C9984" s="4" t="str">
        <f t="shared" si="899"/>
        <v>An Giang</v>
      </c>
      <c r="D9984" s="3" t="s">
        <v>704</v>
      </c>
      <c r="E9984" s="4" t="str">
        <f t="shared" si="900"/>
        <v>Huyện Châu Thành</v>
      </c>
      <c r="F9984" s="3" t="s">
        <v>10743</v>
      </c>
      <c r="G9984" s="4" t="str">
        <f>HYPERLINK("https://diaocthongthai.com/xa-can-dang-chau-thanh-an-giang/","Xã Cần Đăng")</f>
        <v>Xã Cần Đăng</v>
      </c>
    </row>
    <row r="9985" spans="1:7" x14ac:dyDescent="0.25">
      <c r="A9985" s="2">
        <v>9984</v>
      </c>
      <c r="B9985" s="3" t="s">
        <v>59</v>
      </c>
      <c r="C9985" s="4" t="str">
        <f t="shared" si="899"/>
        <v>An Giang</v>
      </c>
      <c r="D9985" s="3" t="s">
        <v>704</v>
      </c>
      <c r="E9985" s="4" t="str">
        <f t="shared" si="900"/>
        <v>Huyện Châu Thành</v>
      </c>
      <c r="F9985" s="3" t="s">
        <v>10744</v>
      </c>
      <c r="G9985" s="4" t="str">
        <f>HYPERLINK("https://diaocthongthai.com/xa-vinh-hanh-chau-thanh-an-giang/","Xã Vĩnh Hanh")</f>
        <v>Xã Vĩnh Hanh</v>
      </c>
    </row>
    <row r="9986" spans="1:7" x14ac:dyDescent="0.25">
      <c r="A9986" s="2">
        <v>9985</v>
      </c>
      <c r="B9986" s="3" t="s">
        <v>59</v>
      </c>
      <c r="C9986" s="4" t="str">
        <f t="shared" si="899"/>
        <v>An Giang</v>
      </c>
      <c r="D9986" s="3" t="s">
        <v>704</v>
      </c>
      <c r="E9986" s="4" t="str">
        <f t="shared" si="900"/>
        <v>Huyện Châu Thành</v>
      </c>
      <c r="F9986" s="3" t="s">
        <v>10745</v>
      </c>
      <c r="G9986" s="4" t="str">
        <f>HYPERLINK("https://diaocthongthai.com/xa-binh-thanh-chau-thanh-an-giang/","Xã Bình Thạnh")</f>
        <v>Xã Bình Thạnh</v>
      </c>
    </row>
    <row r="9987" spans="1:7" x14ac:dyDescent="0.25">
      <c r="A9987" s="2">
        <v>9986</v>
      </c>
      <c r="B9987" s="3" t="s">
        <v>59</v>
      </c>
      <c r="C9987" s="4" t="str">
        <f t="shared" si="899"/>
        <v>An Giang</v>
      </c>
      <c r="D9987" s="3" t="s">
        <v>704</v>
      </c>
      <c r="E9987" s="4" t="str">
        <f t="shared" si="900"/>
        <v>Huyện Châu Thành</v>
      </c>
      <c r="F9987" s="3" t="s">
        <v>10746</v>
      </c>
      <c r="G9987" s="4" t="str">
        <f>HYPERLINK("https://diaocthongthai.com/thi-tran-vinh-binh-chau-thanh-an-giang/","Thị trấn Vĩnh Bình")</f>
        <v>Thị trấn Vĩnh Bình</v>
      </c>
    </row>
    <row r="9988" spans="1:7" x14ac:dyDescent="0.25">
      <c r="A9988" s="2">
        <v>9987</v>
      </c>
      <c r="B9988" s="3" t="s">
        <v>59</v>
      </c>
      <c r="C9988" s="4" t="str">
        <f t="shared" si="899"/>
        <v>An Giang</v>
      </c>
      <c r="D9988" s="3" t="s">
        <v>704</v>
      </c>
      <c r="E9988" s="4" t="str">
        <f t="shared" si="900"/>
        <v>Huyện Châu Thành</v>
      </c>
      <c r="F9988" s="3" t="s">
        <v>10747</v>
      </c>
      <c r="G9988" s="4" t="str">
        <f>HYPERLINK("https://diaocthongthai.com/xa-binh-hoa-chau-thanh-an-giang/","Xã Bình Hòa")</f>
        <v>Xã Bình Hòa</v>
      </c>
    </row>
    <row r="9989" spans="1:7" x14ac:dyDescent="0.25">
      <c r="A9989" s="2">
        <v>9988</v>
      </c>
      <c r="B9989" s="3" t="s">
        <v>59</v>
      </c>
      <c r="C9989" s="4" t="str">
        <f t="shared" si="899"/>
        <v>An Giang</v>
      </c>
      <c r="D9989" s="3" t="s">
        <v>704</v>
      </c>
      <c r="E9989" s="4" t="str">
        <f t="shared" si="900"/>
        <v>Huyện Châu Thành</v>
      </c>
      <c r="F9989" s="3" t="s">
        <v>10748</v>
      </c>
      <c r="G9989" s="4" t="str">
        <f>HYPERLINK("https://diaocthongthai.com/xa-vinh-an-chau-thanh-an-giang/","Xã Vĩnh An")</f>
        <v>Xã Vĩnh An</v>
      </c>
    </row>
    <row r="9990" spans="1:7" x14ac:dyDescent="0.25">
      <c r="A9990" s="2">
        <v>9989</v>
      </c>
      <c r="B9990" s="3" t="s">
        <v>59</v>
      </c>
      <c r="C9990" s="4" t="str">
        <f t="shared" si="899"/>
        <v>An Giang</v>
      </c>
      <c r="D9990" s="3" t="s">
        <v>704</v>
      </c>
      <c r="E9990" s="4" t="str">
        <f t="shared" si="900"/>
        <v>Huyện Châu Thành</v>
      </c>
      <c r="F9990" s="3" t="s">
        <v>10749</v>
      </c>
      <c r="G9990" s="4" t="str">
        <f>HYPERLINK("https://diaocthongthai.com/xa-hoa-binh-thanh-chau-thanh-an-giang/","Xã Hòa Bình Thạnh")</f>
        <v>Xã Hòa Bình Thạnh</v>
      </c>
    </row>
    <row r="9991" spans="1:7" x14ac:dyDescent="0.25">
      <c r="A9991" s="2">
        <v>9990</v>
      </c>
      <c r="B9991" s="3" t="s">
        <v>59</v>
      </c>
      <c r="C9991" s="4" t="str">
        <f t="shared" si="899"/>
        <v>An Giang</v>
      </c>
      <c r="D9991" s="3" t="s">
        <v>704</v>
      </c>
      <c r="E9991" s="4" t="str">
        <f t="shared" si="900"/>
        <v>Huyện Châu Thành</v>
      </c>
      <c r="F9991" s="3" t="s">
        <v>10750</v>
      </c>
      <c r="G9991" s="4" t="str">
        <f>HYPERLINK("https://diaocthongthai.com/xa-vinh-loi-chau-thanh-an-giang/","Xã Vĩnh Lợi")</f>
        <v>Xã Vĩnh Lợi</v>
      </c>
    </row>
    <row r="9992" spans="1:7" x14ac:dyDescent="0.25">
      <c r="A9992" s="2">
        <v>9991</v>
      </c>
      <c r="B9992" s="3" t="s">
        <v>59</v>
      </c>
      <c r="C9992" s="4" t="str">
        <f t="shared" si="899"/>
        <v>An Giang</v>
      </c>
      <c r="D9992" s="3" t="s">
        <v>704</v>
      </c>
      <c r="E9992" s="4" t="str">
        <f t="shared" si="900"/>
        <v>Huyện Châu Thành</v>
      </c>
      <c r="F9992" s="3" t="s">
        <v>10751</v>
      </c>
      <c r="G9992" s="4" t="str">
        <f>HYPERLINK("https://diaocthongthai.com/xa-vinh-nhuan-chau-thanh-an-giang/","Xã Vĩnh Nhuận")</f>
        <v>Xã Vĩnh Nhuận</v>
      </c>
    </row>
    <row r="9993" spans="1:7" x14ac:dyDescent="0.25">
      <c r="A9993" s="2">
        <v>9992</v>
      </c>
      <c r="B9993" s="3" t="s">
        <v>59</v>
      </c>
      <c r="C9993" s="4" t="str">
        <f t="shared" si="899"/>
        <v>An Giang</v>
      </c>
      <c r="D9993" s="3" t="s">
        <v>704</v>
      </c>
      <c r="E9993" s="4" t="str">
        <f t="shared" si="900"/>
        <v>Huyện Châu Thành</v>
      </c>
      <c r="F9993" s="3" t="s">
        <v>10752</v>
      </c>
      <c r="G9993" s="4" t="str">
        <f>HYPERLINK("https://diaocthongthai.com/xa-tan-phu-chau-thanh-an-giang/","Xã Tân Phú")</f>
        <v>Xã Tân Phú</v>
      </c>
    </row>
    <row r="9994" spans="1:7" x14ac:dyDescent="0.25">
      <c r="A9994" s="2">
        <v>9993</v>
      </c>
      <c r="B9994" s="3" t="s">
        <v>59</v>
      </c>
      <c r="C9994" s="4" t="str">
        <f t="shared" si="899"/>
        <v>An Giang</v>
      </c>
      <c r="D9994" s="3" t="s">
        <v>704</v>
      </c>
      <c r="E9994" s="4" t="str">
        <f t="shared" si="900"/>
        <v>Huyện Châu Thành</v>
      </c>
      <c r="F9994" s="3" t="s">
        <v>10753</v>
      </c>
      <c r="G9994" s="4" t="str">
        <f>HYPERLINK("https://diaocthongthai.com/xa-vinh-thanh-chau-thanh-an-giang/","Xã Vĩnh Thành")</f>
        <v>Xã Vĩnh Thành</v>
      </c>
    </row>
    <row r="9995" spans="1:7" x14ac:dyDescent="0.25">
      <c r="A9995" s="2">
        <v>9994</v>
      </c>
      <c r="B9995" s="3" t="s">
        <v>59</v>
      </c>
      <c r="C9995" s="4" t="str">
        <f t="shared" si="899"/>
        <v>An Giang</v>
      </c>
      <c r="D9995" s="3" t="s">
        <v>705</v>
      </c>
      <c r="E9995" s="4" t="str">
        <f t="shared" ref="E9995:E10012" si="901">HYPERLINK("https://diaocthongthai.com/ban-do-huyen-cho-moi-an-giang/","Huyện Chợ Mới")</f>
        <v>Huyện Chợ Mới</v>
      </c>
      <c r="F9995" s="3" t="s">
        <v>10754</v>
      </c>
      <c r="G9995" s="4" t="str">
        <f>HYPERLINK("https://diaocthongthai.com/thi-tran-cho-moi-cho-moi-an-giang/","Thị trấn Chợ Mới")</f>
        <v>Thị trấn Chợ Mới</v>
      </c>
    </row>
    <row r="9996" spans="1:7" x14ac:dyDescent="0.25">
      <c r="A9996" s="2">
        <v>9995</v>
      </c>
      <c r="B9996" s="3" t="s">
        <v>59</v>
      </c>
      <c r="C9996" s="4" t="str">
        <f t="shared" si="899"/>
        <v>An Giang</v>
      </c>
      <c r="D9996" s="3" t="s">
        <v>705</v>
      </c>
      <c r="E9996" s="4" t="str">
        <f t="shared" si="901"/>
        <v>Huyện Chợ Mới</v>
      </c>
      <c r="F9996" s="3" t="s">
        <v>10755</v>
      </c>
      <c r="G9996" s="4" t="str">
        <f>HYPERLINK("https://diaocthongthai.com/thi-tran-my-luong-cho-moi-an-giang/","Thị trấn Mỹ Luông")</f>
        <v>Thị trấn Mỹ Luông</v>
      </c>
    </row>
    <row r="9997" spans="1:7" x14ac:dyDescent="0.25">
      <c r="A9997" s="2">
        <v>9996</v>
      </c>
      <c r="B9997" s="3" t="s">
        <v>59</v>
      </c>
      <c r="C9997" s="4" t="str">
        <f t="shared" si="899"/>
        <v>An Giang</v>
      </c>
      <c r="D9997" s="3" t="s">
        <v>705</v>
      </c>
      <c r="E9997" s="4" t="str">
        <f t="shared" si="901"/>
        <v>Huyện Chợ Mới</v>
      </c>
      <c r="F9997" s="3" t="s">
        <v>10756</v>
      </c>
      <c r="G9997" s="4" t="str">
        <f>HYPERLINK("https://diaocthongthai.com/xa-kien-an-cho-moi-an-giang/","Xã Kiến An")</f>
        <v>Xã Kiến An</v>
      </c>
    </row>
    <row r="9998" spans="1:7" x14ac:dyDescent="0.25">
      <c r="A9998" s="2">
        <v>9997</v>
      </c>
      <c r="B9998" s="3" t="s">
        <v>59</v>
      </c>
      <c r="C9998" s="4" t="str">
        <f t="shared" si="899"/>
        <v>An Giang</v>
      </c>
      <c r="D9998" s="3" t="s">
        <v>705</v>
      </c>
      <c r="E9998" s="4" t="str">
        <f t="shared" si="901"/>
        <v>Huyện Chợ Mới</v>
      </c>
      <c r="F9998" s="3" t="s">
        <v>10757</v>
      </c>
      <c r="G9998" s="4" t="str">
        <f>HYPERLINK("https://diaocthongthai.com/xa-my-hoi-dong-cho-moi-an-giang/","Xã Mỹ Hội Đông")</f>
        <v>Xã Mỹ Hội Đông</v>
      </c>
    </row>
    <row r="9999" spans="1:7" x14ac:dyDescent="0.25">
      <c r="A9999" s="2">
        <v>9998</v>
      </c>
      <c r="B9999" s="3" t="s">
        <v>59</v>
      </c>
      <c r="C9999" s="4" t="str">
        <f t="shared" si="899"/>
        <v>An Giang</v>
      </c>
      <c r="D9999" s="3" t="s">
        <v>705</v>
      </c>
      <c r="E9999" s="4" t="str">
        <f t="shared" si="901"/>
        <v>Huyện Chợ Mới</v>
      </c>
      <c r="F9999" s="3" t="s">
        <v>10758</v>
      </c>
      <c r="G9999" s="4" t="str">
        <f>HYPERLINK("https://diaocthongthai.com/xa-long-dien-a-cho-moi-an-giang/","Xã Long Điền A")</f>
        <v>Xã Long Điền A</v>
      </c>
    </row>
    <row r="10000" spans="1:7" x14ac:dyDescent="0.25">
      <c r="A10000" s="2">
        <v>9999</v>
      </c>
      <c r="B10000" s="3" t="s">
        <v>59</v>
      </c>
      <c r="C10000" s="4" t="str">
        <f t="shared" si="899"/>
        <v>An Giang</v>
      </c>
      <c r="D10000" s="3" t="s">
        <v>705</v>
      </c>
      <c r="E10000" s="4" t="str">
        <f t="shared" si="901"/>
        <v>Huyện Chợ Mới</v>
      </c>
      <c r="F10000" s="3" t="s">
        <v>10759</v>
      </c>
      <c r="G10000" s="4" t="str">
        <f>HYPERLINK("https://diaocthongthai.com/xa-tan-my-cho-moi-an-giang/","Xã Tấn Mỹ")</f>
        <v>Xã Tấn Mỹ</v>
      </c>
    </row>
    <row r="10001" spans="1:7" x14ac:dyDescent="0.25">
      <c r="A10001" s="2">
        <v>10000</v>
      </c>
      <c r="B10001" s="3" t="s">
        <v>59</v>
      </c>
      <c r="C10001" s="4" t="str">
        <f t="shared" si="899"/>
        <v>An Giang</v>
      </c>
      <c r="D10001" s="3" t="s">
        <v>705</v>
      </c>
      <c r="E10001" s="4" t="str">
        <f t="shared" si="901"/>
        <v>Huyện Chợ Mới</v>
      </c>
      <c r="F10001" s="3" t="s">
        <v>10760</v>
      </c>
      <c r="G10001" s="4" t="str">
        <f>HYPERLINK("https://diaocthongthai.com/xa-long-dien-b-cho-moi-an-giang/","Xã Long Điền B")</f>
        <v>Xã Long Điền B</v>
      </c>
    </row>
    <row r="10002" spans="1:7" x14ac:dyDescent="0.25">
      <c r="A10002" s="2">
        <v>10001</v>
      </c>
      <c r="B10002" s="3" t="s">
        <v>59</v>
      </c>
      <c r="C10002" s="4" t="str">
        <f t="shared" ref="C10002:C10029" si="902">HYPERLINK("https://diaocthongthai.com/ban-do-an-giang/","An Giang")</f>
        <v>An Giang</v>
      </c>
      <c r="D10002" s="3" t="s">
        <v>705</v>
      </c>
      <c r="E10002" s="4" t="str">
        <f t="shared" si="901"/>
        <v>Huyện Chợ Mới</v>
      </c>
      <c r="F10002" s="3" t="s">
        <v>10761</v>
      </c>
      <c r="G10002" s="4" t="str">
        <f>HYPERLINK("https://diaocthongthai.com/xa-kien-thanh-cho-moi-an-giang/","Xã Kiến Thành")</f>
        <v>Xã Kiến Thành</v>
      </c>
    </row>
    <row r="10003" spans="1:7" x14ac:dyDescent="0.25">
      <c r="A10003" s="2">
        <v>10002</v>
      </c>
      <c r="B10003" s="3" t="s">
        <v>59</v>
      </c>
      <c r="C10003" s="4" t="str">
        <f t="shared" si="902"/>
        <v>An Giang</v>
      </c>
      <c r="D10003" s="3" t="s">
        <v>705</v>
      </c>
      <c r="E10003" s="4" t="str">
        <f t="shared" si="901"/>
        <v>Huyện Chợ Mới</v>
      </c>
      <c r="F10003" s="3" t="s">
        <v>10762</v>
      </c>
      <c r="G10003" s="4" t="str">
        <f>HYPERLINK("https://diaocthongthai.com/xa-my-hiep-cho-moi-an-giang/","Xã Mỹ Hiệp")</f>
        <v>Xã Mỹ Hiệp</v>
      </c>
    </row>
    <row r="10004" spans="1:7" x14ac:dyDescent="0.25">
      <c r="A10004" s="2">
        <v>10003</v>
      </c>
      <c r="B10004" s="3" t="s">
        <v>59</v>
      </c>
      <c r="C10004" s="4" t="str">
        <f t="shared" si="902"/>
        <v>An Giang</v>
      </c>
      <c r="D10004" s="3" t="s">
        <v>705</v>
      </c>
      <c r="E10004" s="4" t="str">
        <f t="shared" si="901"/>
        <v>Huyện Chợ Mới</v>
      </c>
      <c r="F10004" s="3" t="s">
        <v>10763</v>
      </c>
      <c r="G10004" s="4" t="str">
        <f>HYPERLINK("https://diaocthongthai.com/xa-my-an-cho-moi-an-giang/","Xã Mỹ An")</f>
        <v>Xã Mỹ An</v>
      </c>
    </row>
    <row r="10005" spans="1:7" x14ac:dyDescent="0.25">
      <c r="A10005" s="2">
        <v>10004</v>
      </c>
      <c r="B10005" s="3" t="s">
        <v>59</v>
      </c>
      <c r="C10005" s="4" t="str">
        <f t="shared" si="902"/>
        <v>An Giang</v>
      </c>
      <c r="D10005" s="3" t="s">
        <v>705</v>
      </c>
      <c r="E10005" s="4" t="str">
        <f t="shared" si="901"/>
        <v>Huyện Chợ Mới</v>
      </c>
      <c r="F10005" s="3" t="s">
        <v>10764</v>
      </c>
      <c r="G10005" s="4" t="str">
        <f>HYPERLINK("https://diaocthongthai.com/xa-nhon-my-cho-moi-an-giang/","Xã Nhơn Mỹ")</f>
        <v>Xã Nhơn Mỹ</v>
      </c>
    </row>
    <row r="10006" spans="1:7" x14ac:dyDescent="0.25">
      <c r="A10006" s="2">
        <v>10005</v>
      </c>
      <c r="B10006" s="3" t="s">
        <v>59</v>
      </c>
      <c r="C10006" s="4" t="str">
        <f t="shared" si="902"/>
        <v>An Giang</v>
      </c>
      <c r="D10006" s="3" t="s">
        <v>705</v>
      </c>
      <c r="E10006" s="4" t="str">
        <f t="shared" si="901"/>
        <v>Huyện Chợ Mới</v>
      </c>
      <c r="F10006" s="3" t="s">
        <v>10765</v>
      </c>
      <c r="G10006" s="4" t="str">
        <f>HYPERLINK("https://diaocthongthai.com/xa-long-giang-cho-moi-an-giang/","Xã Long Giang")</f>
        <v>Xã Long Giang</v>
      </c>
    </row>
    <row r="10007" spans="1:7" x14ac:dyDescent="0.25">
      <c r="A10007" s="2">
        <v>10006</v>
      </c>
      <c r="B10007" s="3" t="s">
        <v>59</v>
      </c>
      <c r="C10007" s="4" t="str">
        <f t="shared" si="902"/>
        <v>An Giang</v>
      </c>
      <c r="D10007" s="3" t="s">
        <v>705</v>
      </c>
      <c r="E10007" s="4" t="str">
        <f t="shared" si="901"/>
        <v>Huyện Chợ Mới</v>
      </c>
      <c r="F10007" s="3" t="s">
        <v>10766</v>
      </c>
      <c r="G10007" s="4" t="str">
        <f>HYPERLINK("https://diaocthongthai.com/xa-long-kien-cho-moi-an-giang/","Xã Long Kiến")</f>
        <v>Xã Long Kiến</v>
      </c>
    </row>
    <row r="10008" spans="1:7" x14ac:dyDescent="0.25">
      <c r="A10008" s="2">
        <v>10007</v>
      </c>
      <c r="B10008" s="3" t="s">
        <v>59</v>
      </c>
      <c r="C10008" s="4" t="str">
        <f t="shared" si="902"/>
        <v>An Giang</v>
      </c>
      <c r="D10008" s="3" t="s">
        <v>705</v>
      </c>
      <c r="E10008" s="4" t="str">
        <f t="shared" si="901"/>
        <v>Huyện Chợ Mới</v>
      </c>
      <c r="F10008" s="3" t="s">
        <v>10767</v>
      </c>
      <c r="G10008" s="4" t="str">
        <f>HYPERLINK("https://diaocthongthai.com/xa-binh-phuoc-xuan-cho-moi-an-giang/","Xã Bình Phước Xuân")</f>
        <v>Xã Bình Phước Xuân</v>
      </c>
    </row>
    <row r="10009" spans="1:7" x14ac:dyDescent="0.25">
      <c r="A10009" s="2">
        <v>10008</v>
      </c>
      <c r="B10009" s="3" t="s">
        <v>59</v>
      </c>
      <c r="C10009" s="4" t="str">
        <f t="shared" si="902"/>
        <v>An Giang</v>
      </c>
      <c r="D10009" s="3" t="s">
        <v>705</v>
      </c>
      <c r="E10009" s="4" t="str">
        <f t="shared" si="901"/>
        <v>Huyện Chợ Mới</v>
      </c>
      <c r="F10009" s="3" t="s">
        <v>10768</v>
      </c>
      <c r="G10009" s="4" t="str">
        <f>HYPERLINK("https://diaocthongthai.com/xa-an-thanh-trung-cho-moi-an-giang/","Xã An Thạnh Trung")</f>
        <v>Xã An Thạnh Trung</v>
      </c>
    </row>
    <row r="10010" spans="1:7" x14ac:dyDescent="0.25">
      <c r="A10010" s="2">
        <v>10009</v>
      </c>
      <c r="B10010" s="3" t="s">
        <v>59</v>
      </c>
      <c r="C10010" s="4" t="str">
        <f t="shared" si="902"/>
        <v>An Giang</v>
      </c>
      <c r="D10010" s="3" t="s">
        <v>705</v>
      </c>
      <c r="E10010" s="4" t="str">
        <f t="shared" si="901"/>
        <v>Huyện Chợ Mới</v>
      </c>
      <c r="F10010" s="3" t="s">
        <v>10769</v>
      </c>
      <c r="G10010" s="4" t="str">
        <f>HYPERLINK("https://diaocthongthai.com/xa-hoi-an-cho-moi-an-giang/","Xã Hội An")</f>
        <v>Xã Hội An</v>
      </c>
    </row>
    <row r="10011" spans="1:7" x14ac:dyDescent="0.25">
      <c r="A10011" s="2">
        <v>10010</v>
      </c>
      <c r="B10011" s="3" t="s">
        <v>59</v>
      </c>
      <c r="C10011" s="4" t="str">
        <f t="shared" si="902"/>
        <v>An Giang</v>
      </c>
      <c r="D10011" s="3" t="s">
        <v>705</v>
      </c>
      <c r="E10011" s="4" t="str">
        <f t="shared" si="901"/>
        <v>Huyện Chợ Mới</v>
      </c>
      <c r="F10011" s="3" t="s">
        <v>10770</v>
      </c>
      <c r="G10011" s="4" t="str">
        <f>HYPERLINK("https://diaocthongthai.com/xa-hoa-binh-cho-moi-an-giang/","Xã Hòa Bình")</f>
        <v>Xã Hòa Bình</v>
      </c>
    </row>
    <row r="10012" spans="1:7" x14ac:dyDescent="0.25">
      <c r="A10012" s="2">
        <v>10011</v>
      </c>
      <c r="B10012" s="3" t="s">
        <v>59</v>
      </c>
      <c r="C10012" s="4" t="str">
        <f t="shared" si="902"/>
        <v>An Giang</v>
      </c>
      <c r="D10012" s="3" t="s">
        <v>705</v>
      </c>
      <c r="E10012" s="4" t="str">
        <f t="shared" si="901"/>
        <v>Huyện Chợ Mới</v>
      </c>
      <c r="F10012" s="3" t="s">
        <v>10771</v>
      </c>
      <c r="G10012" s="4" t="str">
        <f>HYPERLINK("https://diaocthongthai.com/xa-hoa-an-cho-moi-an-giang/","Xã Hòa An")</f>
        <v>Xã Hòa An</v>
      </c>
    </row>
    <row r="10013" spans="1:7" x14ac:dyDescent="0.25">
      <c r="A10013" s="2">
        <v>10012</v>
      </c>
      <c r="B10013" s="3" t="s">
        <v>59</v>
      </c>
      <c r="C10013" s="4" t="str">
        <f t="shared" si="902"/>
        <v>An Giang</v>
      </c>
      <c r="D10013" s="3" t="s">
        <v>706</v>
      </c>
      <c r="E10013" s="4" t="str">
        <f t="shared" ref="E10013:E10029" si="903">HYPERLINK("https://diaocthongthai.com/ban-do-huyen-thoai-son-an-giang/","Huyện Thoại Sơn")</f>
        <v>Huyện Thoại Sơn</v>
      </c>
      <c r="F10013" s="3" t="s">
        <v>10772</v>
      </c>
      <c r="G10013" s="4" t="str">
        <f>HYPERLINK("https://diaocthongthai.com/thi-tran-nui-sap-thoai-son/","Thị trấn Núi Sập")</f>
        <v>Thị trấn Núi Sập</v>
      </c>
    </row>
    <row r="10014" spans="1:7" x14ac:dyDescent="0.25">
      <c r="A10014" s="2">
        <v>10013</v>
      </c>
      <c r="B10014" s="3" t="s">
        <v>59</v>
      </c>
      <c r="C10014" s="4" t="str">
        <f t="shared" si="902"/>
        <v>An Giang</v>
      </c>
      <c r="D10014" s="3" t="s">
        <v>706</v>
      </c>
      <c r="E10014" s="4" t="str">
        <f t="shared" si="903"/>
        <v>Huyện Thoại Sơn</v>
      </c>
      <c r="F10014" s="3" t="s">
        <v>10773</v>
      </c>
      <c r="G10014" s="4" t="str">
        <f>HYPERLINK("https://diaocthongthai.com/thi-tran-phu-hoa-thoai-son/","Thị trấn Phú Hoà")</f>
        <v>Thị trấn Phú Hoà</v>
      </c>
    </row>
    <row r="10015" spans="1:7" x14ac:dyDescent="0.25">
      <c r="A10015" s="2">
        <v>10014</v>
      </c>
      <c r="B10015" s="3" t="s">
        <v>59</v>
      </c>
      <c r="C10015" s="4" t="str">
        <f t="shared" si="902"/>
        <v>An Giang</v>
      </c>
      <c r="D10015" s="3" t="s">
        <v>706</v>
      </c>
      <c r="E10015" s="4" t="str">
        <f t="shared" si="903"/>
        <v>Huyện Thoại Sơn</v>
      </c>
      <c r="F10015" s="3" t="s">
        <v>10774</v>
      </c>
      <c r="G10015" s="4" t="str">
        <f>HYPERLINK("https://diaocthongthai.com/thi-tran-oc-eo-thoai-son/","Thị Trấn Óc Eo")</f>
        <v>Thị Trấn Óc Eo</v>
      </c>
    </row>
    <row r="10016" spans="1:7" x14ac:dyDescent="0.25">
      <c r="A10016" s="2">
        <v>10015</v>
      </c>
      <c r="B10016" s="3" t="s">
        <v>59</v>
      </c>
      <c r="C10016" s="4" t="str">
        <f t="shared" si="902"/>
        <v>An Giang</v>
      </c>
      <c r="D10016" s="3" t="s">
        <v>706</v>
      </c>
      <c r="E10016" s="4" t="str">
        <f t="shared" si="903"/>
        <v>Huyện Thoại Sơn</v>
      </c>
      <c r="F10016" s="3" t="s">
        <v>10775</v>
      </c>
      <c r="G10016" s="4" t="str">
        <f>HYPERLINK("https://diaocthongthai.com/xa-tay-phu-thoai-son/","Xã Tây Phú")</f>
        <v>Xã Tây Phú</v>
      </c>
    </row>
    <row r="10017" spans="1:7" x14ac:dyDescent="0.25">
      <c r="A10017" s="2">
        <v>10016</v>
      </c>
      <c r="B10017" s="3" t="s">
        <v>59</v>
      </c>
      <c r="C10017" s="4" t="str">
        <f t="shared" si="902"/>
        <v>An Giang</v>
      </c>
      <c r="D10017" s="3" t="s">
        <v>706</v>
      </c>
      <c r="E10017" s="4" t="str">
        <f t="shared" si="903"/>
        <v>Huyện Thoại Sơn</v>
      </c>
      <c r="F10017" s="3" t="s">
        <v>10776</v>
      </c>
      <c r="G10017" s="4" t="str">
        <f>HYPERLINK("https://diaocthongthai.com/xa-an-binh-thoai-son/","Xã An Bình")</f>
        <v>Xã An Bình</v>
      </c>
    </row>
    <row r="10018" spans="1:7" x14ac:dyDescent="0.25">
      <c r="A10018" s="2">
        <v>10017</v>
      </c>
      <c r="B10018" s="3" t="s">
        <v>59</v>
      </c>
      <c r="C10018" s="4" t="str">
        <f t="shared" si="902"/>
        <v>An Giang</v>
      </c>
      <c r="D10018" s="3" t="s">
        <v>706</v>
      </c>
      <c r="E10018" s="4" t="str">
        <f t="shared" si="903"/>
        <v>Huyện Thoại Sơn</v>
      </c>
      <c r="F10018" s="3" t="s">
        <v>10777</v>
      </c>
      <c r="G10018" s="4" t="str">
        <f>HYPERLINK("https://diaocthongthai.com/xa-vinh-phu-thoai-son/","Xã Vĩnh Phú")</f>
        <v>Xã Vĩnh Phú</v>
      </c>
    </row>
    <row r="10019" spans="1:7" x14ac:dyDescent="0.25">
      <c r="A10019" s="2">
        <v>10018</v>
      </c>
      <c r="B10019" s="3" t="s">
        <v>59</v>
      </c>
      <c r="C10019" s="4" t="str">
        <f t="shared" si="902"/>
        <v>An Giang</v>
      </c>
      <c r="D10019" s="3" t="s">
        <v>706</v>
      </c>
      <c r="E10019" s="4" t="str">
        <f t="shared" si="903"/>
        <v>Huyện Thoại Sơn</v>
      </c>
      <c r="F10019" s="3" t="s">
        <v>10778</v>
      </c>
      <c r="G10019" s="4" t="str">
        <f>HYPERLINK("https://diaocthongthai.com/xa-vinh-trach-thoai-son/","Xã Vĩnh Trạch")</f>
        <v>Xã Vĩnh Trạch</v>
      </c>
    </row>
    <row r="10020" spans="1:7" x14ac:dyDescent="0.25">
      <c r="A10020" s="2">
        <v>10019</v>
      </c>
      <c r="B10020" s="3" t="s">
        <v>59</v>
      </c>
      <c r="C10020" s="4" t="str">
        <f t="shared" si="902"/>
        <v>An Giang</v>
      </c>
      <c r="D10020" s="3" t="s">
        <v>706</v>
      </c>
      <c r="E10020" s="4" t="str">
        <f t="shared" si="903"/>
        <v>Huyện Thoại Sơn</v>
      </c>
      <c r="F10020" s="3" t="s">
        <v>10779</v>
      </c>
      <c r="G10020" s="4" t="str">
        <f>HYPERLINK("https://diaocthongthai.com/xa-phu-thuan-thoai-son/","Xã Phú Thuận")</f>
        <v>Xã Phú Thuận</v>
      </c>
    </row>
    <row r="10021" spans="1:7" x14ac:dyDescent="0.25">
      <c r="A10021" s="2">
        <v>10020</v>
      </c>
      <c r="B10021" s="3" t="s">
        <v>59</v>
      </c>
      <c r="C10021" s="4" t="str">
        <f t="shared" si="902"/>
        <v>An Giang</v>
      </c>
      <c r="D10021" s="3" t="s">
        <v>706</v>
      </c>
      <c r="E10021" s="4" t="str">
        <f t="shared" si="903"/>
        <v>Huyện Thoại Sơn</v>
      </c>
      <c r="F10021" s="3" t="s">
        <v>10780</v>
      </c>
      <c r="G10021" s="4" t="str">
        <f>HYPERLINK("https://diaocthongthai.com/xa-vinh-chanh-thoai-son/","Xã Vĩnh Chánh")</f>
        <v>Xã Vĩnh Chánh</v>
      </c>
    </row>
    <row r="10022" spans="1:7" x14ac:dyDescent="0.25">
      <c r="A10022" s="2">
        <v>10021</v>
      </c>
      <c r="B10022" s="3" t="s">
        <v>59</v>
      </c>
      <c r="C10022" s="4" t="str">
        <f t="shared" si="902"/>
        <v>An Giang</v>
      </c>
      <c r="D10022" s="3" t="s">
        <v>706</v>
      </c>
      <c r="E10022" s="4" t="str">
        <f t="shared" si="903"/>
        <v>Huyện Thoại Sơn</v>
      </c>
      <c r="F10022" s="3" t="s">
        <v>10781</v>
      </c>
      <c r="G10022" s="4" t="str">
        <f>HYPERLINK("https://diaocthongthai.com/xa-dinh-my-thoai-son/","Xã Định Mỹ")</f>
        <v>Xã Định Mỹ</v>
      </c>
    </row>
    <row r="10023" spans="1:7" x14ac:dyDescent="0.25">
      <c r="A10023" s="2">
        <v>10022</v>
      </c>
      <c r="B10023" s="3" t="s">
        <v>59</v>
      </c>
      <c r="C10023" s="4" t="str">
        <f t="shared" si="902"/>
        <v>An Giang</v>
      </c>
      <c r="D10023" s="3" t="s">
        <v>706</v>
      </c>
      <c r="E10023" s="4" t="str">
        <f t="shared" si="903"/>
        <v>Huyện Thoại Sơn</v>
      </c>
      <c r="F10023" s="3" t="s">
        <v>10782</v>
      </c>
      <c r="G10023" s="4" t="str">
        <f>HYPERLINK("https://diaocthongthai.com/xa-dinh-thanh-thoai-son/","Xã Định Thành")</f>
        <v>Xã Định Thành</v>
      </c>
    </row>
    <row r="10024" spans="1:7" x14ac:dyDescent="0.25">
      <c r="A10024" s="2">
        <v>10023</v>
      </c>
      <c r="B10024" s="3" t="s">
        <v>59</v>
      </c>
      <c r="C10024" s="4" t="str">
        <f t="shared" si="902"/>
        <v>An Giang</v>
      </c>
      <c r="D10024" s="3" t="s">
        <v>706</v>
      </c>
      <c r="E10024" s="4" t="str">
        <f t="shared" si="903"/>
        <v>Huyện Thoại Sơn</v>
      </c>
      <c r="F10024" s="3" t="s">
        <v>10783</v>
      </c>
      <c r="G10024" s="4" t="str">
        <f>HYPERLINK("https://diaocthongthai.com/xa-my-phu-dong-thoai-son/","Xã Mỹ Phú Đông")</f>
        <v>Xã Mỹ Phú Đông</v>
      </c>
    </row>
    <row r="10025" spans="1:7" x14ac:dyDescent="0.25">
      <c r="A10025" s="2">
        <v>10024</v>
      </c>
      <c r="B10025" s="3" t="s">
        <v>59</v>
      </c>
      <c r="C10025" s="4" t="str">
        <f t="shared" si="902"/>
        <v>An Giang</v>
      </c>
      <c r="D10025" s="3" t="s">
        <v>706</v>
      </c>
      <c r="E10025" s="4" t="str">
        <f t="shared" si="903"/>
        <v>Huyện Thoại Sơn</v>
      </c>
      <c r="F10025" s="3" t="s">
        <v>10784</v>
      </c>
      <c r="G10025" s="4" t="str">
        <f>HYPERLINK("https://diaocthongthai.com/xa-vong-dong-thoai-son/","Xã Vọng Đông")</f>
        <v>Xã Vọng Đông</v>
      </c>
    </row>
    <row r="10026" spans="1:7" x14ac:dyDescent="0.25">
      <c r="A10026" s="2">
        <v>10025</v>
      </c>
      <c r="B10026" s="3" t="s">
        <v>59</v>
      </c>
      <c r="C10026" s="4" t="str">
        <f t="shared" si="902"/>
        <v>An Giang</v>
      </c>
      <c r="D10026" s="3" t="s">
        <v>706</v>
      </c>
      <c r="E10026" s="4" t="str">
        <f t="shared" si="903"/>
        <v>Huyện Thoại Sơn</v>
      </c>
      <c r="F10026" s="3" t="s">
        <v>10785</v>
      </c>
      <c r="G10026" s="4" t="str">
        <f>HYPERLINK("https://diaocthongthai.com/xa-vinh-khanh-thoai-son/","Xã Vĩnh Khánh")</f>
        <v>Xã Vĩnh Khánh</v>
      </c>
    </row>
    <row r="10027" spans="1:7" x14ac:dyDescent="0.25">
      <c r="A10027" s="2">
        <v>10026</v>
      </c>
      <c r="B10027" s="3" t="s">
        <v>59</v>
      </c>
      <c r="C10027" s="4" t="str">
        <f t="shared" si="902"/>
        <v>An Giang</v>
      </c>
      <c r="D10027" s="3" t="s">
        <v>706</v>
      </c>
      <c r="E10027" s="4" t="str">
        <f t="shared" si="903"/>
        <v>Huyện Thoại Sơn</v>
      </c>
      <c r="F10027" s="3" t="s">
        <v>10786</v>
      </c>
      <c r="G10027" s="4" t="str">
        <f>HYPERLINK("https://diaocthongthai.com/xa-thoai-giang-thoai-son/","Xã Thoại Giang")</f>
        <v>Xã Thoại Giang</v>
      </c>
    </row>
    <row r="10028" spans="1:7" x14ac:dyDescent="0.25">
      <c r="A10028" s="2">
        <v>10027</v>
      </c>
      <c r="B10028" s="3" t="s">
        <v>59</v>
      </c>
      <c r="C10028" s="4" t="str">
        <f t="shared" si="902"/>
        <v>An Giang</v>
      </c>
      <c r="D10028" s="3" t="s">
        <v>706</v>
      </c>
      <c r="E10028" s="4" t="str">
        <f t="shared" si="903"/>
        <v>Huyện Thoại Sơn</v>
      </c>
      <c r="F10028" s="3" t="s">
        <v>10787</v>
      </c>
      <c r="G10028" s="4" t="str">
        <f>HYPERLINK("https://diaocthongthai.com/xa-binh-thanh-thoai-son/","Xã Bình Thành")</f>
        <v>Xã Bình Thành</v>
      </c>
    </row>
    <row r="10029" spans="1:7" x14ac:dyDescent="0.25">
      <c r="A10029" s="2">
        <v>10028</v>
      </c>
      <c r="B10029" s="3" t="s">
        <v>59</v>
      </c>
      <c r="C10029" s="4" t="str">
        <f t="shared" si="902"/>
        <v>An Giang</v>
      </c>
      <c r="D10029" s="3" t="s">
        <v>706</v>
      </c>
      <c r="E10029" s="4" t="str">
        <f t="shared" si="903"/>
        <v>Huyện Thoại Sơn</v>
      </c>
      <c r="F10029" s="3" t="s">
        <v>10788</v>
      </c>
      <c r="G10029" s="4" t="str">
        <f>HYPERLINK("https://diaocthongthai.com/xa-vong-the-thoai-son/","Xã Vọng Thê")</f>
        <v>Xã Vọng Thê</v>
      </c>
    </row>
    <row r="10030" spans="1:7" x14ac:dyDescent="0.25">
      <c r="A10030" s="2">
        <v>10029</v>
      </c>
      <c r="B10030" s="3" t="s">
        <v>60</v>
      </c>
      <c r="C10030" s="4" t="str">
        <f t="shared" ref="C10030:C10061" si="904">HYPERLINK("https://diaocthongthai.com/ban-do-kien-giang/","Kiên Giang")</f>
        <v>Kiên Giang</v>
      </c>
      <c r="D10030" s="3" t="s">
        <v>707</v>
      </c>
      <c r="E10030" s="4" t="str">
        <f t="shared" ref="E10030:E10041" si="905">HYPERLINK("https://diaocthongthai.com/ban-do-tp-rach-gia-kien-giang/","Thành phố Rạch Giá")</f>
        <v>Thành phố Rạch Giá</v>
      </c>
      <c r="F10030" s="3" t="s">
        <v>10789</v>
      </c>
      <c r="G10030" s="4" t="str">
        <f>HYPERLINK("https://diaocthongthai.com/phuong-vinh-thanh-van-tp-rach-gia/","Phường Vĩnh Thanh Vân")</f>
        <v>Phường Vĩnh Thanh Vân</v>
      </c>
    </row>
    <row r="10031" spans="1:7" x14ac:dyDescent="0.25">
      <c r="A10031" s="2">
        <v>10030</v>
      </c>
      <c r="B10031" s="3" t="s">
        <v>60</v>
      </c>
      <c r="C10031" s="4" t="str">
        <f t="shared" si="904"/>
        <v>Kiên Giang</v>
      </c>
      <c r="D10031" s="3" t="s">
        <v>707</v>
      </c>
      <c r="E10031" s="4" t="str">
        <f t="shared" si="905"/>
        <v>Thành phố Rạch Giá</v>
      </c>
      <c r="F10031" s="3" t="s">
        <v>10790</v>
      </c>
      <c r="G10031" s="4" t="str">
        <f>HYPERLINK("https://diaocthongthai.com/phuong-vinh-thanh-tp-rach-gia/","Phường Vĩnh Thanh")</f>
        <v>Phường Vĩnh Thanh</v>
      </c>
    </row>
    <row r="10032" spans="1:7" x14ac:dyDescent="0.25">
      <c r="A10032" s="2">
        <v>10031</v>
      </c>
      <c r="B10032" s="3" t="s">
        <v>60</v>
      </c>
      <c r="C10032" s="4" t="str">
        <f t="shared" si="904"/>
        <v>Kiên Giang</v>
      </c>
      <c r="D10032" s="3" t="s">
        <v>707</v>
      </c>
      <c r="E10032" s="4" t="str">
        <f t="shared" si="905"/>
        <v>Thành phố Rạch Giá</v>
      </c>
      <c r="F10032" s="3" t="s">
        <v>10791</v>
      </c>
      <c r="G10032" s="4" t="str">
        <f>HYPERLINK("https://diaocthongthai.com/phuong-vinh-quang-tp-rach-gia/","Phường Vĩnh Quang")</f>
        <v>Phường Vĩnh Quang</v>
      </c>
    </row>
    <row r="10033" spans="1:7" x14ac:dyDescent="0.25">
      <c r="A10033" s="2">
        <v>10032</v>
      </c>
      <c r="B10033" s="3" t="s">
        <v>60</v>
      </c>
      <c r="C10033" s="4" t="str">
        <f t="shared" si="904"/>
        <v>Kiên Giang</v>
      </c>
      <c r="D10033" s="3" t="s">
        <v>707</v>
      </c>
      <c r="E10033" s="4" t="str">
        <f t="shared" si="905"/>
        <v>Thành phố Rạch Giá</v>
      </c>
      <c r="F10033" s="3" t="s">
        <v>10792</v>
      </c>
      <c r="G10033" s="4" t="str">
        <f>HYPERLINK("https://diaocthongthai.com/phuong-vinh-hiep-tp-rach-gia/","Phường Vĩnh Hiệp")</f>
        <v>Phường Vĩnh Hiệp</v>
      </c>
    </row>
    <row r="10034" spans="1:7" x14ac:dyDescent="0.25">
      <c r="A10034" s="2">
        <v>10033</v>
      </c>
      <c r="B10034" s="3" t="s">
        <v>60</v>
      </c>
      <c r="C10034" s="4" t="str">
        <f t="shared" si="904"/>
        <v>Kiên Giang</v>
      </c>
      <c r="D10034" s="3" t="s">
        <v>707</v>
      </c>
      <c r="E10034" s="4" t="str">
        <f t="shared" si="905"/>
        <v>Thành phố Rạch Giá</v>
      </c>
      <c r="F10034" s="3" t="s">
        <v>10793</v>
      </c>
      <c r="G10034" s="4" t="str">
        <f>HYPERLINK("https://diaocthongthai.com/phuong-vinh-bao-tp-rach-gia/","Phường Vĩnh Bảo")</f>
        <v>Phường Vĩnh Bảo</v>
      </c>
    </row>
    <row r="10035" spans="1:7" x14ac:dyDescent="0.25">
      <c r="A10035" s="2">
        <v>10034</v>
      </c>
      <c r="B10035" s="3" t="s">
        <v>60</v>
      </c>
      <c r="C10035" s="4" t="str">
        <f t="shared" si="904"/>
        <v>Kiên Giang</v>
      </c>
      <c r="D10035" s="3" t="s">
        <v>707</v>
      </c>
      <c r="E10035" s="4" t="str">
        <f t="shared" si="905"/>
        <v>Thành phố Rạch Giá</v>
      </c>
      <c r="F10035" s="3" t="s">
        <v>10794</v>
      </c>
      <c r="G10035" s="4" t="str">
        <f>HYPERLINK("https://diaocthongthai.com/phuong-vinh-lac-tp-rach-gia/","Phường Vĩnh Lạc")</f>
        <v>Phường Vĩnh Lạc</v>
      </c>
    </row>
    <row r="10036" spans="1:7" x14ac:dyDescent="0.25">
      <c r="A10036" s="2">
        <v>10035</v>
      </c>
      <c r="B10036" s="3" t="s">
        <v>60</v>
      </c>
      <c r="C10036" s="4" t="str">
        <f t="shared" si="904"/>
        <v>Kiên Giang</v>
      </c>
      <c r="D10036" s="3" t="s">
        <v>707</v>
      </c>
      <c r="E10036" s="4" t="str">
        <f t="shared" si="905"/>
        <v>Thành phố Rạch Giá</v>
      </c>
      <c r="F10036" s="3" t="s">
        <v>10795</v>
      </c>
      <c r="G10036" s="4" t="str">
        <f>HYPERLINK("https://diaocthongthai.com/phuong-an-hoa-tp-rach-gia/","Phường An Hòa")</f>
        <v>Phường An Hòa</v>
      </c>
    </row>
    <row r="10037" spans="1:7" x14ac:dyDescent="0.25">
      <c r="A10037" s="2">
        <v>10036</v>
      </c>
      <c r="B10037" s="3" t="s">
        <v>60</v>
      </c>
      <c r="C10037" s="4" t="str">
        <f t="shared" si="904"/>
        <v>Kiên Giang</v>
      </c>
      <c r="D10037" s="3" t="s">
        <v>707</v>
      </c>
      <c r="E10037" s="4" t="str">
        <f t="shared" si="905"/>
        <v>Thành phố Rạch Giá</v>
      </c>
      <c r="F10037" s="3" t="s">
        <v>10796</v>
      </c>
      <c r="G10037" s="4" t="str">
        <f>HYPERLINK("https://diaocthongthai.com/phuong-an-binh-tp-rach-gia/","Phường An Bình")</f>
        <v>Phường An Bình</v>
      </c>
    </row>
    <row r="10038" spans="1:7" x14ac:dyDescent="0.25">
      <c r="A10038" s="2">
        <v>10037</v>
      </c>
      <c r="B10038" s="3" t="s">
        <v>60</v>
      </c>
      <c r="C10038" s="4" t="str">
        <f t="shared" si="904"/>
        <v>Kiên Giang</v>
      </c>
      <c r="D10038" s="3" t="s">
        <v>707</v>
      </c>
      <c r="E10038" s="4" t="str">
        <f t="shared" si="905"/>
        <v>Thành phố Rạch Giá</v>
      </c>
      <c r="F10038" s="3" t="s">
        <v>10797</v>
      </c>
      <c r="G10038" s="4" t="str">
        <f>HYPERLINK("https://diaocthongthai.com/phuong-rach-soi-tp-rach-gia/","Phường Rạch Sỏi")</f>
        <v>Phường Rạch Sỏi</v>
      </c>
    </row>
    <row r="10039" spans="1:7" x14ac:dyDescent="0.25">
      <c r="A10039" s="2">
        <v>10038</v>
      </c>
      <c r="B10039" s="3" t="s">
        <v>60</v>
      </c>
      <c r="C10039" s="4" t="str">
        <f t="shared" si="904"/>
        <v>Kiên Giang</v>
      </c>
      <c r="D10039" s="3" t="s">
        <v>707</v>
      </c>
      <c r="E10039" s="4" t="str">
        <f t="shared" si="905"/>
        <v>Thành phố Rạch Giá</v>
      </c>
      <c r="F10039" s="3" t="s">
        <v>10798</v>
      </c>
      <c r="G10039" s="4" t="str">
        <f>HYPERLINK("https://diaocthongthai.com/phuong-vinh-loi-tp-rach-gia/","Phường Vĩnh Lợi")</f>
        <v>Phường Vĩnh Lợi</v>
      </c>
    </row>
    <row r="10040" spans="1:7" x14ac:dyDescent="0.25">
      <c r="A10040" s="2">
        <v>10039</v>
      </c>
      <c r="B10040" s="3" t="s">
        <v>60</v>
      </c>
      <c r="C10040" s="4" t="str">
        <f t="shared" si="904"/>
        <v>Kiên Giang</v>
      </c>
      <c r="D10040" s="3" t="s">
        <v>707</v>
      </c>
      <c r="E10040" s="4" t="str">
        <f t="shared" si="905"/>
        <v>Thành phố Rạch Giá</v>
      </c>
      <c r="F10040" s="3" t="s">
        <v>10799</v>
      </c>
      <c r="G10040" s="4" t="str">
        <f>HYPERLINK("https://diaocthongthai.com/phuong-vinh-thong-tp-rach-gia/","Phường Vĩnh Thông")</f>
        <v>Phường Vĩnh Thông</v>
      </c>
    </row>
    <row r="10041" spans="1:7" x14ac:dyDescent="0.25">
      <c r="A10041" s="2">
        <v>10040</v>
      </c>
      <c r="B10041" s="3" t="s">
        <v>60</v>
      </c>
      <c r="C10041" s="4" t="str">
        <f t="shared" si="904"/>
        <v>Kiên Giang</v>
      </c>
      <c r="D10041" s="3" t="s">
        <v>707</v>
      </c>
      <c r="E10041" s="4" t="str">
        <f t="shared" si="905"/>
        <v>Thành phố Rạch Giá</v>
      </c>
      <c r="F10041" s="3" t="s">
        <v>10800</v>
      </c>
      <c r="G10041" s="4" t="str">
        <f>HYPERLINK("https://diaocthongthai.com/xa-phi-thong-tp-rach-gia/","Xã Phi Thông")</f>
        <v>Xã Phi Thông</v>
      </c>
    </row>
    <row r="10042" spans="1:7" x14ac:dyDescent="0.25">
      <c r="A10042" s="2">
        <v>10041</v>
      </c>
      <c r="B10042" s="3" t="s">
        <v>60</v>
      </c>
      <c r="C10042" s="4" t="str">
        <f t="shared" si="904"/>
        <v>Kiên Giang</v>
      </c>
      <c r="D10042" s="3" t="s">
        <v>708</v>
      </c>
      <c r="E10042" s="4" t="str">
        <f t="shared" ref="E10042:E10048" si="906">HYPERLINK("https://diaocthongthai.com/ban-do-tp-ha-tien-kien-giang/","Thành phố Hà Tiên")</f>
        <v>Thành phố Hà Tiên</v>
      </c>
      <c r="F10042" s="3" t="s">
        <v>10801</v>
      </c>
      <c r="G10042" s="4" t="str">
        <f>HYPERLINK("https://diaocthongthai.com/phuong-to-chau-tp-ha-tien/","Phường Tô Châu")</f>
        <v>Phường Tô Châu</v>
      </c>
    </row>
    <row r="10043" spans="1:7" x14ac:dyDescent="0.25">
      <c r="A10043" s="2">
        <v>10042</v>
      </c>
      <c r="B10043" s="3" t="s">
        <v>60</v>
      </c>
      <c r="C10043" s="4" t="str">
        <f t="shared" si="904"/>
        <v>Kiên Giang</v>
      </c>
      <c r="D10043" s="3" t="s">
        <v>708</v>
      </c>
      <c r="E10043" s="4" t="str">
        <f t="shared" si="906"/>
        <v>Thành phố Hà Tiên</v>
      </c>
      <c r="F10043" s="3" t="s">
        <v>10802</v>
      </c>
      <c r="G10043" s="4" t="str">
        <f>HYPERLINK("https://diaocthongthai.com/phuong-dong-ho-tp-ha-tien/","Phường Đông Hồ")</f>
        <v>Phường Đông Hồ</v>
      </c>
    </row>
    <row r="10044" spans="1:7" x14ac:dyDescent="0.25">
      <c r="A10044" s="2">
        <v>10043</v>
      </c>
      <c r="B10044" s="3" t="s">
        <v>60</v>
      </c>
      <c r="C10044" s="4" t="str">
        <f t="shared" si="904"/>
        <v>Kiên Giang</v>
      </c>
      <c r="D10044" s="3" t="s">
        <v>708</v>
      </c>
      <c r="E10044" s="4" t="str">
        <f t="shared" si="906"/>
        <v>Thành phố Hà Tiên</v>
      </c>
      <c r="F10044" s="3" t="s">
        <v>10803</v>
      </c>
      <c r="G10044" s="4" t="str">
        <f>HYPERLINK("https://diaocthongthai.com/phuong-binh-san-tp-ha-tien/","Phường Bình San")</f>
        <v>Phường Bình San</v>
      </c>
    </row>
    <row r="10045" spans="1:7" x14ac:dyDescent="0.25">
      <c r="A10045" s="2">
        <v>10044</v>
      </c>
      <c r="B10045" s="3" t="s">
        <v>60</v>
      </c>
      <c r="C10045" s="4" t="str">
        <f t="shared" si="904"/>
        <v>Kiên Giang</v>
      </c>
      <c r="D10045" s="3" t="s">
        <v>708</v>
      </c>
      <c r="E10045" s="4" t="str">
        <f t="shared" si="906"/>
        <v>Thành phố Hà Tiên</v>
      </c>
      <c r="F10045" s="3" t="s">
        <v>10804</v>
      </c>
      <c r="G10045" s="4" t="str">
        <f>HYPERLINK("https://diaocthongthai.com/phuong-phao-dai-tp-ha-tien/","Phường Pháo Đài")</f>
        <v>Phường Pháo Đài</v>
      </c>
    </row>
    <row r="10046" spans="1:7" x14ac:dyDescent="0.25">
      <c r="A10046" s="2">
        <v>10045</v>
      </c>
      <c r="B10046" s="3" t="s">
        <v>60</v>
      </c>
      <c r="C10046" s="4" t="str">
        <f t="shared" si="904"/>
        <v>Kiên Giang</v>
      </c>
      <c r="D10046" s="3" t="s">
        <v>708</v>
      </c>
      <c r="E10046" s="4" t="str">
        <f t="shared" si="906"/>
        <v>Thành phố Hà Tiên</v>
      </c>
      <c r="F10046" s="3" t="s">
        <v>10805</v>
      </c>
      <c r="G10046" s="4" t="str">
        <f>HYPERLINK("https://diaocthongthai.com/phuong-my-duc-tp-ha-tien/","Phường Mỹ Đức")</f>
        <v>Phường Mỹ Đức</v>
      </c>
    </row>
    <row r="10047" spans="1:7" x14ac:dyDescent="0.25">
      <c r="A10047" s="2">
        <v>10046</v>
      </c>
      <c r="B10047" s="3" t="s">
        <v>60</v>
      </c>
      <c r="C10047" s="4" t="str">
        <f t="shared" si="904"/>
        <v>Kiên Giang</v>
      </c>
      <c r="D10047" s="3" t="s">
        <v>708</v>
      </c>
      <c r="E10047" s="4" t="str">
        <f t="shared" si="906"/>
        <v>Thành phố Hà Tiên</v>
      </c>
      <c r="F10047" s="3" t="s">
        <v>10806</v>
      </c>
      <c r="G10047" s="4" t="str">
        <f>HYPERLINK("https://diaocthongthai.com/xa-tien-hai-tp-ha-tien/","Xã Tiên Hải")</f>
        <v>Xã Tiên Hải</v>
      </c>
    </row>
    <row r="10048" spans="1:7" x14ac:dyDescent="0.25">
      <c r="A10048" s="2">
        <v>10047</v>
      </c>
      <c r="B10048" s="3" t="s">
        <v>60</v>
      </c>
      <c r="C10048" s="4" t="str">
        <f t="shared" si="904"/>
        <v>Kiên Giang</v>
      </c>
      <c r="D10048" s="3" t="s">
        <v>708</v>
      </c>
      <c r="E10048" s="4" t="str">
        <f t="shared" si="906"/>
        <v>Thành phố Hà Tiên</v>
      </c>
      <c r="F10048" s="3" t="s">
        <v>10807</v>
      </c>
      <c r="G10048" s="4" t="str">
        <f>HYPERLINK("https://diaocthongthai.com/xa-thuan-yen-tp-ha-tien/","Xã Thuận Yên")</f>
        <v>Xã Thuận Yên</v>
      </c>
    </row>
    <row r="10049" spans="1:7" x14ac:dyDescent="0.25">
      <c r="A10049" s="2">
        <v>10048</v>
      </c>
      <c r="B10049" s="3" t="s">
        <v>60</v>
      </c>
      <c r="C10049" s="4" t="str">
        <f t="shared" si="904"/>
        <v>Kiên Giang</v>
      </c>
      <c r="D10049" s="3" t="s">
        <v>709</v>
      </c>
      <c r="E10049" s="4" t="str">
        <f t="shared" ref="E10049:E10056" si="907">HYPERLINK("https://diaocthongthai.com/ban-do-huyen-kien-luong-kien-giang/","Huyện Kiên Lương")</f>
        <v>Huyện Kiên Lương</v>
      </c>
      <c r="F10049" s="3" t="s">
        <v>10808</v>
      </c>
      <c r="G10049" s="4" t="str">
        <f>HYPERLINK("https://diaocthongthai.com/thi-tran-kien-luong-kien-luong/","Thị trấn Kiên Lương")</f>
        <v>Thị trấn Kiên Lương</v>
      </c>
    </row>
    <row r="10050" spans="1:7" x14ac:dyDescent="0.25">
      <c r="A10050" s="2">
        <v>10049</v>
      </c>
      <c r="B10050" s="3" t="s">
        <v>60</v>
      </c>
      <c r="C10050" s="4" t="str">
        <f t="shared" si="904"/>
        <v>Kiên Giang</v>
      </c>
      <c r="D10050" s="3" t="s">
        <v>709</v>
      </c>
      <c r="E10050" s="4" t="str">
        <f t="shared" si="907"/>
        <v>Huyện Kiên Lương</v>
      </c>
      <c r="F10050" s="3" t="s">
        <v>10809</v>
      </c>
      <c r="G10050" s="4" t="str">
        <f>HYPERLINK("https://diaocthongthai.com/xa-kien-binh-kien-luong/","Xã Kiên Bình")</f>
        <v>Xã Kiên Bình</v>
      </c>
    </row>
    <row r="10051" spans="1:7" x14ac:dyDescent="0.25">
      <c r="A10051" s="2">
        <v>10050</v>
      </c>
      <c r="B10051" s="3" t="s">
        <v>60</v>
      </c>
      <c r="C10051" s="4" t="str">
        <f t="shared" si="904"/>
        <v>Kiên Giang</v>
      </c>
      <c r="D10051" s="3" t="s">
        <v>709</v>
      </c>
      <c r="E10051" s="4" t="str">
        <f t="shared" si="907"/>
        <v>Huyện Kiên Lương</v>
      </c>
      <c r="F10051" s="3" t="s">
        <v>10810</v>
      </c>
      <c r="G10051" s="4" t="str">
        <f>HYPERLINK("https://diaocthongthai.com/xa-hoa-dien-kien-luong/","Xã Hòa Điền")</f>
        <v>Xã Hòa Điền</v>
      </c>
    </row>
    <row r="10052" spans="1:7" x14ac:dyDescent="0.25">
      <c r="A10052" s="2">
        <v>10051</v>
      </c>
      <c r="B10052" s="3" t="s">
        <v>60</v>
      </c>
      <c r="C10052" s="4" t="str">
        <f t="shared" si="904"/>
        <v>Kiên Giang</v>
      </c>
      <c r="D10052" s="3" t="s">
        <v>709</v>
      </c>
      <c r="E10052" s="4" t="str">
        <f t="shared" si="907"/>
        <v>Huyện Kiên Lương</v>
      </c>
      <c r="F10052" s="3" t="s">
        <v>10811</v>
      </c>
      <c r="G10052" s="4" t="str">
        <f>HYPERLINK("https://diaocthongthai.com/xa-duong-hoa-kien-luong/","Xã Dương Hòa")</f>
        <v>Xã Dương Hòa</v>
      </c>
    </row>
    <row r="10053" spans="1:7" x14ac:dyDescent="0.25">
      <c r="A10053" s="2">
        <v>10052</v>
      </c>
      <c r="B10053" s="3" t="s">
        <v>60</v>
      </c>
      <c r="C10053" s="4" t="str">
        <f t="shared" si="904"/>
        <v>Kiên Giang</v>
      </c>
      <c r="D10053" s="3" t="s">
        <v>709</v>
      </c>
      <c r="E10053" s="4" t="str">
        <f t="shared" si="907"/>
        <v>Huyện Kiên Lương</v>
      </c>
      <c r="F10053" s="3" t="s">
        <v>10812</v>
      </c>
      <c r="G10053" s="4" t="str">
        <f>HYPERLINK("https://diaocthongthai.com/xa-binh-an-kien-luong/","Xã Bình An")</f>
        <v>Xã Bình An</v>
      </c>
    </row>
    <row r="10054" spans="1:7" x14ac:dyDescent="0.25">
      <c r="A10054" s="2">
        <v>10053</v>
      </c>
      <c r="B10054" s="3" t="s">
        <v>60</v>
      </c>
      <c r="C10054" s="4" t="str">
        <f t="shared" si="904"/>
        <v>Kiên Giang</v>
      </c>
      <c r="D10054" s="3" t="s">
        <v>709</v>
      </c>
      <c r="E10054" s="4" t="str">
        <f t="shared" si="907"/>
        <v>Huyện Kiên Lương</v>
      </c>
      <c r="F10054" s="3" t="s">
        <v>10813</v>
      </c>
      <c r="G10054" s="4" t="str">
        <f>HYPERLINK("https://diaocthongthai.com/xa-binh-tri-kien-luong/","Xã Bình Trị")</f>
        <v>Xã Bình Trị</v>
      </c>
    </row>
    <row r="10055" spans="1:7" x14ac:dyDescent="0.25">
      <c r="A10055" s="2">
        <v>10054</v>
      </c>
      <c r="B10055" s="3" t="s">
        <v>60</v>
      </c>
      <c r="C10055" s="4" t="str">
        <f t="shared" si="904"/>
        <v>Kiên Giang</v>
      </c>
      <c r="D10055" s="3" t="s">
        <v>709</v>
      </c>
      <c r="E10055" s="4" t="str">
        <f t="shared" si="907"/>
        <v>Huyện Kiên Lương</v>
      </c>
      <c r="F10055" s="3" t="s">
        <v>10814</v>
      </c>
      <c r="G10055" s="4" t="str">
        <f>HYPERLINK("https://diaocthongthai.com/xa-son-hai-kien-luong/","Xã Sơn Hải")</f>
        <v>Xã Sơn Hải</v>
      </c>
    </row>
    <row r="10056" spans="1:7" x14ac:dyDescent="0.25">
      <c r="A10056" s="2">
        <v>10055</v>
      </c>
      <c r="B10056" s="3" t="s">
        <v>60</v>
      </c>
      <c r="C10056" s="4" t="str">
        <f t="shared" si="904"/>
        <v>Kiên Giang</v>
      </c>
      <c r="D10056" s="3" t="s">
        <v>709</v>
      </c>
      <c r="E10056" s="4" t="str">
        <f t="shared" si="907"/>
        <v>Huyện Kiên Lương</v>
      </c>
      <c r="F10056" s="3" t="s">
        <v>10815</v>
      </c>
      <c r="G10056" s="4" t="str">
        <f>HYPERLINK("https://diaocthongthai.com/xa-hon-nghe-kien-luong/","Xã Hòn Nghệ")</f>
        <v>Xã Hòn Nghệ</v>
      </c>
    </row>
    <row r="10057" spans="1:7" x14ac:dyDescent="0.25">
      <c r="A10057" s="2">
        <v>10056</v>
      </c>
      <c r="B10057" s="3" t="s">
        <v>60</v>
      </c>
      <c r="C10057" s="4" t="str">
        <f t="shared" si="904"/>
        <v>Kiên Giang</v>
      </c>
      <c r="D10057" s="3" t="s">
        <v>710</v>
      </c>
      <c r="E10057" s="4" t="str">
        <f t="shared" ref="E10057:E10070" si="908">HYPERLINK("https://diaocthongthai.com/ban-do-huyen-hon-dat-kien-giang/","Huyện Hòn Đất")</f>
        <v>Huyện Hòn Đất</v>
      </c>
      <c r="F10057" s="3" t="s">
        <v>10816</v>
      </c>
      <c r="G10057" s="4" t="str">
        <f>HYPERLINK("https://diaocthongthai.com/thi-tran-hon-dat-hon-dat/","Thị trấn Hòn Đất")</f>
        <v>Thị trấn Hòn Đất</v>
      </c>
    </row>
    <row r="10058" spans="1:7" x14ac:dyDescent="0.25">
      <c r="A10058" s="2">
        <v>10057</v>
      </c>
      <c r="B10058" s="3" t="s">
        <v>60</v>
      </c>
      <c r="C10058" s="4" t="str">
        <f t="shared" si="904"/>
        <v>Kiên Giang</v>
      </c>
      <c r="D10058" s="3" t="s">
        <v>710</v>
      </c>
      <c r="E10058" s="4" t="str">
        <f t="shared" si="908"/>
        <v>Huyện Hòn Đất</v>
      </c>
      <c r="F10058" s="3" t="s">
        <v>10817</v>
      </c>
      <c r="G10058" s="4" t="str">
        <f>HYPERLINK("https://diaocthongthai.com/thi-tran-soc-son-hon-dat/","Thị trấn Sóc Sơn")</f>
        <v>Thị trấn Sóc Sơn</v>
      </c>
    </row>
    <row r="10059" spans="1:7" x14ac:dyDescent="0.25">
      <c r="A10059" s="2">
        <v>10058</v>
      </c>
      <c r="B10059" s="3" t="s">
        <v>60</v>
      </c>
      <c r="C10059" s="4" t="str">
        <f t="shared" si="904"/>
        <v>Kiên Giang</v>
      </c>
      <c r="D10059" s="3" t="s">
        <v>710</v>
      </c>
      <c r="E10059" s="4" t="str">
        <f t="shared" si="908"/>
        <v>Huyện Hòn Đất</v>
      </c>
      <c r="F10059" s="3" t="s">
        <v>10818</v>
      </c>
      <c r="G10059" s="4" t="str">
        <f>HYPERLINK("https://diaocthongthai.com/xa-binh-son-hon-dat/","Xã Bình Sơn")</f>
        <v>Xã Bình Sơn</v>
      </c>
    </row>
    <row r="10060" spans="1:7" x14ac:dyDescent="0.25">
      <c r="A10060" s="2">
        <v>10059</v>
      </c>
      <c r="B10060" s="3" t="s">
        <v>60</v>
      </c>
      <c r="C10060" s="4" t="str">
        <f t="shared" si="904"/>
        <v>Kiên Giang</v>
      </c>
      <c r="D10060" s="3" t="s">
        <v>710</v>
      </c>
      <c r="E10060" s="4" t="str">
        <f t="shared" si="908"/>
        <v>Huyện Hòn Đất</v>
      </c>
      <c r="F10060" s="3" t="s">
        <v>10819</v>
      </c>
      <c r="G10060" s="4" t="str">
        <f>HYPERLINK("https://diaocthongthai.com/xa-binh-giang-hon-dat/","Xã Bình Giang")</f>
        <v>Xã Bình Giang</v>
      </c>
    </row>
    <row r="10061" spans="1:7" x14ac:dyDescent="0.25">
      <c r="A10061" s="2">
        <v>10060</v>
      </c>
      <c r="B10061" s="3" t="s">
        <v>60</v>
      </c>
      <c r="C10061" s="4" t="str">
        <f t="shared" si="904"/>
        <v>Kiên Giang</v>
      </c>
      <c r="D10061" s="3" t="s">
        <v>710</v>
      </c>
      <c r="E10061" s="4" t="str">
        <f t="shared" si="908"/>
        <v>Huyện Hòn Đất</v>
      </c>
      <c r="F10061" s="3" t="s">
        <v>10820</v>
      </c>
      <c r="G10061" s="4" t="str">
        <f>HYPERLINK("https://diaocthongthai.com/xa-my-thai-hon-dat/","Xã Mỹ Thái")</f>
        <v>Xã Mỹ Thái</v>
      </c>
    </row>
    <row r="10062" spans="1:7" x14ac:dyDescent="0.25">
      <c r="A10062" s="2">
        <v>10061</v>
      </c>
      <c r="B10062" s="3" t="s">
        <v>60</v>
      </c>
      <c r="C10062" s="4" t="str">
        <f t="shared" ref="C10062:C10093" si="909">HYPERLINK("https://diaocthongthai.com/ban-do-kien-giang/","Kiên Giang")</f>
        <v>Kiên Giang</v>
      </c>
      <c r="D10062" s="3" t="s">
        <v>710</v>
      </c>
      <c r="E10062" s="4" t="str">
        <f t="shared" si="908"/>
        <v>Huyện Hòn Đất</v>
      </c>
      <c r="F10062" s="3" t="s">
        <v>10821</v>
      </c>
      <c r="G10062" s="4" t="str">
        <f>HYPERLINK("https://diaocthongthai.com/xa-nam-thai-son-hon-dat/","Xã Nam Thái Sơn")</f>
        <v>Xã Nam Thái Sơn</v>
      </c>
    </row>
    <row r="10063" spans="1:7" x14ac:dyDescent="0.25">
      <c r="A10063" s="2">
        <v>10062</v>
      </c>
      <c r="B10063" s="3" t="s">
        <v>60</v>
      </c>
      <c r="C10063" s="4" t="str">
        <f t="shared" si="909"/>
        <v>Kiên Giang</v>
      </c>
      <c r="D10063" s="3" t="s">
        <v>710</v>
      </c>
      <c r="E10063" s="4" t="str">
        <f t="shared" si="908"/>
        <v>Huyện Hòn Đất</v>
      </c>
      <c r="F10063" s="3" t="s">
        <v>10822</v>
      </c>
      <c r="G10063" s="4" t="str">
        <f>HYPERLINK("https://diaocthongthai.com/xa-my-hiep-son-hon-dat/","Xã Mỹ Hiệp Sơn")</f>
        <v>Xã Mỹ Hiệp Sơn</v>
      </c>
    </row>
    <row r="10064" spans="1:7" x14ac:dyDescent="0.25">
      <c r="A10064" s="2">
        <v>10063</v>
      </c>
      <c r="B10064" s="3" t="s">
        <v>60</v>
      </c>
      <c r="C10064" s="4" t="str">
        <f t="shared" si="909"/>
        <v>Kiên Giang</v>
      </c>
      <c r="D10064" s="3" t="s">
        <v>710</v>
      </c>
      <c r="E10064" s="4" t="str">
        <f t="shared" si="908"/>
        <v>Huyện Hòn Đất</v>
      </c>
      <c r="F10064" s="3" t="s">
        <v>10823</v>
      </c>
      <c r="G10064" s="4" t="str">
        <f>HYPERLINK("https://diaocthongthai.com/xa-son-kien-hon-dat/","Xã Sơn Kiên")</f>
        <v>Xã Sơn Kiên</v>
      </c>
    </row>
    <row r="10065" spans="1:7" x14ac:dyDescent="0.25">
      <c r="A10065" s="2">
        <v>10064</v>
      </c>
      <c r="B10065" s="3" t="s">
        <v>60</v>
      </c>
      <c r="C10065" s="4" t="str">
        <f t="shared" si="909"/>
        <v>Kiên Giang</v>
      </c>
      <c r="D10065" s="3" t="s">
        <v>710</v>
      </c>
      <c r="E10065" s="4" t="str">
        <f t="shared" si="908"/>
        <v>Huyện Hòn Đất</v>
      </c>
      <c r="F10065" s="3" t="s">
        <v>10824</v>
      </c>
      <c r="G10065" s="4" t="str">
        <f>HYPERLINK("https://diaocthongthai.com/xa-son-binh-hon-dat/","Xã Sơn Bình")</f>
        <v>Xã Sơn Bình</v>
      </c>
    </row>
    <row r="10066" spans="1:7" x14ac:dyDescent="0.25">
      <c r="A10066" s="2">
        <v>10065</v>
      </c>
      <c r="B10066" s="3" t="s">
        <v>60</v>
      </c>
      <c r="C10066" s="4" t="str">
        <f t="shared" si="909"/>
        <v>Kiên Giang</v>
      </c>
      <c r="D10066" s="3" t="s">
        <v>710</v>
      </c>
      <c r="E10066" s="4" t="str">
        <f t="shared" si="908"/>
        <v>Huyện Hòn Đất</v>
      </c>
      <c r="F10066" s="3" t="s">
        <v>10825</v>
      </c>
      <c r="G10066" s="4" t="str">
        <f>HYPERLINK("https://diaocthongthai.com/xa-my-thuan-hon-dat/","Xã Mỹ Thuận")</f>
        <v>Xã Mỹ Thuận</v>
      </c>
    </row>
    <row r="10067" spans="1:7" x14ac:dyDescent="0.25">
      <c r="A10067" s="2">
        <v>10066</v>
      </c>
      <c r="B10067" s="3" t="s">
        <v>60</v>
      </c>
      <c r="C10067" s="4" t="str">
        <f t="shared" si="909"/>
        <v>Kiên Giang</v>
      </c>
      <c r="D10067" s="3" t="s">
        <v>710</v>
      </c>
      <c r="E10067" s="4" t="str">
        <f t="shared" si="908"/>
        <v>Huyện Hòn Đất</v>
      </c>
      <c r="F10067" s="3" t="s">
        <v>10826</v>
      </c>
      <c r="G10067" s="4" t="str">
        <f>HYPERLINK("https://diaocthongthai.com/xa-linh-huynh-hon-dat/","Xã Lình Huỳnh")</f>
        <v>Xã Lình Huỳnh</v>
      </c>
    </row>
    <row r="10068" spans="1:7" x14ac:dyDescent="0.25">
      <c r="A10068" s="2">
        <v>10067</v>
      </c>
      <c r="B10068" s="3" t="s">
        <v>60</v>
      </c>
      <c r="C10068" s="4" t="str">
        <f t="shared" si="909"/>
        <v>Kiên Giang</v>
      </c>
      <c r="D10068" s="3" t="s">
        <v>710</v>
      </c>
      <c r="E10068" s="4" t="str">
        <f t="shared" si="908"/>
        <v>Huyện Hòn Đất</v>
      </c>
      <c r="F10068" s="3" t="s">
        <v>10827</v>
      </c>
      <c r="G10068" s="4" t="str">
        <f>HYPERLINK("https://diaocthongthai.com/xa-tho-son-hon-dat/","Xã Thổ Sơn")</f>
        <v>Xã Thổ Sơn</v>
      </c>
    </row>
    <row r="10069" spans="1:7" x14ac:dyDescent="0.25">
      <c r="A10069" s="2">
        <v>10068</v>
      </c>
      <c r="B10069" s="3" t="s">
        <v>60</v>
      </c>
      <c r="C10069" s="4" t="str">
        <f t="shared" si="909"/>
        <v>Kiên Giang</v>
      </c>
      <c r="D10069" s="3" t="s">
        <v>710</v>
      </c>
      <c r="E10069" s="4" t="str">
        <f t="shared" si="908"/>
        <v>Huyện Hòn Đất</v>
      </c>
      <c r="F10069" s="3" t="s">
        <v>10828</v>
      </c>
      <c r="G10069" s="4" t="str">
        <f>HYPERLINK("https://diaocthongthai.com/xa-my-lam-hon-dat/","Xã Mỹ Lâm")</f>
        <v>Xã Mỹ Lâm</v>
      </c>
    </row>
    <row r="10070" spans="1:7" x14ac:dyDescent="0.25">
      <c r="A10070" s="2">
        <v>10069</v>
      </c>
      <c r="B10070" s="3" t="s">
        <v>60</v>
      </c>
      <c r="C10070" s="4" t="str">
        <f t="shared" si="909"/>
        <v>Kiên Giang</v>
      </c>
      <c r="D10070" s="3" t="s">
        <v>710</v>
      </c>
      <c r="E10070" s="4" t="str">
        <f t="shared" si="908"/>
        <v>Huyện Hòn Đất</v>
      </c>
      <c r="F10070" s="3" t="s">
        <v>10829</v>
      </c>
      <c r="G10070" s="4" t="str">
        <f>HYPERLINK("https://diaocthongthai.com/xa-my-phuoc-hon-dat/","Xã Mỹ Phước")</f>
        <v>Xã Mỹ Phước</v>
      </c>
    </row>
    <row r="10071" spans="1:7" x14ac:dyDescent="0.25">
      <c r="A10071" s="2">
        <v>10070</v>
      </c>
      <c r="B10071" s="3" t="s">
        <v>60</v>
      </c>
      <c r="C10071" s="4" t="str">
        <f t="shared" si="909"/>
        <v>Kiên Giang</v>
      </c>
      <c r="D10071" s="3" t="s">
        <v>711</v>
      </c>
      <c r="E10071" s="4" t="str">
        <f t="shared" ref="E10071:E10081" si="910">HYPERLINK("https://diaocthongthai.com/ban-do-huyen-tan-hiep-kien-giang/","Huyện Tân Hiệp")</f>
        <v>Huyện Tân Hiệp</v>
      </c>
      <c r="F10071" s="3" t="s">
        <v>10830</v>
      </c>
      <c r="G10071" s="4" t="str">
        <f>HYPERLINK("https://diaocthongthai.com/thi-tran-tan-hiep-tan-hiep/","Thị trấn Tân Hiệp")</f>
        <v>Thị trấn Tân Hiệp</v>
      </c>
    </row>
    <row r="10072" spans="1:7" x14ac:dyDescent="0.25">
      <c r="A10072" s="2">
        <v>10071</v>
      </c>
      <c r="B10072" s="3" t="s">
        <v>60</v>
      </c>
      <c r="C10072" s="4" t="str">
        <f t="shared" si="909"/>
        <v>Kiên Giang</v>
      </c>
      <c r="D10072" s="3" t="s">
        <v>711</v>
      </c>
      <c r="E10072" s="4" t="str">
        <f t="shared" si="910"/>
        <v>Huyện Tân Hiệp</v>
      </c>
      <c r="F10072" s="3" t="s">
        <v>10831</v>
      </c>
      <c r="G10072" s="4" t="str">
        <f>HYPERLINK("https://diaocthongthai.com/xa-tan-hoi-tan-hiep/","Xã Tân Hội")</f>
        <v>Xã Tân Hội</v>
      </c>
    </row>
    <row r="10073" spans="1:7" x14ac:dyDescent="0.25">
      <c r="A10073" s="2">
        <v>10072</v>
      </c>
      <c r="B10073" s="3" t="s">
        <v>60</v>
      </c>
      <c r="C10073" s="4" t="str">
        <f t="shared" si="909"/>
        <v>Kiên Giang</v>
      </c>
      <c r="D10073" s="3" t="s">
        <v>711</v>
      </c>
      <c r="E10073" s="4" t="str">
        <f t="shared" si="910"/>
        <v>Huyện Tân Hiệp</v>
      </c>
      <c r="F10073" s="3" t="s">
        <v>10832</v>
      </c>
      <c r="G10073" s="4" t="str">
        <f>HYPERLINK("https://diaocthongthai.com/xa-tan-thanh-tan-hiep/","Xã Tân Thành")</f>
        <v>Xã Tân Thành</v>
      </c>
    </row>
    <row r="10074" spans="1:7" x14ac:dyDescent="0.25">
      <c r="A10074" s="2">
        <v>10073</v>
      </c>
      <c r="B10074" s="3" t="s">
        <v>60</v>
      </c>
      <c r="C10074" s="4" t="str">
        <f t="shared" si="909"/>
        <v>Kiên Giang</v>
      </c>
      <c r="D10074" s="3" t="s">
        <v>711</v>
      </c>
      <c r="E10074" s="4" t="str">
        <f t="shared" si="910"/>
        <v>Huyện Tân Hiệp</v>
      </c>
      <c r="F10074" s="3" t="s">
        <v>10833</v>
      </c>
      <c r="G10074" s="4" t="str">
        <f>HYPERLINK("https://diaocthongthai.com/xa-tan-hiep-b-tan-hiep/","Xã Tân Hiệp B")</f>
        <v>Xã Tân Hiệp B</v>
      </c>
    </row>
    <row r="10075" spans="1:7" x14ac:dyDescent="0.25">
      <c r="A10075" s="2">
        <v>10074</v>
      </c>
      <c r="B10075" s="3" t="s">
        <v>60</v>
      </c>
      <c r="C10075" s="4" t="str">
        <f t="shared" si="909"/>
        <v>Kiên Giang</v>
      </c>
      <c r="D10075" s="3" t="s">
        <v>711</v>
      </c>
      <c r="E10075" s="4" t="str">
        <f t="shared" si="910"/>
        <v>Huyện Tân Hiệp</v>
      </c>
      <c r="F10075" s="3" t="s">
        <v>10834</v>
      </c>
      <c r="G10075" s="4" t="str">
        <f>HYPERLINK("https://diaocthongthai.com/xa-tan-hoa-tan-hiep/","Xã Tân Hoà")</f>
        <v>Xã Tân Hoà</v>
      </c>
    </row>
    <row r="10076" spans="1:7" x14ac:dyDescent="0.25">
      <c r="A10076" s="2">
        <v>10075</v>
      </c>
      <c r="B10076" s="3" t="s">
        <v>60</v>
      </c>
      <c r="C10076" s="4" t="str">
        <f t="shared" si="909"/>
        <v>Kiên Giang</v>
      </c>
      <c r="D10076" s="3" t="s">
        <v>711</v>
      </c>
      <c r="E10076" s="4" t="str">
        <f t="shared" si="910"/>
        <v>Huyện Tân Hiệp</v>
      </c>
      <c r="F10076" s="3" t="s">
        <v>10835</v>
      </c>
      <c r="G10076" s="4" t="str">
        <f>HYPERLINK("https://diaocthongthai.com/xa-thanh-dong-b-tan-hiep/","Xã Thạnh Đông B")</f>
        <v>Xã Thạnh Đông B</v>
      </c>
    </row>
    <row r="10077" spans="1:7" x14ac:dyDescent="0.25">
      <c r="A10077" s="2">
        <v>10076</v>
      </c>
      <c r="B10077" s="3" t="s">
        <v>60</v>
      </c>
      <c r="C10077" s="4" t="str">
        <f t="shared" si="909"/>
        <v>Kiên Giang</v>
      </c>
      <c r="D10077" s="3" t="s">
        <v>711</v>
      </c>
      <c r="E10077" s="4" t="str">
        <f t="shared" si="910"/>
        <v>Huyện Tân Hiệp</v>
      </c>
      <c r="F10077" s="3" t="s">
        <v>10836</v>
      </c>
      <c r="G10077" s="4" t="str">
        <f>HYPERLINK("https://diaocthongthai.com/xa-thanh-dong-tan-hiep/","Xã Thạnh Đông")</f>
        <v>Xã Thạnh Đông</v>
      </c>
    </row>
    <row r="10078" spans="1:7" x14ac:dyDescent="0.25">
      <c r="A10078" s="2">
        <v>10077</v>
      </c>
      <c r="B10078" s="3" t="s">
        <v>60</v>
      </c>
      <c r="C10078" s="4" t="str">
        <f t="shared" si="909"/>
        <v>Kiên Giang</v>
      </c>
      <c r="D10078" s="3" t="s">
        <v>711</v>
      </c>
      <c r="E10078" s="4" t="str">
        <f t="shared" si="910"/>
        <v>Huyện Tân Hiệp</v>
      </c>
      <c r="F10078" s="3" t="s">
        <v>10837</v>
      </c>
      <c r="G10078" s="4" t="str">
        <f>HYPERLINK("https://diaocthongthai.com/xa-tan-hiep-a-tan-hiep/","Xã Tân Hiệp A")</f>
        <v>Xã Tân Hiệp A</v>
      </c>
    </row>
    <row r="10079" spans="1:7" x14ac:dyDescent="0.25">
      <c r="A10079" s="2">
        <v>10078</v>
      </c>
      <c r="B10079" s="3" t="s">
        <v>60</v>
      </c>
      <c r="C10079" s="4" t="str">
        <f t="shared" si="909"/>
        <v>Kiên Giang</v>
      </c>
      <c r="D10079" s="3" t="s">
        <v>711</v>
      </c>
      <c r="E10079" s="4" t="str">
        <f t="shared" si="910"/>
        <v>Huyện Tân Hiệp</v>
      </c>
      <c r="F10079" s="3" t="s">
        <v>10838</v>
      </c>
      <c r="G10079" s="4" t="str">
        <f>HYPERLINK("https://diaocthongthai.com/xa-tan-an-tan-hiep/","Xã Tân An")</f>
        <v>Xã Tân An</v>
      </c>
    </row>
    <row r="10080" spans="1:7" x14ac:dyDescent="0.25">
      <c r="A10080" s="2">
        <v>10079</v>
      </c>
      <c r="B10080" s="3" t="s">
        <v>60</v>
      </c>
      <c r="C10080" s="4" t="str">
        <f t="shared" si="909"/>
        <v>Kiên Giang</v>
      </c>
      <c r="D10080" s="3" t="s">
        <v>711</v>
      </c>
      <c r="E10080" s="4" t="str">
        <f t="shared" si="910"/>
        <v>Huyện Tân Hiệp</v>
      </c>
      <c r="F10080" s="3" t="s">
        <v>10839</v>
      </c>
      <c r="G10080" s="4" t="str">
        <f>HYPERLINK("https://diaocthongthai.com/xa-thanh-dong-a-tan-hiep/","Xã Thạnh Đông A")</f>
        <v>Xã Thạnh Đông A</v>
      </c>
    </row>
    <row r="10081" spans="1:7" x14ac:dyDescent="0.25">
      <c r="A10081" s="2">
        <v>10080</v>
      </c>
      <c r="B10081" s="3" t="s">
        <v>60</v>
      </c>
      <c r="C10081" s="4" t="str">
        <f t="shared" si="909"/>
        <v>Kiên Giang</v>
      </c>
      <c r="D10081" s="3" t="s">
        <v>711</v>
      </c>
      <c r="E10081" s="4" t="str">
        <f t="shared" si="910"/>
        <v>Huyện Tân Hiệp</v>
      </c>
      <c r="F10081" s="3" t="s">
        <v>10840</v>
      </c>
      <c r="G10081" s="4" t="str">
        <f>HYPERLINK("https://diaocthongthai.com/xa-thanh-tri-tan-hiep/","Xã Thạnh Trị")</f>
        <v>Xã Thạnh Trị</v>
      </c>
    </row>
    <row r="10082" spans="1:7" x14ac:dyDescent="0.25">
      <c r="A10082" s="2">
        <v>10081</v>
      </c>
      <c r="B10082" s="3" t="s">
        <v>60</v>
      </c>
      <c r="C10082" s="4" t="str">
        <f t="shared" si="909"/>
        <v>Kiên Giang</v>
      </c>
      <c r="D10082" s="3" t="s">
        <v>712</v>
      </c>
      <c r="E10082" s="4" t="str">
        <f t="shared" ref="E10082:E10091" si="911">HYPERLINK("https://diaocthongthai.com/ban-do-huyen-chau-thanh-kien-giang/","Huyện Châu Thành")</f>
        <v>Huyện Châu Thành</v>
      </c>
      <c r="F10082" s="3" t="s">
        <v>10841</v>
      </c>
      <c r="G10082" s="4" t="str">
        <f>HYPERLINK("https://diaocthongthai.com/thi-tran-minh-luong-chau-thanh-kien-giang/","Thị trấn Minh Lương")</f>
        <v>Thị trấn Minh Lương</v>
      </c>
    </row>
    <row r="10083" spans="1:7" x14ac:dyDescent="0.25">
      <c r="A10083" s="2">
        <v>10082</v>
      </c>
      <c r="B10083" s="3" t="s">
        <v>60</v>
      </c>
      <c r="C10083" s="4" t="str">
        <f t="shared" si="909"/>
        <v>Kiên Giang</v>
      </c>
      <c r="D10083" s="3" t="s">
        <v>712</v>
      </c>
      <c r="E10083" s="4" t="str">
        <f t="shared" si="911"/>
        <v>Huyện Châu Thành</v>
      </c>
      <c r="F10083" s="3" t="s">
        <v>10842</v>
      </c>
      <c r="G10083" s="4" t="str">
        <f>HYPERLINK("https://diaocthongthai.com/xa-mong-tho-a-chau-thanh-kien-giang/","Xã Mong Thọ A")</f>
        <v>Xã Mong Thọ A</v>
      </c>
    </row>
    <row r="10084" spans="1:7" x14ac:dyDescent="0.25">
      <c r="A10084" s="2">
        <v>10083</v>
      </c>
      <c r="B10084" s="3" t="s">
        <v>60</v>
      </c>
      <c r="C10084" s="4" t="str">
        <f t="shared" si="909"/>
        <v>Kiên Giang</v>
      </c>
      <c r="D10084" s="3" t="s">
        <v>712</v>
      </c>
      <c r="E10084" s="4" t="str">
        <f t="shared" si="911"/>
        <v>Huyện Châu Thành</v>
      </c>
      <c r="F10084" s="3" t="s">
        <v>10843</v>
      </c>
      <c r="G10084" s="4" t="str">
        <f>HYPERLINK("https://diaocthongthai.com/xa-mong-tho-b-chau-thanh-kien-giang/","Xã Mong Thọ B")</f>
        <v>Xã Mong Thọ B</v>
      </c>
    </row>
    <row r="10085" spans="1:7" x14ac:dyDescent="0.25">
      <c r="A10085" s="2">
        <v>10084</v>
      </c>
      <c r="B10085" s="3" t="s">
        <v>60</v>
      </c>
      <c r="C10085" s="4" t="str">
        <f t="shared" si="909"/>
        <v>Kiên Giang</v>
      </c>
      <c r="D10085" s="3" t="s">
        <v>712</v>
      </c>
      <c r="E10085" s="4" t="str">
        <f t="shared" si="911"/>
        <v>Huyện Châu Thành</v>
      </c>
      <c r="F10085" s="3" t="s">
        <v>10844</v>
      </c>
      <c r="G10085" s="4" t="str">
        <f>HYPERLINK("https://diaocthongthai.com/xa-mong-tho-chau-thanh-kien-giang/","Xã Mong Thọ")</f>
        <v>Xã Mong Thọ</v>
      </c>
    </row>
    <row r="10086" spans="1:7" x14ac:dyDescent="0.25">
      <c r="A10086" s="2">
        <v>10085</v>
      </c>
      <c r="B10086" s="3" t="s">
        <v>60</v>
      </c>
      <c r="C10086" s="4" t="str">
        <f t="shared" si="909"/>
        <v>Kiên Giang</v>
      </c>
      <c r="D10086" s="3" t="s">
        <v>712</v>
      </c>
      <c r="E10086" s="4" t="str">
        <f t="shared" si="911"/>
        <v>Huyện Châu Thành</v>
      </c>
      <c r="F10086" s="3" t="s">
        <v>10845</v>
      </c>
      <c r="G10086" s="4" t="str">
        <f>HYPERLINK("https://diaocthongthai.com/xa-giuc-tuong-chau-thanh-kien-giang/","Xã Giục Tượng")</f>
        <v>Xã Giục Tượng</v>
      </c>
    </row>
    <row r="10087" spans="1:7" x14ac:dyDescent="0.25">
      <c r="A10087" s="2">
        <v>10086</v>
      </c>
      <c r="B10087" s="3" t="s">
        <v>60</v>
      </c>
      <c r="C10087" s="4" t="str">
        <f t="shared" si="909"/>
        <v>Kiên Giang</v>
      </c>
      <c r="D10087" s="3" t="s">
        <v>712</v>
      </c>
      <c r="E10087" s="4" t="str">
        <f t="shared" si="911"/>
        <v>Huyện Châu Thành</v>
      </c>
      <c r="F10087" s="3" t="s">
        <v>10846</v>
      </c>
      <c r="G10087" s="4" t="str">
        <f>HYPERLINK("https://diaocthongthai.com/xa-vinh-hoa-hiep-chau-thanh-kien-giang/","Xã Vĩnh Hòa Hiệp")</f>
        <v>Xã Vĩnh Hòa Hiệp</v>
      </c>
    </row>
    <row r="10088" spans="1:7" x14ac:dyDescent="0.25">
      <c r="A10088" s="2">
        <v>10087</v>
      </c>
      <c r="B10088" s="3" t="s">
        <v>60</v>
      </c>
      <c r="C10088" s="4" t="str">
        <f t="shared" si="909"/>
        <v>Kiên Giang</v>
      </c>
      <c r="D10088" s="3" t="s">
        <v>712</v>
      </c>
      <c r="E10088" s="4" t="str">
        <f t="shared" si="911"/>
        <v>Huyện Châu Thành</v>
      </c>
      <c r="F10088" s="3" t="s">
        <v>10847</v>
      </c>
      <c r="G10088" s="4" t="str">
        <f>HYPERLINK("https://diaocthongthai.com/xa-vinh-hoa-phu-chau-thanh-kien-giang/","Xã Vĩnh Hoà Phú")</f>
        <v>Xã Vĩnh Hoà Phú</v>
      </c>
    </row>
    <row r="10089" spans="1:7" x14ac:dyDescent="0.25">
      <c r="A10089" s="2">
        <v>10088</v>
      </c>
      <c r="B10089" s="3" t="s">
        <v>60</v>
      </c>
      <c r="C10089" s="4" t="str">
        <f t="shared" si="909"/>
        <v>Kiên Giang</v>
      </c>
      <c r="D10089" s="3" t="s">
        <v>712</v>
      </c>
      <c r="E10089" s="4" t="str">
        <f t="shared" si="911"/>
        <v>Huyện Châu Thành</v>
      </c>
      <c r="F10089" s="3" t="s">
        <v>10848</v>
      </c>
      <c r="G10089" s="4" t="str">
        <f>HYPERLINK("https://diaocthongthai.com/xa-minh-hoa-chau-thanh-kien-giang/","Xã Minh Hòa")</f>
        <v>Xã Minh Hòa</v>
      </c>
    </row>
    <row r="10090" spans="1:7" x14ac:dyDescent="0.25">
      <c r="A10090" s="2">
        <v>10089</v>
      </c>
      <c r="B10090" s="3" t="s">
        <v>60</v>
      </c>
      <c r="C10090" s="4" t="str">
        <f t="shared" si="909"/>
        <v>Kiên Giang</v>
      </c>
      <c r="D10090" s="3" t="s">
        <v>712</v>
      </c>
      <c r="E10090" s="4" t="str">
        <f t="shared" si="911"/>
        <v>Huyện Châu Thành</v>
      </c>
      <c r="F10090" s="3" t="s">
        <v>10849</v>
      </c>
      <c r="G10090" s="4" t="str">
        <f>HYPERLINK("https://diaocthongthai.com/xa-binh-an-chau-thanh-kien-giang/","Xã Bình An")</f>
        <v>Xã Bình An</v>
      </c>
    </row>
    <row r="10091" spans="1:7" x14ac:dyDescent="0.25">
      <c r="A10091" s="2">
        <v>10090</v>
      </c>
      <c r="B10091" s="3" t="s">
        <v>60</v>
      </c>
      <c r="C10091" s="4" t="str">
        <f t="shared" si="909"/>
        <v>Kiên Giang</v>
      </c>
      <c r="D10091" s="3" t="s">
        <v>712</v>
      </c>
      <c r="E10091" s="4" t="str">
        <f t="shared" si="911"/>
        <v>Huyện Châu Thành</v>
      </c>
      <c r="F10091" s="3" t="s">
        <v>10850</v>
      </c>
      <c r="G10091" s="4" t="str">
        <f>HYPERLINK("https://diaocthongthai.com/xa-thanh-loc-chau-thanh-kien-giang/","Xã Thạnh Lộc")</f>
        <v>Xã Thạnh Lộc</v>
      </c>
    </row>
    <row r="10092" spans="1:7" x14ac:dyDescent="0.25">
      <c r="A10092" s="2">
        <v>10091</v>
      </c>
      <c r="B10092" s="3" t="s">
        <v>60</v>
      </c>
      <c r="C10092" s="4" t="str">
        <f t="shared" si="909"/>
        <v>Kiên Giang</v>
      </c>
      <c r="D10092" s="3" t="s">
        <v>713</v>
      </c>
      <c r="E10092" s="4" t="str">
        <f t="shared" ref="E10092:E10110" si="912">HYPERLINK("https://diaocthongthai.com/ban-do-huyen-giong-rieng-kien-giang/","Huyện Giồng Riềng")</f>
        <v>Huyện Giồng Riềng</v>
      </c>
      <c r="F10092" s="3" t="s">
        <v>10851</v>
      </c>
      <c r="G10092" s="4" t="str">
        <f>HYPERLINK("https://diaocthongthai.com/thi-tran-giong-rieng-giong-rieng/","Thị Trấn Giồng Riềng")</f>
        <v>Thị Trấn Giồng Riềng</v>
      </c>
    </row>
    <row r="10093" spans="1:7" x14ac:dyDescent="0.25">
      <c r="A10093" s="2">
        <v>10092</v>
      </c>
      <c r="B10093" s="3" t="s">
        <v>60</v>
      </c>
      <c r="C10093" s="4" t="str">
        <f t="shared" si="909"/>
        <v>Kiên Giang</v>
      </c>
      <c r="D10093" s="3" t="s">
        <v>713</v>
      </c>
      <c r="E10093" s="4" t="str">
        <f t="shared" si="912"/>
        <v>Huyện Giồng Riềng</v>
      </c>
      <c r="F10093" s="3" t="s">
        <v>10852</v>
      </c>
      <c r="G10093" s="4" t="str">
        <f>HYPERLINK("https://diaocthongthai.com/xa-thanh-hung-giong-rieng/","Xã Thạnh Hưng")</f>
        <v>Xã Thạnh Hưng</v>
      </c>
    </row>
    <row r="10094" spans="1:7" x14ac:dyDescent="0.25">
      <c r="A10094" s="2">
        <v>10093</v>
      </c>
      <c r="B10094" s="3" t="s">
        <v>60</v>
      </c>
      <c r="C10094" s="4" t="str">
        <f t="shared" ref="C10094:C10125" si="913">HYPERLINK("https://diaocthongthai.com/ban-do-kien-giang/","Kiên Giang")</f>
        <v>Kiên Giang</v>
      </c>
      <c r="D10094" s="3" t="s">
        <v>713</v>
      </c>
      <c r="E10094" s="4" t="str">
        <f t="shared" si="912"/>
        <v>Huyện Giồng Riềng</v>
      </c>
      <c r="F10094" s="3" t="s">
        <v>10853</v>
      </c>
      <c r="G10094" s="4" t="str">
        <f>HYPERLINK("https://diaocthongthai.com/xa-thanh-phuoc-giong-rieng/","Xã Thạnh Phước")</f>
        <v>Xã Thạnh Phước</v>
      </c>
    </row>
    <row r="10095" spans="1:7" x14ac:dyDescent="0.25">
      <c r="A10095" s="2">
        <v>10094</v>
      </c>
      <c r="B10095" s="3" t="s">
        <v>60</v>
      </c>
      <c r="C10095" s="4" t="str">
        <f t="shared" si="913"/>
        <v>Kiên Giang</v>
      </c>
      <c r="D10095" s="3" t="s">
        <v>713</v>
      </c>
      <c r="E10095" s="4" t="str">
        <f t="shared" si="912"/>
        <v>Huyện Giồng Riềng</v>
      </c>
      <c r="F10095" s="3" t="s">
        <v>10854</v>
      </c>
      <c r="G10095" s="4" t="str">
        <f>HYPERLINK("https://diaocthongthai.com/xa-thanh-loc-giong-rieng/","Xã Thạnh Lộc")</f>
        <v>Xã Thạnh Lộc</v>
      </c>
    </row>
    <row r="10096" spans="1:7" x14ac:dyDescent="0.25">
      <c r="A10096" s="2">
        <v>10095</v>
      </c>
      <c r="B10096" s="3" t="s">
        <v>60</v>
      </c>
      <c r="C10096" s="4" t="str">
        <f t="shared" si="913"/>
        <v>Kiên Giang</v>
      </c>
      <c r="D10096" s="3" t="s">
        <v>713</v>
      </c>
      <c r="E10096" s="4" t="str">
        <f t="shared" si="912"/>
        <v>Huyện Giồng Riềng</v>
      </c>
      <c r="F10096" s="3" t="s">
        <v>10855</v>
      </c>
      <c r="G10096" s="4" t="str">
        <f>HYPERLINK("https://diaocthongthai.com/xa-thanh-hoa-giong-rieng/","Xã Thạnh Hòa")</f>
        <v>Xã Thạnh Hòa</v>
      </c>
    </row>
    <row r="10097" spans="1:7" x14ac:dyDescent="0.25">
      <c r="A10097" s="2">
        <v>10096</v>
      </c>
      <c r="B10097" s="3" t="s">
        <v>60</v>
      </c>
      <c r="C10097" s="4" t="str">
        <f t="shared" si="913"/>
        <v>Kiên Giang</v>
      </c>
      <c r="D10097" s="3" t="s">
        <v>713</v>
      </c>
      <c r="E10097" s="4" t="str">
        <f t="shared" si="912"/>
        <v>Huyện Giồng Riềng</v>
      </c>
      <c r="F10097" s="3" t="s">
        <v>10856</v>
      </c>
      <c r="G10097" s="4" t="str">
        <f>HYPERLINK("https://diaocthongthai.com/xa-thanh-binh-giong-rieng/","Xã Thạnh Bình")</f>
        <v>Xã Thạnh Bình</v>
      </c>
    </row>
    <row r="10098" spans="1:7" x14ac:dyDescent="0.25">
      <c r="A10098" s="2">
        <v>10097</v>
      </c>
      <c r="B10098" s="3" t="s">
        <v>60</v>
      </c>
      <c r="C10098" s="4" t="str">
        <f t="shared" si="913"/>
        <v>Kiên Giang</v>
      </c>
      <c r="D10098" s="3" t="s">
        <v>713</v>
      </c>
      <c r="E10098" s="4" t="str">
        <f t="shared" si="912"/>
        <v>Huyện Giồng Riềng</v>
      </c>
      <c r="F10098" s="3" t="s">
        <v>10857</v>
      </c>
      <c r="G10098" s="4" t="str">
        <f>HYPERLINK("https://diaocthongthai.com/xa-ban-thach-giong-rieng/","Xã Bàn Thạch")</f>
        <v>Xã Bàn Thạch</v>
      </c>
    </row>
    <row r="10099" spans="1:7" x14ac:dyDescent="0.25">
      <c r="A10099" s="2">
        <v>10098</v>
      </c>
      <c r="B10099" s="3" t="s">
        <v>60</v>
      </c>
      <c r="C10099" s="4" t="str">
        <f t="shared" si="913"/>
        <v>Kiên Giang</v>
      </c>
      <c r="D10099" s="3" t="s">
        <v>713</v>
      </c>
      <c r="E10099" s="4" t="str">
        <f t="shared" si="912"/>
        <v>Huyện Giồng Riềng</v>
      </c>
      <c r="F10099" s="3" t="s">
        <v>10858</v>
      </c>
      <c r="G10099" s="4" t="str">
        <f>HYPERLINK("https://diaocthongthai.com/xa-ban-tan-dinh-giong-rieng/","Xã Bàn Tân Định")</f>
        <v>Xã Bàn Tân Định</v>
      </c>
    </row>
    <row r="10100" spans="1:7" x14ac:dyDescent="0.25">
      <c r="A10100" s="2">
        <v>10099</v>
      </c>
      <c r="B10100" s="3" t="s">
        <v>60</v>
      </c>
      <c r="C10100" s="4" t="str">
        <f t="shared" si="913"/>
        <v>Kiên Giang</v>
      </c>
      <c r="D10100" s="3" t="s">
        <v>713</v>
      </c>
      <c r="E10100" s="4" t="str">
        <f t="shared" si="912"/>
        <v>Huyện Giồng Riềng</v>
      </c>
      <c r="F10100" s="3" t="s">
        <v>10859</v>
      </c>
      <c r="G10100" s="4" t="str">
        <f>HYPERLINK("https://diaocthongthai.com/xa-ngoc-thanh-giong-rieng/","Xã Ngọc Thành")</f>
        <v>Xã Ngọc Thành</v>
      </c>
    </row>
    <row r="10101" spans="1:7" x14ac:dyDescent="0.25">
      <c r="A10101" s="2">
        <v>10100</v>
      </c>
      <c r="B10101" s="3" t="s">
        <v>60</v>
      </c>
      <c r="C10101" s="4" t="str">
        <f t="shared" si="913"/>
        <v>Kiên Giang</v>
      </c>
      <c r="D10101" s="3" t="s">
        <v>713</v>
      </c>
      <c r="E10101" s="4" t="str">
        <f t="shared" si="912"/>
        <v>Huyện Giồng Riềng</v>
      </c>
      <c r="F10101" s="3" t="s">
        <v>10860</v>
      </c>
      <c r="G10101" s="4" t="str">
        <f>HYPERLINK("https://diaocthongthai.com/xa-ngoc-chuc-giong-rieng/","Xã Ngọc Chúc")</f>
        <v>Xã Ngọc Chúc</v>
      </c>
    </row>
    <row r="10102" spans="1:7" x14ac:dyDescent="0.25">
      <c r="A10102" s="2">
        <v>10101</v>
      </c>
      <c r="B10102" s="3" t="s">
        <v>60</v>
      </c>
      <c r="C10102" s="4" t="str">
        <f t="shared" si="913"/>
        <v>Kiên Giang</v>
      </c>
      <c r="D10102" s="3" t="s">
        <v>713</v>
      </c>
      <c r="E10102" s="4" t="str">
        <f t="shared" si="912"/>
        <v>Huyện Giồng Riềng</v>
      </c>
      <c r="F10102" s="3" t="s">
        <v>10861</v>
      </c>
      <c r="G10102" s="4" t="str">
        <f>HYPERLINK("https://diaocthongthai.com/xa-ngoc-thuan-giong-rieng/","Xã Ngọc Thuận")</f>
        <v>Xã Ngọc Thuận</v>
      </c>
    </row>
    <row r="10103" spans="1:7" x14ac:dyDescent="0.25">
      <c r="A10103" s="2">
        <v>10102</v>
      </c>
      <c r="B10103" s="3" t="s">
        <v>60</v>
      </c>
      <c r="C10103" s="4" t="str">
        <f t="shared" si="913"/>
        <v>Kiên Giang</v>
      </c>
      <c r="D10103" s="3" t="s">
        <v>713</v>
      </c>
      <c r="E10103" s="4" t="str">
        <f t="shared" si="912"/>
        <v>Huyện Giồng Riềng</v>
      </c>
      <c r="F10103" s="3" t="s">
        <v>10862</v>
      </c>
      <c r="G10103" s="4" t="str">
        <f>HYPERLINK("https://diaocthongthai.com/xa-hoa-hung-giong-rieng/","Xã Hòa Hưng")</f>
        <v>Xã Hòa Hưng</v>
      </c>
    </row>
    <row r="10104" spans="1:7" x14ac:dyDescent="0.25">
      <c r="A10104" s="2">
        <v>10103</v>
      </c>
      <c r="B10104" s="3" t="s">
        <v>60</v>
      </c>
      <c r="C10104" s="4" t="str">
        <f t="shared" si="913"/>
        <v>Kiên Giang</v>
      </c>
      <c r="D10104" s="3" t="s">
        <v>713</v>
      </c>
      <c r="E10104" s="4" t="str">
        <f t="shared" si="912"/>
        <v>Huyện Giồng Riềng</v>
      </c>
      <c r="F10104" s="3" t="s">
        <v>10863</v>
      </c>
      <c r="G10104" s="4" t="str">
        <f>HYPERLINK("https://diaocthongthai.com/xa-hoa-loi-giong-rieng/","Xã Hoà Lợi")</f>
        <v>Xã Hoà Lợi</v>
      </c>
    </row>
    <row r="10105" spans="1:7" x14ac:dyDescent="0.25">
      <c r="A10105" s="2">
        <v>10104</v>
      </c>
      <c r="B10105" s="3" t="s">
        <v>60</v>
      </c>
      <c r="C10105" s="4" t="str">
        <f t="shared" si="913"/>
        <v>Kiên Giang</v>
      </c>
      <c r="D10105" s="3" t="s">
        <v>713</v>
      </c>
      <c r="E10105" s="4" t="str">
        <f t="shared" si="912"/>
        <v>Huyện Giồng Riềng</v>
      </c>
      <c r="F10105" s="3" t="s">
        <v>10864</v>
      </c>
      <c r="G10105" s="4" t="str">
        <f>HYPERLINK("https://diaocthongthai.com/xa-hoa-an-giong-rieng/","Xã Hoà An")</f>
        <v>Xã Hoà An</v>
      </c>
    </row>
    <row r="10106" spans="1:7" x14ac:dyDescent="0.25">
      <c r="A10106" s="2">
        <v>10105</v>
      </c>
      <c r="B10106" s="3" t="s">
        <v>60</v>
      </c>
      <c r="C10106" s="4" t="str">
        <f t="shared" si="913"/>
        <v>Kiên Giang</v>
      </c>
      <c r="D10106" s="3" t="s">
        <v>713</v>
      </c>
      <c r="E10106" s="4" t="str">
        <f t="shared" si="912"/>
        <v>Huyện Giồng Riềng</v>
      </c>
      <c r="F10106" s="3" t="s">
        <v>10865</v>
      </c>
      <c r="G10106" s="4" t="str">
        <f>HYPERLINK("https://diaocthongthai.com/xa-long-thanh-giong-rieng/","Xã Long Thạnh")</f>
        <v>Xã Long Thạnh</v>
      </c>
    </row>
    <row r="10107" spans="1:7" x14ac:dyDescent="0.25">
      <c r="A10107" s="2">
        <v>10106</v>
      </c>
      <c r="B10107" s="3" t="s">
        <v>60</v>
      </c>
      <c r="C10107" s="4" t="str">
        <f t="shared" si="913"/>
        <v>Kiên Giang</v>
      </c>
      <c r="D10107" s="3" t="s">
        <v>713</v>
      </c>
      <c r="E10107" s="4" t="str">
        <f t="shared" si="912"/>
        <v>Huyện Giồng Riềng</v>
      </c>
      <c r="F10107" s="3" t="s">
        <v>10866</v>
      </c>
      <c r="G10107" s="4" t="str">
        <f>HYPERLINK("https://diaocthongthai.com/xa-vinh-thanh-giong-rieng/","Xã Vĩnh Thạnh")</f>
        <v>Xã Vĩnh Thạnh</v>
      </c>
    </row>
    <row r="10108" spans="1:7" x14ac:dyDescent="0.25">
      <c r="A10108" s="2">
        <v>10107</v>
      </c>
      <c r="B10108" s="3" t="s">
        <v>60</v>
      </c>
      <c r="C10108" s="4" t="str">
        <f t="shared" si="913"/>
        <v>Kiên Giang</v>
      </c>
      <c r="D10108" s="3" t="s">
        <v>713</v>
      </c>
      <c r="E10108" s="4" t="str">
        <f t="shared" si="912"/>
        <v>Huyện Giồng Riềng</v>
      </c>
      <c r="F10108" s="3" t="s">
        <v>10867</v>
      </c>
      <c r="G10108" s="4" t="str">
        <f>HYPERLINK("https://diaocthongthai.com/xa-vinh-phu-giong-rieng/","Xã Vĩnh Phú")</f>
        <v>Xã Vĩnh Phú</v>
      </c>
    </row>
    <row r="10109" spans="1:7" x14ac:dyDescent="0.25">
      <c r="A10109" s="2">
        <v>10108</v>
      </c>
      <c r="B10109" s="3" t="s">
        <v>60</v>
      </c>
      <c r="C10109" s="4" t="str">
        <f t="shared" si="913"/>
        <v>Kiên Giang</v>
      </c>
      <c r="D10109" s="3" t="s">
        <v>713</v>
      </c>
      <c r="E10109" s="4" t="str">
        <f t="shared" si="912"/>
        <v>Huyện Giồng Riềng</v>
      </c>
      <c r="F10109" s="3" t="s">
        <v>10868</v>
      </c>
      <c r="G10109" s="4" t="str">
        <f>HYPERLINK("https://diaocthongthai.com/xa-hoa-thuan-giong-rieng/","Xã  Hòa Thuận")</f>
        <v>Xã  Hòa Thuận</v>
      </c>
    </row>
    <row r="10110" spans="1:7" x14ac:dyDescent="0.25">
      <c r="A10110" s="2">
        <v>10109</v>
      </c>
      <c r="B10110" s="3" t="s">
        <v>60</v>
      </c>
      <c r="C10110" s="4" t="str">
        <f t="shared" si="913"/>
        <v>Kiên Giang</v>
      </c>
      <c r="D10110" s="3" t="s">
        <v>713</v>
      </c>
      <c r="E10110" s="4" t="str">
        <f t="shared" si="912"/>
        <v>Huyện Giồng Riềng</v>
      </c>
      <c r="F10110" s="3" t="s">
        <v>10869</v>
      </c>
      <c r="G10110" s="4" t="str">
        <f>HYPERLINK("https://diaocthongthai.com/xa-ngoc-hoa-giong-rieng/","Xã Ngọc Hoà")</f>
        <v>Xã Ngọc Hoà</v>
      </c>
    </row>
    <row r="10111" spans="1:7" x14ac:dyDescent="0.25">
      <c r="A10111" s="2">
        <v>10110</v>
      </c>
      <c r="B10111" s="3" t="s">
        <v>60</v>
      </c>
      <c r="C10111" s="4" t="str">
        <f t="shared" si="913"/>
        <v>Kiên Giang</v>
      </c>
      <c r="D10111" s="3" t="s">
        <v>714</v>
      </c>
      <c r="E10111" s="4" t="str">
        <f t="shared" ref="E10111:E10121" si="914">HYPERLINK("https://diaocthongthai.com/ban-do-huyen-go-quao-kien-giang/","Huyện Gò Quao")</f>
        <v>Huyện Gò Quao</v>
      </c>
      <c r="F10111" s="3" t="s">
        <v>10870</v>
      </c>
      <c r="G10111" s="4" t="str">
        <f>HYPERLINK("https://diaocthongthai.com/thi-tran-go-quao-go-quao/","Thị trấn Gò Quao")</f>
        <v>Thị trấn Gò Quao</v>
      </c>
    </row>
    <row r="10112" spans="1:7" x14ac:dyDescent="0.25">
      <c r="A10112" s="2">
        <v>10111</v>
      </c>
      <c r="B10112" s="3" t="s">
        <v>60</v>
      </c>
      <c r="C10112" s="4" t="str">
        <f t="shared" si="913"/>
        <v>Kiên Giang</v>
      </c>
      <c r="D10112" s="3" t="s">
        <v>714</v>
      </c>
      <c r="E10112" s="4" t="str">
        <f t="shared" si="914"/>
        <v>Huyện Gò Quao</v>
      </c>
      <c r="F10112" s="3" t="s">
        <v>10871</v>
      </c>
      <c r="G10112" s="4" t="str">
        <f>HYPERLINK("https://diaocthongthai.com/xa-vinh-hoa-hung-bac-go-quao/","Xã Vĩnh Hòa Hưng Bắc")</f>
        <v>Xã Vĩnh Hòa Hưng Bắc</v>
      </c>
    </row>
    <row r="10113" spans="1:7" x14ac:dyDescent="0.25">
      <c r="A10113" s="2">
        <v>10112</v>
      </c>
      <c r="B10113" s="3" t="s">
        <v>60</v>
      </c>
      <c r="C10113" s="4" t="str">
        <f t="shared" si="913"/>
        <v>Kiên Giang</v>
      </c>
      <c r="D10113" s="3" t="s">
        <v>714</v>
      </c>
      <c r="E10113" s="4" t="str">
        <f t="shared" si="914"/>
        <v>Huyện Gò Quao</v>
      </c>
      <c r="F10113" s="3" t="s">
        <v>10872</v>
      </c>
      <c r="G10113" s="4" t="str">
        <f>HYPERLINK("https://diaocthongthai.com/xa-dinh-hoa-go-quao/","Xã Định Hòa")</f>
        <v>Xã Định Hòa</v>
      </c>
    </row>
    <row r="10114" spans="1:7" x14ac:dyDescent="0.25">
      <c r="A10114" s="2">
        <v>10113</v>
      </c>
      <c r="B10114" s="3" t="s">
        <v>60</v>
      </c>
      <c r="C10114" s="4" t="str">
        <f t="shared" si="913"/>
        <v>Kiên Giang</v>
      </c>
      <c r="D10114" s="3" t="s">
        <v>714</v>
      </c>
      <c r="E10114" s="4" t="str">
        <f t="shared" si="914"/>
        <v>Huyện Gò Quao</v>
      </c>
      <c r="F10114" s="3" t="s">
        <v>10873</v>
      </c>
      <c r="G10114" s="4" t="str">
        <f>HYPERLINK("https://diaocthongthai.com/xa-thoi-quan-go-quao/","Xã Thới Quản")</f>
        <v>Xã Thới Quản</v>
      </c>
    </row>
    <row r="10115" spans="1:7" x14ac:dyDescent="0.25">
      <c r="A10115" s="2">
        <v>10114</v>
      </c>
      <c r="B10115" s="3" t="s">
        <v>60</v>
      </c>
      <c r="C10115" s="4" t="str">
        <f t="shared" si="913"/>
        <v>Kiên Giang</v>
      </c>
      <c r="D10115" s="3" t="s">
        <v>714</v>
      </c>
      <c r="E10115" s="4" t="str">
        <f t="shared" si="914"/>
        <v>Huyện Gò Quao</v>
      </c>
      <c r="F10115" s="3" t="s">
        <v>10874</v>
      </c>
      <c r="G10115" s="4" t="str">
        <f>HYPERLINK("https://diaocthongthai.com/xa-dinh-an-go-quao/","Xã Định An")</f>
        <v>Xã Định An</v>
      </c>
    </row>
    <row r="10116" spans="1:7" x14ac:dyDescent="0.25">
      <c r="A10116" s="2">
        <v>10115</v>
      </c>
      <c r="B10116" s="3" t="s">
        <v>60</v>
      </c>
      <c r="C10116" s="4" t="str">
        <f t="shared" si="913"/>
        <v>Kiên Giang</v>
      </c>
      <c r="D10116" s="3" t="s">
        <v>714</v>
      </c>
      <c r="E10116" s="4" t="str">
        <f t="shared" si="914"/>
        <v>Huyện Gò Quao</v>
      </c>
      <c r="F10116" s="3" t="s">
        <v>10875</v>
      </c>
      <c r="G10116" s="4" t="str">
        <f>HYPERLINK("https://diaocthongthai.com/xa-thuy-lieu-go-quao/","Xã Thủy Liễu")</f>
        <v>Xã Thủy Liễu</v>
      </c>
    </row>
    <row r="10117" spans="1:7" x14ac:dyDescent="0.25">
      <c r="A10117" s="2">
        <v>10116</v>
      </c>
      <c r="B10117" s="3" t="s">
        <v>60</v>
      </c>
      <c r="C10117" s="4" t="str">
        <f t="shared" si="913"/>
        <v>Kiên Giang</v>
      </c>
      <c r="D10117" s="3" t="s">
        <v>714</v>
      </c>
      <c r="E10117" s="4" t="str">
        <f t="shared" si="914"/>
        <v>Huyện Gò Quao</v>
      </c>
      <c r="F10117" s="3" t="s">
        <v>10876</v>
      </c>
      <c r="G10117" s="4" t="str">
        <f>HYPERLINK("https://diaocthongthai.com/xa-vinh-hoa-hung-nam-go-quao/","Xã Vĩnh Hòa Hưng Nam")</f>
        <v>Xã Vĩnh Hòa Hưng Nam</v>
      </c>
    </row>
    <row r="10118" spans="1:7" x14ac:dyDescent="0.25">
      <c r="A10118" s="2">
        <v>10117</v>
      </c>
      <c r="B10118" s="3" t="s">
        <v>60</v>
      </c>
      <c r="C10118" s="4" t="str">
        <f t="shared" si="913"/>
        <v>Kiên Giang</v>
      </c>
      <c r="D10118" s="3" t="s">
        <v>714</v>
      </c>
      <c r="E10118" s="4" t="str">
        <f t="shared" si="914"/>
        <v>Huyện Gò Quao</v>
      </c>
      <c r="F10118" s="3" t="s">
        <v>10877</v>
      </c>
      <c r="G10118" s="4" t="str">
        <f>HYPERLINK("https://diaocthongthai.com/xa-vinh-phuoc-a-go-quao/","Xã Vĩnh Phước A")</f>
        <v>Xã Vĩnh Phước A</v>
      </c>
    </row>
    <row r="10119" spans="1:7" x14ac:dyDescent="0.25">
      <c r="A10119" s="2">
        <v>10118</v>
      </c>
      <c r="B10119" s="3" t="s">
        <v>60</v>
      </c>
      <c r="C10119" s="4" t="str">
        <f t="shared" si="913"/>
        <v>Kiên Giang</v>
      </c>
      <c r="D10119" s="3" t="s">
        <v>714</v>
      </c>
      <c r="E10119" s="4" t="str">
        <f t="shared" si="914"/>
        <v>Huyện Gò Quao</v>
      </c>
      <c r="F10119" s="3" t="s">
        <v>10878</v>
      </c>
      <c r="G10119" s="4" t="str">
        <f>HYPERLINK("https://diaocthongthai.com/xa-vinh-phuoc-b-go-quao/","Xã Vĩnh Phước B")</f>
        <v>Xã Vĩnh Phước B</v>
      </c>
    </row>
    <row r="10120" spans="1:7" x14ac:dyDescent="0.25">
      <c r="A10120" s="2">
        <v>10119</v>
      </c>
      <c r="B10120" s="3" t="s">
        <v>60</v>
      </c>
      <c r="C10120" s="4" t="str">
        <f t="shared" si="913"/>
        <v>Kiên Giang</v>
      </c>
      <c r="D10120" s="3" t="s">
        <v>714</v>
      </c>
      <c r="E10120" s="4" t="str">
        <f t="shared" si="914"/>
        <v>Huyện Gò Quao</v>
      </c>
      <c r="F10120" s="3" t="s">
        <v>10879</v>
      </c>
      <c r="G10120" s="4" t="str">
        <f>HYPERLINK("https://diaocthongthai.com/xa-vinh-tuy-go-quao/","Xã Vĩnh Tuy")</f>
        <v>Xã Vĩnh Tuy</v>
      </c>
    </row>
    <row r="10121" spans="1:7" x14ac:dyDescent="0.25">
      <c r="A10121" s="2">
        <v>10120</v>
      </c>
      <c r="B10121" s="3" t="s">
        <v>60</v>
      </c>
      <c r="C10121" s="4" t="str">
        <f t="shared" si="913"/>
        <v>Kiên Giang</v>
      </c>
      <c r="D10121" s="3" t="s">
        <v>714</v>
      </c>
      <c r="E10121" s="4" t="str">
        <f t="shared" si="914"/>
        <v>Huyện Gò Quao</v>
      </c>
      <c r="F10121" s="3" t="s">
        <v>10880</v>
      </c>
      <c r="G10121" s="4" t="str">
        <f>HYPERLINK("https://diaocthongthai.com/xa-vinh-thang-go-quao/","Xã Vĩnh Thắng")</f>
        <v>Xã Vĩnh Thắng</v>
      </c>
    </row>
    <row r="10122" spans="1:7" x14ac:dyDescent="0.25">
      <c r="A10122" s="2">
        <v>10121</v>
      </c>
      <c r="B10122" s="3" t="s">
        <v>60</v>
      </c>
      <c r="C10122" s="4" t="str">
        <f t="shared" si="913"/>
        <v>Kiên Giang</v>
      </c>
      <c r="D10122" s="3" t="s">
        <v>715</v>
      </c>
      <c r="E10122" s="4" t="str">
        <f t="shared" ref="E10122:E10130" si="915">HYPERLINK("https://diaocthongthai.com/ban-do-huyen-an-bien-kien-giang/","Huyện An Biên")</f>
        <v>Huyện An Biên</v>
      </c>
      <c r="F10122" s="3" t="s">
        <v>10881</v>
      </c>
      <c r="G10122" s="4" t="str">
        <f>HYPERLINK("https://diaocthongthai.com/thi-tran-thu-ba-an-bien/","Thị trấn Thứ Ba")</f>
        <v>Thị trấn Thứ Ba</v>
      </c>
    </row>
    <row r="10123" spans="1:7" x14ac:dyDescent="0.25">
      <c r="A10123" s="2">
        <v>10122</v>
      </c>
      <c r="B10123" s="3" t="s">
        <v>60</v>
      </c>
      <c r="C10123" s="4" t="str">
        <f t="shared" si="913"/>
        <v>Kiên Giang</v>
      </c>
      <c r="D10123" s="3" t="s">
        <v>715</v>
      </c>
      <c r="E10123" s="4" t="str">
        <f t="shared" si="915"/>
        <v>Huyện An Biên</v>
      </c>
      <c r="F10123" s="3" t="s">
        <v>10882</v>
      </c>
      <c r="G10123" s="4" t="str">
        <f>HYPERLINK("https://diaocthongthai.com/xa-tay-yen-an-bien/","Xã Tây Yên")</f>
        <v>Xã Tây Yên</v>
      </c>
    </row>
    <row r="10124" spans="1:7" x14ac:dyDescent="0.25">
      <c r="A10124" s="2">
        <v>10123</v>
      </c>
      <c r="B10124" s="3" t="s">
        <v>60</v>
      </c>
      <c r="C10124" s="4" t="str">
        <f t="shared" si="913"/>
        <v>Kiên Giang</v>
      </c>
      <c r="D10124" s="3" t="s">
        <v>715</v>
      </c>
      <c r="E10124" s="4" t="str">
        <f t="shared" si="915"/>
        <v>Huyện An Biên</v>
      </c>
      <c r="F10124" s="3" t="s">
        <v>10883</v>
      </c>
      <c r="G10124" s="4" t="str">
        <f>HYPERLINK("https://diaocthongthai.com/xa-tay-yen-a-an-bien/","Xã Tây Yên A")</f>
        <v>Xã Tây Yên A</v>
      </c>
    </row>
    <row r="10125" spans="1:7" x14ac:dyDescent="0.25">
      <c r="A10125" s="2">
        <v>10124</v>
      </c>
      <c r="B10125" s="3" t="s">
        <v>60</v>
      </c>
      <c r="C10125" s="4" t="str">
        <f t="shared" si="913"/>
        <v>Kiên Giang</v>
      </c>
      <c r="D10125" s="3" t="s">
        <v>715</v>
      </c>
      <c r="E10125" s="4" t="str">
        <f t="shared" si="915"/>
        <v>Huyện An Biên</v>
      </c>
      <c r="F10125" s="3" t="s">
        <v>10884</v>
      </c>
      <c r="G10125" s="4" t="str">
        <f>HYPERLINK("https://diaocthongthai.com/xa-nam-yen-an-bien/","Xã Nam Yên")</f>
        <v>Xã Nam Yên</v>
      </c>
    </row>
    <row r="10126" spans="1:7" x14ac:dyDescent="0.25">
      <c r="A10126" s="2">
        <v>10125</v>
      </c>
      <c r="B10126" s="3" t="s">
        <v>60</v>
      </c>
      <c r="C10126" s="4" t="str">
        <f t="shared" ref="C10126:C10157" si="916">HYPERLINK("https://diaocthongthai.com/ban-do-kien-giang/","Kiên Giang")</f>
        <v>Kiên Giang</v>
      </c>
      <c r="D10126" s="3" t="s">
        <v>715</v>
      </c>
      <c r="E10126" s="4" t="str">
        <f t="shared" si="915"/>
        <v>Huyện An Biên</v>
      </c>
      <c r="F10126" s="3" t="s">
        <v>10885</v>
      </c>
      <c r="G10126" s="4" t="str">
        <f>HYPERLINK("https://diaocthongthai.com/xa-hung-yen-an-bien/","Xã Hưng Yên")</f>
        <v>Xã Hưng Yên</v>
      </c>
    </row>
    <row r="10127" spans="1:7" x14ac:dyDescent="0.25">
      <c r="A10127" s="2">
        <v>10126</v>
      </c>
      <c r="B10127" s="3" t="s">
        <v>60</v>
      </c>
      <c r="C10127" s="4" t="str">
        <f t="shared" si="916"/>
        <v>Kiên Giang</v>
      </c>
      <c r="D10127" s="3" t="s">
        <v>715</v>
      </c>
      <c r="E10127" s="4" t="str">
        <f t="shared" si="915"/>
        <v>Huyện An Biên</v>
      </c>
      <c r="F10127" s="3" t="s">
        <v>10886</v>
      </c>
      <c r="G10127" s="4" t="str">
        <f>HYPERLINK("https://diaocthongthai.com/xa-nam-thai-an-bien/","Xã Nam Thái")</f>
        <v>Xã Nam Thái</v>
      </c>
    </row>
    <row r="10128" spans="1:7" x14ac:dyDescent="0.25">
      <c r="A10128" s="2">
        <v>10127</v>
      </c>
      <c r="B10128" s="3" t="s">
        <v>60</v>
      </c>
      <c r="C10128" s="4" t="str">
        <f t="shared" si="916"/>
        <v>Kiên Giang</v>
      </c>
      <c r="D10128" s="3" t="s">
        <v>715</v>
      </c>
      <c r="E10128" s="4" t="str">
        <f t="shared" si="915"/>
        <v>Huyện An Biên</v>
      </c>
      <c r="F10128" s="3" t="s">
        <v>10887</v>
      </c>
      <c r="G10128" s="4" t="str">
        <f>HYPERLINK("https://diaocthongthai.com/xa-nam-thai-a-an-bien/","Xã Nam Thái A")</f>
        <v>Xã Nam Thái A</v>
      </c>
    </row>
    <row r="10129" spans="1:7" x14ac:dyDescent="0.25">
      <c r="A10129" s="2">
        <v>10128</v>
      </c>
      <c r="B10129" s="3" t="s">
        <v>60</v>
      </c>
      <c r="C10129" s="4" t="str">
        <f t="shared" si="916"/>
        <v>Kiên Giang</v>
      </c>
      <c r="D10129" s="3" t="s">
        <v>715</v>
      </c>
      <c r="E10129" s="4" t="str">
        <f t="shared" si="915"/>
        <v>Huyện An Biên</v>
      </c>
      <c r="F10129" s="3" t="s">
        <v>10888</v>
      </c>
      <c r="G10129" s="4" t="str">
        <f>HYPERLINK("https://diaocthongthai.com/xa-dong-thai-an-bien/","Xã Đông Thái")</f>
        <v>Xã Đông Thái</v>
      </c>
    </row>
    <row r="10130" spans="1:7" x14ac:dyDescent="0.25">
      <c r="A10130" s="2">
        <v>10129</v>
      </c>
      <c r="B10130" s="3" t="s">
        <v>60</v>
      </c>
      <c r="C10130" s="4" t="str">
        <f t="shared" si="916"/>
        <v>Kiên Giang</v>
      </c>
      <c r="D10130" s="3" t="s">
        <v>715</v>
      </c>
      <c r="E10130" s="4" t="str">
        <f t="shared" si="915"/>
        <v>Huyện An Biên</v>
      </c>
      <c r="F10130" s="3" t="s">
        <v>10889</v>
      </c>
      <c r="G10130" s="4" t="str">
        <f>HYPERLINK("https://diaocthongthai.com/xa-dong-yen-an-bien/","Xã Đông Yên")</f>
        <v>Xã Đông Yên</v>
      </c>
    </row>
    <row r="10131" spans="1:7" x14ac:dyDescent="0.25">
      <c r="A10131" s="2">
        <v>10130</v>
      </c>
      <c r="B10131" s="3" t="s">
        <v>60</v>
      </c>
      <c r="C10131" s="4" t="str">
        <f t="shared" si="916"/>
        <v>Kiên Giang</v>
      </c>
      <c r="D10131" s="3" t="s">
        <v>716</v>
      </c>
      <c r="E10131" s="4" t="str">
        <f t="shared" ref="E10131:E10141" si="917">HYPERLINK("https://diaocthongthai.com/ban-do-huyen-an-minh-kien-giang/","Huyện An Minh")</f>
        <v>Huyện An Minh</v>
      </c>
      <c r="F10131" s="3" t="s">
        <v>10890</v>
      </c>
      <c r="G10131" s="4" t="str">
        <f>HYPERLINK("https://diaocthongthai.com/thi-tran-thu-muoi-mot-an-minh/","Thị trấn Thứ Mười Một")</f>
        <v>Thị trấn Thứ Mười Một</v>
      </c>
    </row>
    <row r="10132" spans="1:7" x14ac:dyDescent="0.25">
      <c r="A10132" s="2">
        <v>10131</v>
      </c>
      <c r="B10132" s="3" t="s">
        <v>60</v>
      </c>
      <c r="C10132" s="4" t="str">
        <f t="shared" si="916"/>
        <v>Kiên Giang</v>
      </c>
      <c r="D10132" s="3" t="s">
        <v>716</v>
      </c>
      <c r="E10132" s="4" t="str">
        <f t="shared" si="917"/>
        <v>Huyện An Minh</v>
      </c>
      <c r="F10132" s="3" t="s">
        <v>10891</v>
      </c>
      <c r="G10132" s="4" t="str">
        <f>HYPERLINK("https://diaocthongthai.com/xa-thuan-hoa-an-minh/","Xã Thuận Hoà")</f>
        <v>Xã Thuận Hoà</v>
      </c>
    </row>
    <row r="10133" spans="1:7" x14ac:dyDescent="0.25">
      <c r="A10133" s="2">
        <v>10132</v>
      </c>
      <c r="B10133" s="3" t="s">
        <v>60</v>
      </c>
      <c r="C10133" s="4" t="str">
        <f t="shared" si="916"/>
        <v>Kiên Giang</v>
      </c>
      <c r="D10133" s="3" t="s">
        <v>716</v>
      </c>
      <c r="E10133" s="4" t="str">
        <f t="shared" si="917"/>
        <v>Huyện An Minh</v>
      </c>
      <c r="F10133" s="3" t="s">
        <v>10892</v>
      </c>
      <c r="G10133" s="4" t="str">
        <f>HYPERLINK("https://diaocthongthai.com/xa-dong-hoa-an-minh/","Xã Đông Hòa")</f>
        <v>Xã Đông Hòa</v>
      </c>
    </row>
    <row r="10134" spans="1:7" x14ac:dyDescent="0.25">
      <c r="A10134" s="2">
        <v>10133</v>
      </c>
      <c r="B10134" s="3" t="s">
        <v>60</v>
      </c>
      <c r="C10134" s="4" t="str">
        <f t="shared" si="916"/>
        <v>Kiên Giang</v>
      </c>
      <c r="D10134" s="3" t="s">
        <v>716</v>
      </c>
      <c r="E10134" s="4" t="str">
        <f t="shared" si="917"/>
        <v>Huyện An Minh</v>
      </c>
      <c r="F10134" s="3" t="s">
        <v>10893</v>
      </c>
      <c r="G10134" s="4" t="str">
        <f>HYPERLINK("https://diaocthongthai.com/xa-dong-thanh-an-minh/","Xã Đông Thạnh")</f>
        <v>Xã Đông Thạnh</v>
      </c>
    </row>
    <row r="10135" spans="1:7" x14ac:dyDescent="0.25">
      <c r="A10135" s="2">
        <v>10134</v>
      </c>
      <c r="B10135" s="3" t="s">
        <v>60</v>
      </c>
      <c r="C10135" s="4" t="str">
        <f t="shared" si="916"/>
        <v>Kiên Giang</v>
      </c>
      <c r="D10135" s="3" t="s">
        <v>716</v>
      </c>
      <c r="E10135" s="4" t="str">
        <f t="shared" si="917"/>
        <v>Huyện An Minh</v>
      </c>
      <c r="F10135" s="3" t="s">
        <v>10894</v>
      </c>
      <c r="G10135" s="4" t="str">
        <f>HYPERLINK("https://diaocthongthai.com/xa-tan-thanh-an-minh/","Xã Tân Thạnh")</f>
        <v>Xã Tân Thạnh</v>
      </c>
    </row>
    <row r="10136" spans="1:7" x14ac:dyDescent="0.25">
      <c r="A10136" s="2">
        <v>10135</v>
      </c>
      <c r="B10136" s="3" t="s">
        <v>60</v>
      </c>
      <c r="C10136" s="4" t="str">
        <f t="shared" si="916"/>
        <v>Kiên Giang</v>
      </c>
      <c r="D10136" s="3" t="s">
        <v>716</v>
      </c>
      <c r="E10136" s="4" t="str">
        <f t="shared" si="917"/>
        <v>Huyện An Minh</v>
      </c>
      <c r="F10136" s="3" t="s">
        <v>10895</v>
      </c>
      <c r="G10136" s="4" t="str">
        <f>HYPERLINK("https://diaocthongthai.com/xa-dong-hung-an-minh/","Xã Đông Hưng")</f>
        <v>Xã Đông Hưng</v>
      </c>
    </row>
    <row r="10137" spans="1:7" x14ac:dyDescent="0.25">
      <c r="A10137" s="2">
        <v>10136</v>
      </c>
      <c r="B10137" s="3" t="s">
        <v>60</v>
      </c>
      <c r="C10137" s="4" t="str">
        <f t="shared" si="916"/>
        <v>Kiên Giang</v>
      </c>
      <c r="D10137" s="3" t="s">
        <v>716</v>
      </c>
      <c r="E10137" s="4" t="str">
        <f t="shared" si="917"/>
        <v>Huyện An Minh</v>
      </c>
      <c r="F10137" s="3" t="s">
        <v>10896</v>
      </c>
      <c r="G10137" s="4" t="str">
        <f>HYPERLINK("https://diaocthongthai.com/xa-dong-hung-a-an-minh/","Xã Đông Hưng A")</f>
        <v>Xã Đông Hưng A</v>
      </c>
    </row>
    <row r="10138" spans="1:7" x14ac:dyDescent="0.25">
      <c r="A10138" s="2">
        <v>10137</v>
      </c>
      <c r="B10138" s="3" t="s">
        <v>60</v>
      </c>
      <c r="C10138" s="4" t="str">
        <f t="shared" si="916"/>
        <v>Kiên Giang</v>
      </c>
      <c r="D10138" s="3" t="s">
        <v>716</v>
      </c>
      <c r="E10138" s="4" t="str">
        <f t="shared" si="917"/>
        <v>Huyện An Minh</v>
      </c>
      <c r="F10138" s="3" t="s">
        <v>10897</v>
      </c>
      <c r="G10138" s="4" t="str">
        <f>HYPERLINK("https://diaocthongthai.com/xa-dong-hung-b-an-minh/","Xã Đông Hưng B")</f>
        <v>Xã Đông Hưng B</v>
      </c>
    </row>
    <row r="10139" spans="1:7" x14ac:dyDescent="0.25">
      <c r="A10139" s="2">
        <v>10138</v>
      </c>
      <c r="B10139" s="3" t="s">
        <v>60</v>
      </c>
      <c r="C10139" s="4" t="str">
        <f t="shared" si="916"/>
        <v>Kiên Giang</v>
      </c>
      <c r="D10139" s="3" t="s">
        <v>716</v>
      </c>
      <c r="E10139" s="4" t="str">
        <f t="shared" si="917"/>
        <v>Huyện An Minh</v>
      </c>
      <c r="F10139" s="3" t="s">
        <v>10898</v>
      </c>
      <c r="G10139" s="4" t="str">
        <f>HYPERLINK("https://diaocthongthai.com/xa-van-khanh-an-minh/","Xã Vân Khánh")</f>
        <v>Xã Vân Khánh</v>
      </c>
    </row>
    <row r="10140" spans="1:7" x14ac:dyDescent="0.25">
      <c r="A10140" s="2">
        <v>10139</v>
      </c>
      <c r="B10140" s="3" t="s">
        <v>60</v>
      </c>
      <c r="C10140" s="4" t="str">
        <f t="shared" si="916"/>
        <v>Kiên Giang</v>
      </c>
      <c r="D10140" s="3" t="s">
        <v>716</v>
      </c>
      <c r="E10140" s="4" t="str">
        <f t="shared" si="917"/>
        <v>Huyện An Minh</v>
      </c>
      <c r="F10140" s="3" t="s">
        <v>10899</v>
      </c>
      <c r="G10140" s="4" t="str">
        <f>HYPERLINK("https://diaocthongthai.com/xa-van-khanh-dong-an-minh/","Xã Vân Khánh Đông")</f>
        <v>Xã Vân Khánh Đông</v>
      </c>
    </row>
    <row r="10141" spans="1:7" x14ac:dyDescent="0.25">
      <c r="A10141" s="2">
        <v>10140</v>
      </c>
      <c r="B10141" s="3" t="s">
        <v>60</v>
      </c>
      <c r="C10141" s="4" t="str">
        <f t="shared" si="916"/>
        <v>Kiên Giang</v>
      </c>
      <c r="D10141" s="3" t="s">
        <v>716</v>
      </c>
      <c r="E10141" s="4" t="str">
        <f t="shared" si="917"/>
        <v>Huyện An Minh</v>
      </c>
      <c r="F10141" s="3" t="s">
        <v>10900</v>
      </c>
      <c r="G10141" s="4" t="str">
        <f>HYPERLINK("https://diaocthongthai.com/xa-van-khanh-tay-an-minh/","Xã Vân Khánh Tây")</f>
        <v>Xã Vân Khánh Tây</v>
      </c>
    </row>
    <row r="10142" spans="1:7" x14ac:dyDescent="0.25">
      <c r="A10142" s="2">
        <v>10141</v>
      </c>
      <c r="B10142" s="3" t="s">
        <v>60</v>
      </c>
      <c r="C10142" s="4" t="str">
        <f t="shared" si="916"/>
        <v>Kiên Giang</v>
      </c>
      <c r="D10142" s="3" t="s">
        <v>717</v>
      </c>
      <c r="E10142" s="4" t="str">
        <f t="shared" ref="E10142:E10149" si="918">HYPERLINK("https://diaocthongthai.com/ban-do-huyen-vinh-thuan-kien-giang/","Huyện Vĩnh Thuận")</f>
        <v>Huyện Vĩnh Thuận</v>
      </c>
      <c r="F10142" s="3" t="s">
        <v>10901</v>
      </c>
      <c r="G10142" s="4" t="str">
        <f>HYPERLINK("https://diaocthongthai.com/thi-tran-vinh-thuan-vinh-thuan/","Thị trấn Vĩnh Thuận")</f>
        <v>Thị trấn Vĩnh Thuận</v>
      </c>
    </row>
    <row r="10143" spans="1:7" x14ac:dyDescent="0.25">
      <c r="A10143" s="2">
        <v>10142</v>
      </c>
      <c r="B10143" s="3" t="s">
        <v>60</v>
      </c>
      <c r="C10143" s="4" t="str">
        <f t="shared" si="916"/>
        <v>Kiên Giang</v>
      </c>
      <c r="D10143" s="3" t="s">
        <v>717</v>
      </c>
      <c r="E10143" s="4" t="str">
        <f t="shared" si="918"/>
        <v>Huyện Vĩnh Thuận</v>
      </c>
      <c r="F10143" s="3" t="s">
        <v>10902</v>
      </c>
      <c r="G10143" s="4" t="str">
        <f>HYPERLINK("https://diaocthongthai.com/xa-vinh-binh-bac-vinh-thuan/","Xã Vĩnh Bình Bắc")</f>
        <v>Xã Vĩnh Bình Bắc</v>
      </c>
    </row>
    <row r="10144" spans="1:7" x14ac:dyDescent="0.25">
      <c r="A10144" s="2">
        <v>10143</v>
      </c>
      <c r="B10144" s="3" t="s">
        <v>60</v>
      </c>
      <c r="C10144" s="4" t="str">
        <f t="shared" si="916"/>
        <v>Kiên Giang</v>
      </c>
      <c r="D10144" s="3" t="s">
        <v>717</v>
      </c>
      <c r="E10144" s="4" t="str">
        <f t="shared" si="918"/>
        <v>Huyện Vĩnh Thuận</v>
      </c>
      <c r="F10144" s="3" t="s">
        <v>10903</v>
      </c>
      <c r="G10144" s="4" t="str">
        <f>HYPERLINK("https://diaocthongthai.com/xa-vinh-binh-nam-vinh-thuan/","Xã Vĩnh Bình Nam")</f>
        <v>Xã Vĩnh Bình Nam</v>
      </c>
    </row>
    <row r="10145" spans="1:7" x14ac:dyDescent="0.25">
      <c r="A10145" s="2">
        <v>10144</v>
      </c>
      <c r="B10145" s="3" t="s">
        <v>60</v>
      </c>
      <c r="C10145" s="4" t="str">
        <f t="shared" si="916"/>
        <v>Kiên Giang</v>
      </c>
      <c r="D10145" s="3" t="s">
        <v>717</v>
      </c>
      <c r="E10145" s="4" t="str">
        <f t="shared" si="918"/>
        <v>Huyện Vĩnh Thuận</v>
      </c>
      <c r="F10145" s="3" t="s">
        <v>10904</v>
      </c>
      <c r="G10145" s="4" t="str">
        <f>HYPERLINK("https://diaocthongthai.com/xa-binh-minh-vinh-thuan/","Xã Bình Minh")</f>
        <v>Xã Bình Minh</v>
      </c>
    </row>
    <row r="10146" spans="1:7" x14ac:dyDescent="0.25">
      <c r="A10146" s="2">
        <v>10145</v>
      </c>
      <c r="B10146" s="3" t="s">
        <v>60</v>
      </c>
      <c r="C10146" s="4" t="str">
        <f t="shared" si="916"/>
        <v>Kiên Giang</v>
      </c>
      <c r="D10146" s="3" t="s">
        <v>717</v>
      </c>
      <c r="E10146" s="4" t="str">
        <f t="shared" si="918"/>
        <v>Huyện Vĩnh Thuận</v>
      </c>
      <c r="F10146" s="3" t="s">
        <v>10905</v>
      </c>
      <c r="G10146" s="4" t="str">
        <f>HYPERLINK("https://diaocthongthai.com/xa-vinh-thuan-vinh-thuan/","Xã Vĩnh Thuận")</f>
        <v>Xã Vĩnh Thuận</v>
      </c>
    </row>
    <row r="10147" spans="1:7" x14ac:dyDescent="0.25">
      <c r="A10147" s="2">
        <v>10146</v>
      </c>
      <c r="B10147" s="3" t="s">
        <v>60</v>
      </c>
      <c r="C10147" s="4" t="str">
        <f t="shared" si="916"/>
        <v>Kiên Giang</v>
      </c>
      <c r="D10147" s="3" t="s">
        <v>717</v>
      </c>
      <c r="E10147" s="4" t="str">
        <f t="shared" si="918"/>
        <v>Huyện Vĩnh Thuận</v>
      </c>
      <c r="F10147" s="3" t="s">
        <v>10906</v>
      </c>
      <c r="G10147" s="4" t="str">
        <f>HYPERLINK("https://diaocthongthai.com/xa-tan-thuan-vinh-thuan/","Xã Tân Thuận")</f>
        <v>Xã Tân Thuận</v>
      </c>
    </row>
    <row r="10148" spans="1:7" x14ac:dyDescent="0.25">
      <c r="A10148" s="2">
        <v>10147</v>
      </c>
      <c r="B10148" s="3" t="s">
        <v>60</v>
      </c>
      <c r="C10148" s="4" t="str">
        <f t="shared" si="916"/>
        <v>Kiên Giang</v>
      </c>
      <c r="D10148" s="3" t="s">
        <v>717</v>
      </c>
      <c r="E10148" s="4" t="str">
        <f t="shared" si="918"/>
        <v>Huyện Vĩnh Thuận</v>
      </c>
      <c r="F10148" s="3" t="s">
        <v>10907</v>
      </c>
      <c r="G10148" s="4" t="str">
        <f>HYPERLINK("https://diaocthongthai.com/xa-phong-dong-vinh-thuan/","Xã Phong Đông")</f>
        <v>Xã Phong Đông</v>
      </c>
    </row>
    <row r="10149" spans="1:7" x14ac:dyDescent="0.25">
      <c r="A10149" s="2">
        <v>10148</v>
      </c>
      <c r="B10149" s="3" t="s">
        <v>60</v>
      </c>
      <c r="C10149" s="4" t="str">
        <f t="shared" si="916"/>
        <v>Kiên Giang</v>
      </c>
      <c r="D10149" s="3" t="s">
        <v>717</v>
      </c>
      <c r="E10149" s="4" t="str">
        <f t="shared" si="918"/>
        <v>Huyện Vĩnh Thuận</v>
      </c>
      <c r="F10149" s="3" t="s">
        <v>10908</v>
      </c>
      <c r="G10149" s="4" t="str">
        <f>HYPERLINK("https://diaocthongthai.com/xa-vinh-phong-vinh-thuan/","Xã Vĩnh Phong")</f>
        <v>Xã Vĩnh Phong</v>
      </c>
    </row>
    <row r="10150" spans="1:7" x14ac:dyDescent="0.25">
      <c r="A10150" s="2">
        <v>10149</v>
      </c>
      <c r="B10150" s="3" t="s">
        <v>60</v>
      </c>
      <c r="C10150" s="4" t="str">
        <f t="shared" si="916"/>
        <v>Kiên Giang</v>
      </c>
      <c r="D10150" s="3" t="s">
        <v>718</v>
      </c>
      <c r="E10150" s="4" t="str">
        <f t="shared" ref="E10150:E10158" si="919">HYPERLINK("https://diaocthongthai.com/ban-do-huyen-phu-quoc-kien-giang/","Thành phố Phú Quốc")</f>
        <v>Thành phố Phú Quốc</v>
      </c>
      <c r="F10150" s="3" t="s">
        <v>10909</v>
      </c>
      <c r="G10150" s="4" t="str">
        <f>HYPERLINK("https://diaocthongthai.com/phuong-duong-dong-tp-phu-quoc/","Phường Dương Đông")</f>
        <v>Phường Dương Đông</v>
      </c>
    </row>
    <row r="10151" spans="1:7" x14ac:dyDescent="0.25">
      <c r="A10151" s="2">
        <v>10150</v>
      </c>
      <c r="B10151" s="3" t="s">
        <v>60</v>
      </c>
      <c r="C10151" s="4" t="str">
        <f t="shared" si="916"/>
        <v>Kiên Giang</v>
      </c>
      <c r="D10151" s="3" t="s">
        <v>718</v>
      </c>
      <c r="E10151" s="4" t="str">
        <f t="shared" si="919"/>
        <v>Thành phố Phú Quốc</v>
      </c>
      <c r="F10151" s="3" t="s">
        <v>10910</v>
      </c>
      <c r="G10151" s="4" t="str">
        <f>HYPERLINK("https://diaocthongthai.com/phuong-an-thoi-tp-phu-quoc/","Phường An Thới")</f>
        <v>Phường An Thới</v>
      </c>
    </row>
    <row r="10152" spans="1:7" x14ac:dyDescent="0.25">
      <c r="A10152" s="2">
        <v>10151</v>
      </c>
      <c r="B10152" s="3" t="s">
        <v>60</v>
      </c>
      <c r="C10152" s="4" t="str">
        <f t="shared" si="916"/>
        <v>Kiên Giang</v>
      </c>
      <c r="D10152" s="3" t="s">
        <v>718</v>
      </c>
      <c r="E10152" s="4" t="str">
        <f t="shared" si="919"/>
        <v>Thành phố Phú Quốc</v>
      </c>
      <c r="F10152" s="3" t="s">
        <v>10911</v>
      </c>
      <c r="G10152" s="4" t="str">
        <f>HYPERLINK("https://diaocthongthai.com/xa-cua-can-tp-phu-quoc/","Xã Cửa Cạn")</f>
        <v>Xã Cửa Cạn</v>
      </c>
    </row>
    <row r="10153" spans="1:7" x14ac:dyDescent="0.25">
      <c r="A10153" s="2">
        <v>10152</v>
      </c>
      <c r="B10153" s="3" t="s">
        <v>60</v>
      </c>
      <c r="C10153" s="4" t="str">
        <f t="shared" si="916"/>
        <v>Kiên Giang</v>
      </c>
      <c r="D10153" s="3" t="s">
        <v>718</v>
      </c>
      <c r="E10153" s="4" t="str">
        <f t="shared" si="919"/>
        <v>Thành phố Phú Quốc</v>
      </c>
      <c r="F10153" s="3" t="s">
        <v>10912</v>
      </c>
      <c r="G10153" s="4" t="str">
        <f>HYPERLINK("https://diaocthongthai.com/xa-ganh-dau-tp-phu-quoc/","Xã Gành Dầu")</f>
        <v>Xã Gành Dầu</v>
      </c>
    </row>
    <row r="10154" spans="1:7" x14ac:dyDescent="0.25">
      <c r="A10154" s="2">
        <v>10153</v>
      </c>
      <c r="B10154" s="3" t="s">
        <v>60</v>
      </c>
      <c r="C10154" s="4" t="str">
        <f t="shared" si="916"/>
        <v>Kiên Giang</v>
      </c>
      <c r="D10154" s="3" t="s">
        <v>718</v>
      </c>
      <c r="E10154" s="4" t="str">
        <f t="shared" si="919"/>
        <v>Thành phố Phú Quốc</v>
      </c>
      <c r="F10154" s="3" t="s">
        <v>10913</v>
      </c>
      <c r="G10154" s="4" t="str">
        <f>HYPERLINK("https://diaocthongthai.com/xa-cua-duong-tp-phu-quoc/","Xã Cửa Dương")</f>
        <v>Xã Cửa Dương</v>
      </c>
    </row>
    <row r="10155" spans="1:7" x14ac:dyDescent="0.25">
      <c r="A10155" s="2">
        <v>10154</v>
      </c>
      <c r="B10155" s="3" t="s">
        <v>60</v>
      </c>
      <c r="C10155" s="4" t="str">
        <f t="shared" si="916"/>
        <v>Kiên Giang</v>
      </c>
      <c r="D10155" s="3" t="s">
        <v>718</v>
      </c>
      <c r="E10155" s="4" t="str">
        <f t="shared" si="919"/>
        <v>Thành phố Phú Quốc</v>
      </c>
      <c r="F10155" s="3" t="s">
        <v>10914</v>
      </c>
      <c r="G10155" s="4" t="str">
        <f>HYPERLINK("https://diaocthongthai.com/xa-ham-ninh-tp-phu-quoc/","Xã Hàm Ninh")</f>
        <v>Xã Hàm Ninh</v>
      </c>
    </row>
    <row r="10156" spans="1:7" x14ac:dyDescent="0.25">
      <c r="A10156" s="2">
        <v>10155</v>
      </c>
      <c r="B10156" s="3" t="s">
        <v>60</v>
      </c>
      <c r="C10156" s="4" t="str">
        <f t="shared" si="916"/>
        <v>Kiên Giang</v>
      </c>
      <c r="D10156" s="3" t="s">
        <v>718</v>
      </c>
      <c r="E10156" s="4" t="str">
        <f t="shared" si="919"/>
        <v>Thành phố Phú Quốc</v>
      </c>
      <c r="F10156" s="3" t="s">
        <v>10915</v>
      </c>
      <c r="G10156" s="4" t="str">
        <f>HYPERLINK("https://diaocthongthai.com/xa-duong-to-tp-phu-quoc/","Xã Dương Tơ")</f>
        <v>Xã Dương Tơ</v>
      </c>
    </row>
    <row r="10157" spans="1:7" x14ac:dyDescent="0.25">
      <c r="A10157" s="2">
        <v>10156</v>
      </c>
      <c r="B10157" s="3" t="s">
        <v>60</v>
      </c>
      <c r="C10157" s="4" t="str">
        <f t="shared" si="916"/>
        <v>Kiên Giang</v>
      </c>
      <c r="D10157" s="3" t="s">
        <v>718</v>
      </c>
      <c r="E10157" s="4" t="str">
        <f t="shared" si="919"/>
        <v>Thành phố Phú Quốc</v>
      </c>
      <c r="F10157" s="3" t="s">
        <v>10916</v>
      </c>
      <c r="G10157" s="4" t="str">
        <f>HYPERLINK("https://diaocthongthai.com/xa-bai-thom-tp-phu-quoc/","Xã Bãi Thơm")</f>
        <v>Xã Bãi Thơm</v>
      </c>
    </row>
    <row r="10158" spans="1:7" x14ac:dyDescent="0.25">
      <c r="A10158" s="2">
        <v>10157</v>
      </c>
      <c r="B10158" s="3" t="s">
        <v>60</v>
      </c>
      <c r="C10158" s="4" t="str">
        <f t="shared" ref="C10158:C10173" si="920">HYPERLINK("https://diaocthongthai.com/ban-do-kien-giang/","Kiên Giang")</f>
        <v>Kiên Giang</v>
      </c>
      <c r="D10158" s="3" t="s">
        <v>718</v>
      </c>
      <c r="E10158" s="4" t="str">
        <f t="shared" si="919"/>
        <v>Thành phố Phú Quốc</v>
      </c>
      <c r="F10158" s="3" t="s">
        <v>10917</v>
      </c>
      <c r="G10158" s="4" t="str">
        <f>HYPERLINK("https://diaocthongthai.com/xa-tho-chau-tp-phu-quoc/","Xã Thổ Châu")</f>
        <v>Xã Thổ Châu</v>
      </c>
    </row>
    <row r="10159" spans="1:7" x14ac:dyDescent="0.25">
      <c r="A10159" s="2">
        <v>10158</v>
      </c>
      <c r="B10159" s="3" t="s">
        <v>60</v>
      </c>
      <c r="C10159" s="4" t="str">
        <f t="shared" si="920"/>
        <v>Kiên Giang</v>
      </c>
      <c r="D10159" s="3" t="s">
        <v>719</v>
      </c>
      <c r="E10159" s="4" t="str">
        <f>HYPERLINK("https://diaocthongthai.com/ban-do-huyen-kien-hai-kien-giang/","Huyện Kiên Hải")</f>
        <v>Huyện Kiên Hải</v>
      </c>
      <c r="F10159" s="3" t="s">
        <v>10918</v>
      </c>
      <c r="G10159" s="4" t="str">
        <f>HYPERLINK("https://diaocthongthai.com/xa-hon-tre-kien-hai/","Xã Hòn Tre")</f>
        <v>Xã Hòn Tre</v>
      </c>
    </row>
    <row r="10160" spans="1:7" x14ac:dyDescent="0.25">
      <c r="A10160" s="2">
        <v>10159</v>
      </c>
      <c r="B10160" s="3" t="s">
        <v>60</v>
      </c>
      <c r="C10160" s="4" t="str">
        <f t="shared" si="920"/>
        <v>Kiên Giang</v>
      </c>
      <c r="D10160" s="3" t="s">
        <v>719</v>
      </c>
      <c r="E10160" s="4" t="str">
        <f>HYPERLINK("https://diaocthongthai.com/ban-do-huyen-kien-hai-kien-giang/","Huyện Kiên Hải")</f>
        <v>Huyện Kiên Hải</v>
      </c>
      <c r="F10160" s="3" t="s">
        <v>10919</v>
      </c>
      <c r="G10160" s="4" t="str">
        <f>HYPERLINK("https://diaocthongthai.com/xa-lai-son-kien-hai/","Xã Lại Sơn")</f>
        <v>Xã Lại Sơn</v>
      </c>
    </row>
    <row r="10161" spans="1:7" x14ac:dyDescent="0.25">
      <c r="A10161" s="2">
        <v>10160</v>
      </c>
      <c r="B10161" s="3" t="s">
        <v>60</v>
      </c>
      <c r="C10161" s="4" t="str">
        <f t="shared" si="920"/>
        <v>Kiên Giang</v>
      </c>
      <c r="D10161" s="3" t="s">
        <v>719</v>
      </c>
      <c r="E10161" s="4" t="str">
        <f>HYPERLINK("https://diaocthongthai.com/ban-do-huyen-kien-hai-kien-giang/","Huyện Kiên Hải")</f>
        <v>Huyện Kiên Hải</v>
      </c>
      <c r="F10161" s="3" t="s">
        <v>10920</v>
      </c>
      <c r="G10161" s="4" t="str">
        <f>HYPERLINK("https://diaocthongthai.com/xa-an-son-kien-hai/","Xã An Sơn")</f>
        <v>Xã An Sơn</v>
      </c>
    </row>
    <row r="10162" spans="1:7" x14ac:dyDescent="0.25">
      <c r="A10162" s="2">
        <v>10161</v>
      </c>
      <c r="B10162" s="3" t="s">
        <v>60</v>
      </c>
      <c r="C10162" s="4" t="str">
        <f t="shared" si="920"/>
        <v>Kiên Giang</v>
      </c>
      <c r="D10162" s="3" t="s">
        <v>719</v>
      </c>
      <c r="E10162" s="4" t="str">
        <f>HYPERLINK("https://diaocthongthai.com/ban-do-huyen-kien-hai-kien-giang/","Huyện Kiên Hải")</f>
        <v>Huyện Kiên Hải</v>
      </c>
      <c r="F10162" s="3" t="s">
        <v>10921</v>
      </c>
      <c r="G10162" s="4" t="str">
        <f>HYPERLINK("https://diaocthongthai.com/xa-nam-du-kien-hai/","Xã Nam Du")</f>
        <v>Xã Nam Du</v>
      </c>
    </row>
    <row r="10163" spans="1:7" x14ac:dyDescent="0.25">
      <c r="A10163" s="2">
        <v>10162</v>
      </c>
      <c r="B10163" s="3" t="s">
        <v>60</v>
      </c>
      <c r="C10163" s="4" t="str">
        <f t="shared" si="920"/>
        <v>Kiên Giang</v>
      </c>
      <c r="D10163" s="3" t="s">
        <v>720</v>
      </c>
      <c r="E10163" s="4" t="str">
        <f t="shared" ref="E10163:E10168" si="921">HYPERLINK("https://diaocthongthai.com/ban-do-huyen-u-minh-thuong-kien-giang/","Huyện U Minh Thượng")</f>
        <v>Huyện U Minh Thượng</v>
      </c>
      <c r="F10163" s="3" t="s">
        <v>10922</v>
      </c>
      <c r="G10163" s="4" t="str">
        <f>HYPERLINK("https://diaocthongthai.com/xa-thanh-yen-u-minh-thuong/","Xã Thạnh Yên")</f>
        <v>Xã Thạnh Yên</v>
      </c>
    </row>
    <row r="10164" spans="1:7" x14ac:dyDescent="0.25">
      <c r="A10164" s="2">
        <v>10163</v>
      </c>
      <c r="B10164" s="3" t="s">
        <v>60</v>
      </c>
      <c r="C10164" s="4" t="str">
        <f t="shared" si="920"/>
        <v>Kiên Giang</v>
      </c>
      <c r="D10164" s="3" t="s">
        <v>720</v>
      </c>
      <c r="E10164" s="4" t="str">
        <f t="shared" si="921"/>
        <v>Huyện U Minh Thượng</v>
      </c>
      <c r="F10164" s="3" t="s">
        <v>10923</v>
      </c>
      <c r="G10164" s="4" t="str">
        <f>HYPERLINK("https://diaocthongthai.com/xa-thanh-yen-a-u-minh-thuong/","Xã Thạnh Yên A")</f>
        <v>Xã Thạnh Yên A</v>
      </c>
    </row>
    <row r="10165" spans="1:7" x14ac:dyDescent="0.25">
      <c r="A10165" s="2">
        <v>10164</v>
      </c>
      <c r="B10165" s="3" t="s">
        <v>60</v>
      </c>
      <c r="C10165" s="4" t="str">
        <f t="shared" si="920"/>
        <v>Kiên Giang</v>
      </c>
      <c r="D10165" s="3" t="s">
        <v>720</v>
      </c>
      <c r="E10165" s="4" t="str">
        <f t="shared" si="921"/>
        <v>Huyện U Minh Thượng</v>
      </c>
      <c r="F10165" s="3" t="s">
        <v>10924</v>
      </c>
      <c r="G10165" s="4" t="str">
        <f>HYPERLINK("https://diaocthongthai.com/xa-an-minh-bac-u-minh-thuong/","Xã An Minh Bắc")</f>
        <v>Xã An Minh Bắc</v>
      </c>
    </row>
    <row r="10166" spans="1:7" x14ac:dyDescent="0.25">
      <c r="A10166" s="2">
        <v>10165</v>
      </c>
      <c r="B10166" s="3" t="s">
        <v>60</v>
      </c>
      <c r="C10166" s="4" t="str">
        <f t="shared" si="920"/>
        <v>Kiên Giang</v>
      </c>
      <c r="D10166" s="3" t="s">
        <v>720</v>
      </c>
      <c r="E10166" s="4" t="str">
        <f t="shared" si="921"/>
        <v>Huyện U Minh Thượng</v>
      </c>
      <c r="F10166" s="3" t="s">
        <v>10925</v>
      </c>
      <c r="G10166" s="4" t="str">
        <f>HYPERLINK("https://diaocthongthai.com/xa-vinh-hoa-u-minh-thuong/","Xã Vĩnh Hòa")</f>
        <v>Xã Vĩnh Hòa</v>
      </c>
    </row>
    <row r="10167" spans="1:7" x14ac:dyDescent="0.25">
      <c r="A10167" s="2">
        <v>10166</v>
      </c>
      <c r="B10167" s="3" t="s">
        <v>60</v>
      </c>
      <c r="C10167" s="4" t="str">
        <f t="shared" si="920"/>
        <v>Kiên Giang</v>
      </c>
      <c r="D10167" s="3" t="s">
        <v>720</v>
      </c>
      <c r="E10167" s="4" t="str">
        <f t="shared" si="921"/>
        <v>Huyện U Minh Thượng</v>
      </c>
      <c r="F10167" s="3" t="s">
        <v>10926</v>
      </c>
      <c r="G10167" s="4" t="str">
        <f>HYPERLINK("https://diaocthongthai.com/xa-hoa-chanh-u-minh-thuong/","Xã Hoà Chánh")</f>
        <v>Xã Hoà Chánh</v>
      </c>
    </row>
    <row r="10168" spans="1:7" x14ac:dyDescent="0.25">
      <c r="A10168" s="2">
        <v>10167</v>
      </c>
      <c r="B10168" s="3" t="s">
        <v>60</v>
      </c>
      <c r="C10168" s="4" t="str">
        <f t="shared" si="920"/>
        <v>Kiên Giang</v>
      </c>
      <c r="D10168" s="3" t="s">
        <v>720</v>
      </c>
      <c r="E10168" s="4" t="str">
        <f t="shared" si="921"/>
        <v>Huyện U Minh Thượng</v>
      </c>
      <c r="F10168" s="3" t="s">
        <v>10927</v>
      </c>
      <c r="G10168" s="4" t="str">
        <f>HYPERLINK("https://diaocthongthai.com/xa-minh-thuan-u-minh-thuong/","Xã Minh Thuận")</f>
        <v>Xã Minh Thuận</v>
      </c>
    </row>
    <row r="10169" spans="1:7" x14ac:dyDescent="0.25">
      <c r="A10169" s="2">
        <v>10168</v>
      </c>
      <c r="B10169" s="3" t="s">
        <v>60</v>
      </c>
      <c r="C10169" s="4" t="str">
        <f t="shared" si="920"/>
        <v>Kiên Giang</v>
      </c>
      <c r="D10169" s="3" t="s">
        <v>721</v>
      </c>
      <c r="E10169" s="4" t="str">
        <f>HYPERLINK("https://diaocthongthai.com/ban-do-huyen-giang-thanh-kien-giang/","Huyện Giang Thành")</f>
        <v>Huyện Giang Thành</v>
      </c>
      <c r="F10169" s="3" t="s">
        <v>10928</v>
      </c>
      <c r="G10169" s="4" t="str">
        <f>HYPERLINK("https://diaocthongthai.com/xa-vinh-phu-giang-thanh/","Xã Vĩnh Phú")</f>
        <v>Xã Vĩnh Phú</v>
      </c>
    </row>
    <row r="10170" spans="1:7" x14ac:dyDescent="0.25">
      <c r="A10170" s="2">
        <v>10169</v>
      </c>
      <c r="B10170" s="3" t="s">
        <v>60</v>
      </c>
      <c r="C10170" s="4" t="str">
        <f t="shared" si="920"/>
        <v>Kiên Giang</v>
      </c>
      <c r="D10170" s="3" t="s">
        <v>721</v>
      </c>
      <c r="E10170" s="4" t="str">
        <f>HYPERLINK("https://diaocthongthai.com/ban-do-huyen-giang-thanh-kien-giang/","Huyện Giang Thành")</f>
        <v>Huyện Giang Thành</v>
      </c>
      <c r="F10170" s="3" t="s">
        <v>10929</v>
      </c>
      <c r="G10170" s="4" t="str">
        <f>HYPERLINK("https://diaocthongthai.com/xa-vinh-dieu-giang-thanh/","Xã Vĩnh Điều")</f>
        <v>Xã Vĩnh Điều</v>
      </c>
    </row>
    <row r="10171" spans="1:7" x14ac:dyDescent="0.25">
      <c r="A10171" s="2">
        <v>10170</v>
      </c>
      <c r="B10171" s="3" t="s">
        <v>60</v>
      </c>
      <c r="C10171" s="4" t="str">
        <f t="shared" si="920"/>
        <v>Kiên Giang</v>
      </c>
      <c r="D10171" s="3" t="s">
        <v>721</v>
      </c>
      <c r="E10171" s="4" t="str">
        <f>HYPERLINK("https://diaocthongthai.com/ban-do-huyen-giang-thanh-kien-giang/","Huyện Giang Thành")</f>
        <v>Huyện Giang Thành</v>
      </c>
      <c r="F10171" s="3" t="s">
        <v>10930</v>
      </c>
      <c r="G10171" s="4" t="str">
        <f>HYPERLINK("https://diaocthongthai.com/xa-tan-khanh-hoa-giang-thanh/","Xã Tân Khánh Hòa")</f>
        <v>Xã Tân Khánh Hòa</v>
      </c>
    </row>
    <row r="10172" spans="1:7" x14ac:dyDescent="0.25">
      <c r="A10172" s="2">
        <v>10171</v>
      </c>
      <c r="B10172" s="3" t="s">
        <v>60</v>
      </c>
      <c r="C10172" s="4" t="str">
        <f t="shared" si="920"/>
        <v>Kiên Giang</v>
      </c>
      <c r="D10172" s="3" t="s">
        <v>721</v>
      </c>
      <c r="E10172" s="4" t="str">
        <f>HYPERLINK("https://diaocthongthai.com/ban-do-huyen-giang-thanh-kien-giang/","Huyện Giang Thành")</f>
        <v>Huyện Giang Thành</v>
      </c>
      <c r="F10172" s="3" t="s">
        <v>10931</v>
      </c>
      <c r="G10172" s="4" t="str">
        <f>HYPERLINK("https://diaocthongthai.com/xa-phu-loi-giang-thanh/","Xã Phú Lợi")</f>
        <v>Xã Phú Lợi</v>
      </c>
    </row>
    <row r="10173" spans="1:7" x14ac:dyDescent="0.25">
      <c r="A10173" s="2">
        <v>10172</v>
      </c>
      <c r="B10173" s="3" t="s">
        <v>60</v>
      </c>
      <c r="C10173" s="4" t="str">
        <f t="shared" si="920"/>
        <v>Kiên Giang</v>
      </c>
      <c r="D10173" s="3" t="s">
        <v>721</v>
      </c>
      <c r="E10173" s="4" t="str">
        <f>HYPERLINK("https://diaocthongthai.com/ban-do-huyen-giang-thanh-kien-giang/","Huyện Giang Thành")</f>
        <v>Huyện Giang Thành</v>
      </c>
      <c r="F10173" s="3" t="s">
        <v>10932</v>
      </c>
      <c r="G10173" s="4" t="str">
        <f>HYPERLINK("https://diaocthongthai.com/xa-phu-my-giang-thanh/","Xã Phú Mỹ")</f>
        <v>Xã Phú Mỹ</v>
      </c>
    </row>
    <row r="10174" spans="1:7" x14ac:dyDescent="0.25">
      <c r="A10174" s="2">
        <v>10173</v>
      </c>
      <c r="B10174" s="3" t="s">
        <v>61</v>
      </c>
      <c r="C10174" s="4" t="str">
        <f t="shared" ref="C10174:C10205" si="922">HYPERLINK("https://diaocthongthai.com/ban-do-can-tho/","Cần Thơ")</f>
        <v>Cần Thơ</v>
      </c>
      <c r="D10174" s="3" t="s">
        <v>722</v>
      </c>
      <c r="E10174" s="4" t="str">
        <f t="shared" ref="E10174:E10184" si="923">HYPERLINK("https://diaocthongthai.com/ban-do-quan-ninh-kieu-tp-can-tho/","Quận Ninh Kiều")</f>
        <v>Quận Ninh Kiều</v>
      </c>
      <c r="F10174" s="3" t="s">
        <v>10933</v>
      </c>
      <c r="G10174" s="4" t="str">
        <f>HYPERLINK("https://diaocthongthai.com/phuong-cai-khe-quan-ninh-kieu/","Phường Cái Khế")</f>
        <v>Phường Cái Khế</v>
      </c>
    </row>
    <row r="10175" spans="1:7" x14ac:dyDescent="0.25">
      <c r="A10175" s="2">
        <v>10174</v>
      </c>
      <c r="B10175" s="3" t="s">
        <v>61</v>
      </c>
      <c r="C10175" s="4" t="str">
        <f t="shared" si="922"/>
        <v>Cần Thơ</v>
      </c>
      <c r="D10175" s="3" t="s">
        <v>722</v>
      </c>
      <c r="E10175" s="4" t="str">
        <f t="shared" si="923"/>
        <v>Quận Ninh Kiều</v>
      </c>
      <c r="F10175" s="3" t="s">
        <v>10934</v>
      </c>
      <c r="G10175" s="4" t="str">
        <f>HYPERLINK("https://diaocthongthai.com/phuong-an-hoa-quan-ninh-kieu/","Phường An Hòa")</f>
        <v>Phường An Hòa</v>
      </c>
    </row>
    <row r="10176" spans="1:7" x14ac:dyDescent="0.25">
      <c r="A10176" s="2">
        <v>10175</v>
      </c>
      <c r="B10176" s="3" t="s">
        <v>61</v>
      </c>
      <c r="C10176" s="4" t="str">
        <f t="shared" si="922"/>
        <v>Cần Thơ</v>
      </c>
      <c r="D10176" s="3" t="s">
        <v>722</v>
      </c>
      <c r="E10176" s="4" t="str">
        <f t="shared" si="923"/>
        <v>Quận Ninh Kiều</v>
      </c>
      <c r="F10176" s="3" t="s">
        <v>10935</v>
      </c>
      <c r="G10176" s="4" t="str">
        <f>HYPERLINK("https://diaocthongthai.com/phuong-thoi-binh-quan-ninh-kieu/","Phường Thới Bình")</f>
        <v>Phường Thới Bình</v>
      </c>
    </row>
    <row r="10177" spans="1:7" x14ac:dyDescent="0.25">
      <c r="A10177" s="2">
        <v>10176</v>
      </c>
      <c r="B10177" s="3" t="s">
        <v>61</v>
      </c>
      <c r="C10177" s="4" t="str">
        <f t="shared" si="922"/>
        <v>Cần Thơ</v>
      </c>
      <c r="D10177" s="3" t="s">
        <v>722</v>
      </c>
      <c r="E10177" s="4" t="str">
        <f t="shared" si="923"/>
        <v>Quận Ninh Kiều</v>
      </c>
      <c r="F10177" s="3" t="s">
        <v>10936</v>
      </c>
      <c r="G10177" s="4" t="str">
        <f>HYPERLINK("https://diaocthongthai.com/phuong-an-nghiep-quan-ninh-kieu/","Phường An Nghiệp")</f>
        <v>Phường An Nghiệp</v>
      </c>
    </row>
    <row r="10178" spans="1:7" x14ac:dyDescent="0.25">
      <c r="A10178" s="2">
        <v>10177</v>
      </c>
      <c r="B10178" s="3" t="s">
        <v>61</v>
      </c>
      <c r="C10178" s="4" t="str">
        <f t="shared" si="922"/>
        <v>Cần Thơ</v>
      </c>
      <c r="D10178" s="3" t="s">
        <v>722</v>
      </c>
      <c r="E10178" s="4" t="str">
        <f t="shared" si="923"/>
        <v>Quận Ninh Kiều</v>
      </c>
      <c r="F10178" s="3" t="s">
        <v>10937</v>
      </c>
      <c r="G10178" s="4" t="str">
        <f>HYPERLINK("https://diaocthongthai.com/phuong-an-cu-quan-ninh-kieu/","Phường An Cư")</f>
        <v>Phường An Cư</v>
      </c>
    </row>
    <row r="10179" spans="1:7" x14ac:dyDescent="0.25">
      <c r="A10179" s="2">
        <v>10178</v>
      </c>
      <c r="B10179" s="3" t="s">
        <v>61</v>
      </c>
      <c r="C10179" s="4" t="str">
        <f t="shared" si="922"/>
        <v>Cần Thơ</v>
      </c>
      <c r="D10179" s="3" t="s">
        <v>722</v>
      </c>
      <c r="E10179" s="4" t="str">
        <f t="shared" si="923"/>
        <v>Quận Ninh Kiều</v>
      </c>
      <c r="F10179" s="3" t="s">
        <v>10938</v>
      </c>
      <c r="G10179" s="4" t="str">
        <f>HYPERLINK("https://diaocthongthai.com/phuong-tan-an-quan-ninh-kieu/","Phường Tân An")</f>
        <v>Phường Tân An</v>
      </c>
    </row>
    <row r="10180" spans="1:7" x14ac:dyDescent="0.25">
      <c r="A10180" s="2">
        <v>10179</v>
      </c>
      <c r="B10180" s="3" t="s">
        <v>61</v>
      </c>
      <c r="C10180" s="4" t="str">
        <f t="shared" si="922"/>
        <v>Cần Thơ</v>
      </c>
      <c r="D10180" s="3" t="s">
        <v>722</v>
      </c>
      <c r="E10180" s="4" t="str">
        <f t="shared" si="923"/>
        <v>Quận Ninh Kiều</v>
      </c>
      <c r="F10180" s="3" t="s">
        <v>10939</v>
      </c>
      <c r="G10180" s="4" t="str">
        <f>HYPERLINK("https://diaocthongthai.com/phuong-an-phu-quan-ninh-kieu/","Phường An Phú")</f>
        <v>Phường An Phú</v>
      </c>
    </row>
    <row r="10181" spans="1:7" x14ac:dyDescent="0.25">
      <c r="A10181" s="2">
        <v>10180</v>
      </c>
      <c r="B10181" s="3" t="s">
        <v>61</v>
      </c>
      <c r="C10181" s="4" t="str">
        <f t="shared" si="922"/>
        <v>Cần Thơ</v>
      </c>
      <c r="D10181" s="3" t="s">
        <v>722</v>
      </c>
      <c r="E10181" s="4" t="str">
        <f t="shared" si="923"/>
        <v>Quận Ninh Kiều</v>
      </c>
      <c r="F10181" s="3" t="s">
        <v>10940</v>
      </c>
      <c r="G10181" s="4" t="str">
        <f>HYPERLINK("https://diaocthongthai.com/phuong-xuan-khanh-quan-ninh-kieu/","Phường Xuân Khánh")</f>
        <v>Phường Xuân Khánh</v>
      </c>
    </row>
    <row r="10182" spans="1:7" x14ac:dyDescent="0.25">
      <c r="A10182" s="2">
        <v>10181</v>
      </c>
      <c r="B10182" s="3" t="s">
        <v>61</v>
      </c>
      <c r="C10182" s="4" t="str">
        <f t="shared" si="922"/>
        <v>Cần Thơ</v>
      </c>
      <c r="D10182" s="3" t="s">
        <v>722</v>
      </c>
      <c r="E10182" s="4" t="str">
        <f t="shared" si="923"/>
        <v>Quận Ninh Kiều</v>
      </c>
      <c r="F10182" s="3" t="s">
        <v>10941</v>
      </c>
      <c r="G10182" s="4" t="str">
        <f>HYPERLINK("https://diaocthongthai.com/phuong-hung-loi-quan-ninh-kieu/","Phường Hưng Lợi")</f>
        <v>Phường Hưng Lợi</v>
      </c>
    </row>
    <row r="10183" spans="1:7" x14ac:dyDescent="0.25">
      <c r="A10183" s="2">
        <v>10182</v>
      </c>
      <c r="B10183" s="3" t="s">
        <v>61</v>
      </c>
      <c r="C10183" s="4" t="str">
        <f t="shared" si="922"/>
        <v>Cần Thơ</v>
      </c>
      <c r="D10183" s="3" t="s">
        <v>722</v>
      </c>
      <c r="E10183" s="4" t="str">
        <f t="shared" si="923"/>
        <v>Quận Ninh Kiều</v>
      </c>
      <c r="F10183" s="3" t="s">
        <v>10942</v>
      </c>
      <c r="G10183" s="4" t="str">
        <f>HYPERLINK("https://diaocthongthai.com/phuong-an-khanh-quan-ninh-kieu/","Phường An Khánh")</f>
        <v>Phường An Khánh</v>
      </c>
    </row>
    <row r="10184" spans="1:7" x14ac:dyDescent="0.25">
      <c r="A10184" s="2">
        <v>10183</v>
      </c>
      <c r="B10184" s="3" t="s">
        <v>61</v>
      </c>
      <c r="C10184" s="4" t="str">
        <f t="shared" si="922"/>
        <v>Cần Thơ</v>
      </c>
      <c r="D10184" s="3" t="s">
        <v>722</v>
      </c>
      <c r="E10184" s="4" t="str">
        <f t="shared" si="923"/>
        <v>Quận Ninh Kiều</v>
      </c>
      <c r="F10184" s="3" t="s">
        <v>10943</v>
      </c>
      <c r="G10184" s="4" t="str">
        <f>HYPERLINK("https://diaocthongthai.com/phuong-an-binh-quan-ninh-kieu/","Phường An Bình")</f>
        <v>Phường An Bình</v>
      </c>
    </row>
    <row r="10185" spans="1:7" x14ac:dyDescent="0.25">
      <c r="A10185" s="2">
        <v>10184</v>
      </c>
      <c r="B10185" s="3" t="s">
        <v>61</v>
      </c>
      <c r="C10185" s="4" t="str">
        <f t="shared" si="922"/>
        <v>Cần Thơ</v>
      </c>
      <c r="D10185" s="3" t="s">
        <v>723</v>
      </c>
      <c r="E10185" s="4" t="str">
        <f t="shared" ref="E10185:E10191" si="924">HYPERLINK("https://diaocthongthai.com/ban-do-quan-o-mon-tp-can-tho/","Quận Ô Môn")</f>
        <v>Quận Ô Môn</v>
      </c>
      <c r="F10185" s="3" t="s">
        <v>10944</v>
      </c>
      <c r="G10185" s="4" t="str">
        <f>HYPERLINK("https://diaocthongthai.com/phuong-chau-van-liem-quan-o-mon/","Phường Châu Văn Liêm")</f>
        <v>Phường Châu Văn Liêm</v>
      </c>
    </row>
    <row r="10186" spans="1:7" x14ac:dyDescent="0.25">
      <c r="A10186" s="2">
        <v>10185</v>
      </c>
      <c r="B10186" s="3" t="s">
        <v>61</v>
      </c>
      <c r="C10186" s="4" t="str">
        <f t="shared" si="922"/>
        <v>Cần Thơ</v>
      </c>
      <c r="D10186" s="3" t="s">
        <v>723</v>
      </c>
      <c r="E10186" s="4" t="str">
        <f t="shared" si="924"/>
        <v>Quận Ô Môn</v>
      </c>
      <c r="F10186" s="3" t="s">
        <v>10945</v>
      </c>
      <c r="G10186" s="4" t="str">
        <f>HYPERLINK("https://diaocthongthai.com/phuong-thoi-hoa-quan-o-mon/","Phường Thới Hòa")</f>
        <v>Phường Thới Hòa</v>
      </c>
    </row>
    <row r="10187" spans="1:7" x14ac:dyDescent="0.25">
      <c r="A10187" s="2">
        <v>10186</v>
      </c>
      <c r="B10187" s="3" t="s">
        <v>61</v>
      </c>
      <c r="C10187" s="4" t="str">
        <f t="shared" si="922"/>
        <v>Cần Thơ</v>
      </c>
      <c r="D10187" s="3" t="s">
        <v>723</v>
      </c>
      <c r="E10187" s="4" t="str">
        <f t="shared" si="924"/>
        <v>Quận Ô Môn</v>
      </c>
      <c r="F10187" s="3" t="s">
        <v>10946</v>
      </c>
      <c r="G10187" s="4" t="str">
        <f>HYPERLINK("https://diaocthongthai.com/phuong-thoi-long-quan-o-mon/","Phường Thới Long")</f>
        <v>Phường Thới Long</v>
      </c>
    </row>
    <row r="10188" spans="1:7" x14ac:dyDescent="0.25">
      <c r="A10188" s="2">
        <v>10187</v>
      </c>
      <c r="B10188" s="3" t="s">
        <v>61</v>
      </c>
      <c r="C10188" s="4" t="str">
        <f t="shared" si="922"/>
        <v>Cần Thơ</v>
      </c>
      <c r="D10188" s="3" t="s">
        <v>723</v>
      </c>
      <c r="E10188" s="4" t="str">
        <f t="shared" si="924"/>
        <v>Quận Ô Môn</v>
      </c>
      <c r="F10188" s="3" t="s">
        <v>10947</v>
      </c>
      <c r="G10188" s="4" t="str">
        <f>HYPERLINK("https://diaocthongthai.com/phuong-long-hung-quan-o-mon/","Phường Long Hưng")</f>
        <v>Phường Long Hưng</v>
      </c>
    </row>
    <row r="10189" spans="1:7" x14ac:dyDescent="0.25">
      <c r="A10189" s="2">
        <v>10188</v>
      </c>
      <c r="B10189" s="3" t="s">
        <v>61</v>
      </c>
      <c r="C10189" s="4" t="str">
        <f t="shared" si="922"/>
        <v>Cần Thơ</v>
      </c>
      <c r="D10189" s="3" t="s">
        <v>723</v>
      </c>
      <c r="E10189" s="4" t="str">
        <f t="shared" si="924"/>
        <v>Quận Ô Môn</v>
      </c>
      <c r="F10189" s="3" t="s">
        <v>10948</v>
      </c>
      <c r="G10189" s="4" t="str">
        <f>HYPERLINK("https://diaocthongthai.com/phuong-thoi-an-quan-o-mon/","Phường Thới An")</f>
        <v>Phường Thới An</v>
      </c>
    </row>
    <row r="10190" spans="1:7" x14ac:dyDescent="0.25">
      <c r="A10190" s="2">
        <v>10189</v>
      </c>
      <c r="B10190" s="3" t="s">
        <v>61</v>
      </c>
      <c r="C10190" s="4" t="str">
        <f t="shared" si="922"/>
        <v>Cần Thơ</v>
      </c>
      <c r="D10190" s="3" t="s">
        <v>723</v>
      </c>
      <c r="E10190" s="4" t="str">
        <f t="shared" si="924"/>
        <v>Quận Ô Môn</v>
      </c>
      <c r="F10190" s="3" t="s">
        <v>10949</v>
      </c>
      <c r="G10190" s="4" t="str">
        <f>HYPERLINK("https://diaocthongthai.com/phuong-phuoc-thoi-quan-o-mon/","Phường Phước Thới")</f>
        <v>Phường Phước Thới</v>
      </c>
    </row>
    <row r="10191" spans="1:7" x14ac:dyDescent="0.25">
      <c r="A10191" s="2">
        <v>10190</v>
      </c>
      <c r="B10191" s="3" t="s">
        <v>61</v>
      </c>
      <c r="C10191" s="4" t="str">
        <f t="shared" si="922"/>
        <v>Cần Thơ</v>
      </c>
      <c r="D10191" s="3" t="s">
        <v>723</v>
      </c>
      <c r="E10191" s="4" t="str">
        <f t="shared" si="924"/>
        <v>Quận Ô Môn</v>
      </c>
      <c r="F10191" s="3" t="s">
        <v>10950</v>
      </c>
      <c r="G10191" s="4" t="str">
        <f>HYPERLINK("https://diaocthongthai.com/phuong-truong-lac-quan-o-mon/","Phường Trường Lạc")</f>
        <v>Phường Trường Lạc</v>
      </c>
    </row>
    <row r="10192" spans="1:7" x14ac:dyDescent="0.25">
      <c r="A10192" s="2">
        <v>10191</v>
      </c>
      <c r="B10192" s="3" t="s">
        <v>61</v>
      </c>
      <c r="C10192" s="4" t="str">
        <f t="shared" si="922"/>
        <v>Cần Thơ</v>
      </c>
      <c r="D10192" s="3" t="s">
        <v>724</v>
      </c>
      <c r="E10192" s="4" t="str">
        <f t="shared" ref="E10192:E10199" si="925">HYPERLINK("https://diaocthongthai.com/ban-do-quan-binh-thuy-tp-can-tho/","Quận Bình Thuỷ")</f>
        <v>Quận Bình Thuỷ</v>
      </c>
      <c r="F10192" s="3" t="s">
        <v>10951</v>
      </c>
      <c r="G10192" s="4" t="str">
        <f>HYPERLINK("https://diaocthongthai.com/phuong-binh-thuy-quan-binh-thuy/","Phường Bình Thủy")</f>
        <v>Phường Bình Thủy</v>
      </c>
    </row>
    <row r="10193" spans="1:7" x14ac:dyDescent="0.25">
      <c r="A10193" s="2">
        <v>10192</v>
      </c>
      <c r="B10193" s="3" t="s">
        <v>61</v>
      </c>
      <c r="C10193" s="4" t="str">
        <f t="shared" si="922"/>
        <v>Cần Thơ</v>
      </c>
      <c r="D10193" s="3" t="s">
        <v>724</v>
      </c>
      <c r="E10193" s="4" t="str">
        <f t="shared" si="925"/>
        <v>Quận Bình Thuỷ</v>
      </c>
      <c r="F10193" s="3" t="s">
        <v>10952</v>
      </c>
      <c r="G10193" s="4" t="str">
        <f>HYPERLINK("https://diaocthongthai.com/phuong-tra-an-quan-binh-thuy/","Phường Trà An")</f>
        <v>Phường Trà An</v>
      </c>
    </row>
    <row r="10194" spans="1:7" x14ac:dyDescent="0.25">
      <c r="A10194" s="2">
        <v>10193</v>
      </c>
      <c r="B10194" s="3" t="s">
        <v>61</v>
      </c>
      <c r="C10194" s="4" t="str">
        <f t="shared" si="922"/>
        <v>Cần Thơ</v>
      </c>
      <c r="D10194" s="3" t="s">
        <v>724</v>
      </c>
      <c r="E10194" s="4" t="str">
        <f t="shared" si="925"/>
        <v>Quận Bình Thuỷ</v>
      </c>
      <c r="F10194" s="3" t="s">
        <v>10953</v>
      </c>
      <c r="G10194" s="4" t="str">
        <f>HYPERLINK("https://diaocthongthai.com/phuong-tra-noc-quan-binh-thuy/","Phường Trà Nóc")</f>
        <v>Phường Trà Nóc</v>
      </c>
    </row>
    <row r="10195" spans="1:7" x14ac:dyDescent="0.25">
      <c r="A10195" s="2">
        <v>10194</v>
      </c>
      <c r="B10195" s="3" t="s">
        <v>61</v>
      </c>
      <c r="C10195" s="4" t="str">
        <f t="shared" si="922"/>
        <v>Cần Thơ</v>
      </c>
      <c r="D10195" s="3" t="s">
        <v>724</v>
      </c>
      <c r="E10195" s="4" t="str">
        <f t="shared" si="925"/>
        <v>Quận Bình Thuỷ</v>
      </c>
      <c r="F10195" s="3" t="s">
        <v>10954</v>
      </c>
      <c r="G10195" s="4" t="str">
        <f>HYPERLINK("https://diaocthongthai.com/phuong-thoi-an-dong-quan-binh-thuy/","Phường Thới An Đông")</f>
        <v>Phường Thới An Đông</v>
      </c>
    </row>
    <row r="10196" spans="1:7" x14ac:dyDescent="0.25">
      <c r="A10196" s="2">
        <v>10195</v>
      </c>
      <c r="B10196" s="3" t="s">
        <v>61</v>
      </c>
      <c r="C10196" s="4" t="str">
        <f t="shared" si="922"/>
        <v>Cần Thơ</v>
      </c>
      <c r="D10196" s="3" t="s">
        <v>724</v>
      </c>
      <c r="E10196" s="4" t="str">
        <f t="shared" si="925"/>
        <v>Quận Bình Thuỷ</v>
      </c>
      <c r="F10196" s="3" t="s">
        <v>10955</v>
      </c>
      <c r="G10196" s="4" t="str">
        <f>HYPERLINK("https://diaocthongthai.com/phuong-an-thoi-quan-binh-thuy/","Phường An Thới")</f>
        <v>Phường An Thới</v>
      </c>
    </row>
    <row r="10197" spans="1:7" x14ac:dyDescent="0.25">
      <c r="A10197" s="2">
        <v>10196</v>
      </c>
      <c r="B10197" s="3" t="s">
        <v>61</v>
      </c>
      <c r="C10197" s="4" t="str">
        <f t="shared" si="922"/>
        <v>Cần Thơ</v>
      </c>
      <c r="D10197" s="3" t="s">
        <v>724</v>
      </c>
      <c r="E10197" s="4" t="str">
        <f t="shared" si="925"/>
        <v>Quận Bình Thuỷ</v>
      </c>
      <c r="F10197" s="3" t="s">
        <v>10956</v>
      </c>
      <c r="G10197" s="4" t="str">
        <f>HYPERLINK("https://diaocthongthai.com/phuong-bui-huu-nghia-quan-binh-thuy/","Phường Bùi Hữu Nghĩa")</f>
        <v>Phường Bùi Hữu Nghĩa</v>
      </c>
    </row>
    <row r="10198" spans="1:7" x14ac:dyDescent="0.25">
      <c r="A10198" s="2">
        <v>10197</v>
      </c>
      <c r="B10198" s="3" t="s">
        <v>61</v>
      </c>
      <c r="C10198" s="4" t="str">
        <f t="shared" si="922"/>
        <v>Cần Thơ</v>
      </c>
      <c r="D10198" s="3" t="s">
        <v>724</v>
      </c>
      <c r="E10198" s="4" t="str">
        <f t="shared" si="925"/>
        <v>Quận Bình Thuỷ</v>
      </c>
      <c r="F10198" s="3" t="s">
        <v>10957</v>
      </c>
      <c r="G10198" s="4" t="str">
        <f>HYPERLINK("https://diaocthongthai.com/phuong-long-hoa-quan-binh-thuy/","Phường Long Hòa")</f>
        <v>Phường Long Hòa</v>
      </c>
    </row>
    <row r="10199" spans="1:7" x14ac:dyDescent="0.25">
      <c r="A10199" s="2">
        <v>10198</v>
      </c>
      <c r="B10199" s="3" t="s">
        <v>61</v>
      </c>
      <c r="C10199" s="4" t="str">
        <f t="shared" si="922"/>
        <v>Cần Thơ</v>
      </c>
      <c r="D10199" s="3" t="s">
        <v>724</v>
      </c>
      <c r="E10199" s="4" t="str">
        <f t="shared" si="925"/>
        <v>Quận Bình Thuỷ</v>
      </c>
      <c r="F10199" s="3" t="s">
        <v>10958</v>
      </c>
      <c r="G10199" s="4" t="str">
        <f>HYPERLINK("https://diaocthongthai.com/phuong-long-tuyen-quan-binh-thuy/","Phường Long Tuyền")</f>
        <v>Phường Long Tuyền</v>
      </c>
    </row>
    <row r="10200" spans="1:7" x14ac:dyDescent="0.25">
      <c r="A10200" s="2">
        <v>10199</v>
      </c>
      <c r="B10200" s="3" t="s">
        <v>61</v>
      </c>
      <c r="C10200" s="4" t="str">
        <f t="shared" si="922"/>
        <v>Cần Thơ</v>
      </c>
      <c r="D10200" s="3" t="s">
        <v>725</v>
      </c>
      <c r="E10200" s="4" t="str">
        <f t="shared" ref="E10200:E10206" si="926">HYPERLINK("https://diaocthongthai.com/ban-do-quan-cai-rang-tp-can-tho/","Quận Cái Răng")</f>
        <v>Quận Cái Răng</v>
      </c>
      <c r="F10200" s="3" t="s">
        <v>10959</v>
      </c>
      <c r="G10200" s="4" t="str">
        <f>HYPERLINK("https://diaocthongthai.com/phuong-le-binh-quan-cai-rang/","Phường Lê Bình")</f>
        <v>Phường Lê Bình</v>
      </c>
    </row>
    <row r="10201" spans="1:7" x14ac:dyDescent="0.25">
      <c r="A10201" s="2">
        <v>10200</v>
      </c>
      <c r="B10201" s="3" t="s">
        <v>61</v>
      </c>
      <c r="C10201" s="4" t="str">
        <f t="shared" si="922"/>
        <v>Cần Thơ</v>
      </c>
      <c r="D10201" s="3" t="s">
        <v>725</v>
      </c>
      <c r="E10201" s="4" t="str">
        <f t="shared" si="926"/>
        <v>Quận Cái Răng</v>
      </c>
      <c r="F10201" s="3" t="s">
        <v>10960</v>
      </c>
      <c r="G10201" s="4" t="str">
        <f>HYPERLINK("https://diaocthongthai.com/phuong-hung-phu-quan-cai-rang/","Phường Hưng Phú")</f>
        <v>Phường Hưng Phú</v>
      </c>
    </row>
    <row r="10202" spans="1:7" x14ac:dyDescent="0.25">
      <c r="A10202" s="2">
        <v>10201</v>
      </c>
      <c r="B10202" s="3" t="s">
        <v>61</v>
      </c>
      <c r="C10202" s="4" t="str">
        <f t="shared" si="922"/>
        <v>Cần Thơ</v>
      </c>
      <c r="D10202" s="3" t="s">
        <v>725</v>
      </c>
      <c r="E10202" s="4" t="str">
        <f t="shared" si="926"/>
        <v>Quận Cái Răng</v>
      </c>
      <c r="F10202" s="3" t="s">
        <v>10961</v>
      </c>
      <c r="G10202" s="4" t="str">
        <f>HYPERLINK("https://diaocthongthai.com/phuong-hung-thanh-quan-cai-rang/","Phường Hưng Thạnh")</f>
        <v>Phường Hưng Thạnh</v>
      </c>
    </row>
    <row r="10203" spans="1:7" x14ac:dyDescent="0.25">
      <c r="A10203" s="2">
        <v>10202</v>
      </c>
      <c r="B10203" s="3" t="s">
        <v>61</v>
      </c>
      <c r="C10203" s="4" t="str">
        <f t="shared" si="922"/>
        <v>Cần Thơ</v>
      </c>
      <c r="D10203" s="3" t="s">
        <v>725</v>
      </c>
      <c r="E10203" s="4" t="str">
        <f t="shared" si="926"/>
        <v>Quận Cái Răng</v>
      </c>
      <c r="F10203" s="3" t="s">
        <v>10962</v>
      </c>
      <c r="G10203" s="4" t="str">
        <f>HYPERLINK("https://diaocthongthai.com/phuong-ba-lang-quan-cai-rang/","Phường Ba Láng")</f>
        <v>Phường Ba Láng</v>
      </c>
    </row>
    <row r="10204" spans="1:7" x14ac:dyDescent="0.25">
      <c r="A10204" s="2">
        <v>10203</v>
      </c>
      <c r="B10204" s="3" t="s">
        <v>61</v>
      </c>
      <c r="C10204" s="4" t="str">
        <f t="shared" si="922"/>
        <v>Cần Thơ</v>
      </c>
      <c r="D10204" s="3" t="s">
        <v>725</v>
      </c>
      <c r="E10204" s="4" t="str">
        <f t="shared" si="926"/>
        <v>Quận Cái Răng</v>
      </c>
      <c r="F10204" s="3" t="s">
        <v>10963</v>
      </c>
      <c r="G10204" s="4" t="str">
        <f>HYPERLINK("https://diaocthongthai.com/phuong-thuong-thanh-quan-cai-rang/","Phường Thường Thạnh")</f>
        <v>Phường Thường Thạnh</v>
      </c>
    </row>
    <row r="10205" spans="1:7" x14ac:dyDescent="0.25">
      <c r="A10205" s="2">
        <v>10204</v>
      </c>
      <c r="B10205" s="3" t="s">
        <v>61</v>
      </c>
      <c r="C10205" s="4" t="str">
        <f t="shared" si="922"/>
        <v>Cần Thơ</v>
      </c>
      <c r="D10205" s="3" t="s">
        <v>725</v>
      </c>
      <c r="E10205" s="4" t="str">
        <f t="shared" si="926"/>
        <v>Quận Cái Răng</v>
      </c>
      <c r="F10205" s="3" t="s">
        <v>10964</v>
      </c>
      <c r="G10205" s="4" t="str">
        <f>HYPERLINK("https://diaocthongthai.com/phuong-phu-thu-quan-cai-rang/","Phường Phú Thứ")</f>
        <v>Phường Phú Thứ</v>
      </c>
    </row>
    <row r="10206" spans="1:7" x14ac:dyDescent="0.25">
      <c r="A10206" s="2">
        <v>10205</v>
      </c>
      <c r="B10206" s="3" t="s">
        <v>61</v>
      </c>
      <c r="C10206" s="4" t="str">
        <f t="shared" ref="C10206:C10237" si="927">HYPERLINK("https://diaocthongthai.com/ban-do-can-tho/","Cần Thơ")</f>
        <v>Cần Thơ</v>
      </c>
      <c r="D10206" s="3" t="s">
        <v>725</v>
      </c>
      <c r="E10206" s="4" t="str">
        <f t="shared" si="926"/>
        <v>Quận Cái Răng</v>
      </c>
      <c r="F10206" s="3" t="s">
        <v>10965</v>
      </c>
      <c r="G10206" s="4" t="str">
        <f>HYPERLINK("https://diaocthongthai.com/phuong-tan-phu-quan-cai-rang/","Phường Tân Phú")</f>
        <v>Phường Tân Phú</v>
      </c>
    </row>
    <row r="10207" spans="1:7" x14ac:dyDescent="0.25">
      <c r="A10207" s="2">
        <v>10206</v>
      </c>
      <c r="B10207" s="3" t="s">
        <v>61</v>
      </c>
      <c r="C10207" s="4" t="str">
        <f t="shared" si="927"/>
        <v>Cần Thơ</v>
      </c>
      <c r="D10207" s="3" t="s">
        <v>726</v>
      </c>
      <c r="E10207" s="4" t="str">
        <f t="shared" ref="E10207:E10215" si="928">HYPERLINK("https://diaocthongthai.com/ban-do-quan-thot-not-tp-can-tho/","Quận Thốt Nốt")</f>
        <v>Quận Thốt Nốt</v>
      </c>
      <c r="F10207" s="3" t="s">
        <v>10966</v>
      </c>
      <c r="G10207" s="4" t="str">
        <f>HYPERLINK("https://diaocthongthai.com/phuong-thot-not-quan-thot-not/","Phường Thốt Nốt")</f>
        <v>Phường Thốt Nốt</v>
      </c>
    </row>
    <row r="10208" spans="1:7" x14ac:dyDescent="0.25">
      <c r="A10208" s="2">
        <v>10207</v>
      </c>
      <c r="B10208" s="3" t="s">
        <v>61</v>
      </c>
      <c r="C10208" s="4" t="str">
        <f t="shared" si="927"/>
        <v>Cần Thơ</v>
      </c>
      <c r="D10208" s="3" t="s">
        <v>726</v>
      </c>
      <c r="E10208" s="4" t="str">
        <f t="shared" si="928"/>
        <v>Quận Thốt Nốt</v>
      </c>
      <c r="F10208" s="3" t="s">
        <v>10967</v>
      </c>
      <c r="G10208" s="4" t="str">
        <f>HYPERLINK("https://diaocthongthai.com/phuong-thoi-thuan-quan-thot-not/","Phường Thới Thuận")</f>
        <v>Phường Thới Thuận</v>
      </c>
    </row>
    <row r="10209" spans="1:7" x14ac:dyDescent="0.25">
      <c r="A10209" s="2">
        <v>10208</v>
      </c>
      <c r="B10209" s="3" t="s">
        <v>61</v>
      </c>
      <c r="C10209" s="4" t="str">
        <f t="shared" si="927"/>
        <v>Cần Thơ</v>
      </c>
      <c r="D10209" s="3" t="s">
        <v>726</v>
      </c>
      <c r="E10209" s="4" t="str">
        <f t="shared" si="928"/>
        <v>Quận Thốt Nốt</v>
      </c>
      <c r="F10209" s="3" t="s">
        <v>10968</v>
      </c>
      <c r="G10209" s="4" t="str">
        <f>HYPERLINK("https://diaocthongthai.com/phuong-thuan-an-quan-thot-not/","Phường Thuận An")</f>
        <v>Phường Thuận An</v>
      </c>
    </row>
    <row r="10210" spans="1:7" x14ac:dyDescent="0.25">
      <c r="A10210" s="2">
        <v>10209</v>
      </c>
      <c r="B10210" s="3" t="s">
        <v>61</v>
      </c>
      <c r="C10210" s="4" t="str">
        <f t="shared" si="927"/>
        <v>Cần Thơ</v>
      </c>
      <c r="D10210" s="3" t="s">
        <v>726</v>
      </c>
      <c r="E10210" s="4" t="str">
        <f t="shared" si="928"/>
        <v>Quận Thốt Nốt</v>
      </c>
      <c r="F10210" s="3" t="s">
        <v>10969</v>
      </c>
      <c r="G10210" s="4" t="str">
        <f>HYPERLINK("https://diaocthongthai.com/phuong-tan-loc-quan-thot-not/","Phường Tân Lộc")</f>
        <v>Phường Tân Lộc</v>
      </c>
    </row>
    <row r="10211" spans="1:7" x14ac:dyDescent="0.25">
      <c r="A10211" s="2">
        <v>10210</v>
      </c>
      <c r="B10211" s="3" t="s">
        <v>61</v>
      </c>
      <c r="C10211" s="4" t="str">
        <f t="shared" si="927"/>
        <v>Cần Thơ</v>
      </c>
      <c r="D10211" s="3" t="s">
        <v>726</v>
      </c>
      <c r="E10211" s="4" t="str">
        <f t="shared" si="928"/>
        <v>Quận Thốt Nốt</v>
      </c>
      <c r="F10211" s="3" t="s">
        <v>10970</v>
      </c>
      <c r="G10211" s="4" t="str">
        <f>HYPERLINK("https://diaocthongthai.com/phuong-trung-nhut-quan-thot-not/","Phường Trung Nhứt")</f>
        <v>Phường Trung Nhứt</v>
      </c>
    </row>
    <row r="10212" spans="1:7" x14ac:dyDescent="0.25">
      <c r="A10212" s="2">
        <v>10211</v>
      </c>
      <c r="B10212" s="3" t="s">
        <v>61</v>
      </c>
      <c r="C10212" s="4" t="str">
        <f t="shared" si="927"/>
        <v>Cần Thơ</v>
      </c>
      <c r="D10212" s="3" t="s">
        <v>726</v>
      </c>
      <c r="E10212" s="4" t="str">
        <f t="shared" si="928"/>
        <v>Quận Thốt Nốt</v>
      </c>
      <c r="F10212" s="3" t="s">
        <v>10971</v>
      </c>
      <c r="G10212" s="4" t="str">
        <f>HYPERLINK("https://diaocthongthai.com/phuong-thanh-hoa-quan-thot-not/","Phường Thạnh Hoà")</f>
        <v>Phường Thạnh Hoà</v>
      </c>
    </row>
    <row r="10213" spans="1:7" x14ac:dyDescent="0.25">
      <c r="A10213" s="2">
        <v>10212</v>
      </c>
      <c r="B10213" s="3" t="s">
        <v>61</v>
      </c>
      <c r="C10213" s="4" t="str">
        <f t="shared" si="927"/>
        <v>Cần Thơ</v>
      </c>
      <c r="D10213" s="3" t="s">
        <v>726</v>
      </c>
      <c r="E10213" s="4" t="str">
        <f t="shared" si="928"/>
        <v>Quận Thốt Nốt</v>
      </c>
      <c r="F10213" s="3" t="s">
        <v>10972</v>
      </c>
      <c r="G10213" s="4" t="str">
        <f>HYPERLINK("https://diaocthongthai.com/phuong-trung-kien-quan-thot-not/","Phường Trung Kiên")</f>
        <v>Phường Trung Kiên</v>
      </c>
    </row>
    <row r="10214" spans="1:7" x14ac:dyDescent="0.25">
      <c r="A10214" s="2">
        <v>10213</v>
      </c>
      <c r="B10214" s="3" t="s">
        <v>61</v>
      </c>
      <c r="C10214" s="4" t="str">
        <f t="shared" si="927"/>
        <v>Cần Thơ</v>
      </c>
      <c r="D10214" s="3" t="s">
        <v>726</v>
      </c>
      <c r="E10214" s="4" t="str">
        <f t="shared" si="928"/>
        <v>Quận Thốt Nốt</v>
      </c>
      <c r="F10214" s="3" t="s">
        <v>10973</v>
      </c>
      <c r="G10214" s="4" t="str">
        <f>HYPERLINK("https://diaocthongthai.com/phuong-tan-hung-quan-thot-not/","Phường Tân Hưng")</f>
        <v>Phường Tân Hưng</v>
      </c>
    </row>
    <row r="10215" spans="1:7" x14ac:dyDescent="0.25">
      <c r="A10215" s="2">
        <v>10214</v>
      </c>
      <c r="B10215" s="3" t="s">
        <v>61</v>
      </c>
      <c r="C10215" s="4" t="str">
        <f t="shared" si="927"/>
        <v>Cần Thơ</v>
      </c>
      <c r="D10215" s="3" t="s">
        <v>726</v>
      </c>
      <c r="E10215" s="4" t="str">
        <f t="shared" si="928"/>
        <v>Quận Thốt Nốt</v>
      </c>
      <c r="F10215" s="3" t="s">
        <v>10974</v>
      </c>
      <c r="G10215" s="4" t="str">
        <f>HYPERLINK("https://diaocthongthai.com/phuong-thuan-hung-quan-thot-not/","Phường Thuận Hưng")</f>
        <v>Phường Thuận Hưng</v>
      </c>
    </row>
    <row r="10216" spans="1:7" x14ac:dyDescent="0.25">
      <c r="A10216" s="2">
        <v>10215</v>
      </c>
      <c r="B10216" s="3" t="s">
        <v>61</v>
      </c>
      <c r="C10216" s="4" t="str">
        <f t="shared" si="927"/>
        <v>Cần Thơ</v>
      </c>
      <c r="D10216" s="3" t="s">
        <v>727</v>
      </c>
      <c r="E10216" s="4" t="str">
        <f t="shared" ref="E10216:E10226" si="929">HYPERLINK("https://diaocthongthai.com/ban-do-huyen-vinh-thanh-tp-can-tho/","Huyện Vĩnh Thạnh")</f>
        <v>Huyện Vĩnh Thạnh</v>
      </c>
      <c r="F10216" s="3" t="s">
        <v>10975</v>
      </c>
      <c r="G10216" s="4" t="str">
        <f>HYPERLINK("https://diaocthongthai.com/xa-vinh-binh-vinh-thanh-can-tho/","Xã Vĩnh Bình")</f>
        <v>Xã Vĩnh Bình</v>
      </c>
    </row>
    <row r="10217" spans="1:7" x14ac:dyDescent="0.25">
      <c r="A10217" s="2">
        <v>10216</v>
      </c>
      <c r="B10217" s="3" t="s">
        <v>61</v>
      </c>
      <c r="C10217" s="4" t="str">
        <f t="shared" si="927"/>
        <v>Cần Thơ</v>
      </c>
      <c r="D10217" s="3" t="s">
        <v>727</v>
      </c>
      <c r="E10217" s="4" t="str">
        <f t="shared" si="929"/>
        <v>Huyện Vĩnh Thạnh</v>
      </c>
      <c r="F10217" s="3" t="s">
        <v>10976</v>
      </c>
      <c r="G10217" s="4" t="str">
        <f>HYPERLINK("https://diaocthongthai.com/thi-tran-thanh-an-vinh-thanh-can-tho/","Thị trấn Thanh An")</f>
        <v>Thị trấn Thanh An</v>
      </c>
    </row>
    <row r="10218" spans="1:7" x14ac:dyDescent="0.25">
      <c r="A10218" s="2">
        <v>10217</v>
      </c>
      <c r="B10218" s="3" t="s">
        <v>61</v>
      </c>
      <c r="C10218" s="4" t="str">
        <f t="shared" si="927"/>
        <v>Cần Thơ</v>
      </c>
      <c r="D10218" s="3" t="s">
        <v>727</v>
      </c>
      <c r="E10218" s="4" t="str">
        <f t="shared" si="929"/>
        <v>Huyện Vĩnh Thạnh</v>
      </c>
      <c r="F10218" s="3" t="s">
        <v>10977</v>
      </c>
      <c r="G10218" s="4" t="str">
        <f>HYPERLINK("https://diaocthongthai.com/thi-tran-vinh-thanh-vinh-thanh-can-tho/","Thị trấn Vĩnh Thạnh")</f>
        <v>Thị trấn Vĩnh Thạnh</v>
      </c>
    </row>
    <row r="10219" spans="1:7" x14ac:dyDescent="0.25">
      <c r="A10219" s="2">
        <v>10218</v>
      </c>
      <c r="B10219" s="3" t="s">
        <v>61</v>
      </c>
      <c r="C10219" s="4" t="str">
        <f t="shared" si="927"/>
        <v>Cần Thơ</v>
      </c>
      <c r="D10219" s="3" t="s">
        <v>727</v>
      </c>
      <c r="E10219" s="4" t="str">
        <f t="shared" si="929"/>
        <v>Huyện Vĩnh Thạnh</v>
      </c>
      <c r="F10219" s="3" t="s">
        <v>10978</v>
      </c>
      <c r="G10219" s="4" t="str">
        <f>HYPERLINK("https://diaocthongthai.com/xa-thanh-my-vinh-thanh-can-tho/","Xã Thạnh Mỹ")</f>
        <v>Xã Thạnh Mỹ</v>
      </c>
    </row>
    <row r="10220" spans="1:7" x14ac:dyDescent="0.25">
      <c r="A10220" s="2">
        <v>10219</v>
      </c>
      <c r="B10220" s="3" t="s">
        <v>61</v>
      </c>
      <c r="C10220" s="4" t="str">
        <f t="shared" si="927"/>
        <v>Cần Thơ</v>
      </c>
      <c r="D10220" s="3" t="s">
        <v>727</v>
      </c>
      <c r="E10220" s="4" t="str">
        <f t="shared" si="929"/>
        <v>Huyện Vĩnh Thạnh</v>
      </c>
      <c r="F10220" s="3" t="s">
        <v>10979</v>
      </c>
      <c r="G10220" s="4" t="str">
        <f>HYPERLINK("https://diaocthongthai.com/xa-vinh-trinh-vinh-thanh-can-tho/","Xã Vĩnh Trinh")</f>
        <v>Xã Vĩnh Trinh</v>
      </c>
    </row>
    <row r="10221" spans="1:7" x14ac:dyDescent="0.25">
      <c r="A10221" s="2">
        <v>10220</v>
      </c>
      <c r="B10221" s="3" t="s">
        <v>61</v>
      </c>
      <c r="C10221" s="4" t="str">
        <f t="shared" si="927"/>
        <v>Cần Thơ</v>
      </c>
      <c r="D10221" s="3" t="s">
        <v>727</v>
      </c>
      <c r="E10221" s="4" t="str">
        <f t="shared" si="929"/>
        <v>Huyện Vĩnh Thạnh</v>
      </c>
      <c r="F10221" s="3" t="s">
        <v>10980</v>
      </c>
      <c r="G10221" s="4" t="str">
        <f>HYPERLINK("https://diaocthongthai.com/xa-thanh-an-vinh-thanh-can-tho/","Xã Thạnh An")</f>
        <v>Xã Thạnh An</v>
      </c>
    </row>
    <row r="10222" spans="1:7" x14ac:dyDescent="0.25">
      <c r="A10222" s="2">
        <v>10221</v>
      </c>
      <c r="B10222" s="3" t="s">
        <v>61</v>
      </c>
      <c r="C10222" s="4" t="str">
        <f t="shared" si="927"/>
        <v>Cần Thơ</v>
      </c>
      <c r="D10222" s="3" t="s">
        <v>727</v>
      </c>
      <c r="E10222" s="4" t="str">
        <f t="shared" si="929"/>
        <v>Huyện Vĩnh Thạnh</v>
      </c>
      <c r="F10222" s="3" t="s">
        <v>10981</v>
      </c>
      <c r="G10222" s="4" t="str">
        <f>HYPERLINK("https://diaocthongthai.com/xa-thanh-tien-vinh-thanh-can-tho/","Xã Thạnh Tiến")</f>
        <v>Xã Thạnh Tiến</v>
      </c>
    </row>
    <row r="10223" spans="1:7" x14ac:dyDescent="0.25">
      <c r="A10223" s="2">
        <v>10222</v>
      </c>
      <c r="B10223" s="3" t="s">
        <v>61</v>
      </c>
      <c r="C10223" s="4" t="str">
        <f t="shared" si="927"/>
        <v>Cần Thơ</v>
      </c>
      <c r="D10223" s="3" t="s">
        <v>727</v>
      </c>
      <c r="E10223" s="4" t="str">
        <f t="shared" si="929"/>
        <v>Huyện Vĩnh Thạnh</v>
      </c>
      <c r="F10223" s="3" t="s">
        <v>10982</v>
      </c>
      <c r="G10223" s="4" t="str">
        <f>HYPERLINK("https://diaocthongthai.com/xa-thanh-thang-vinh-thanh-can-tho/","Xã Thạnh Thắng")</f>
        <v>Xã Thạnh Thắng</v>
      </c>
    </row>
    <row r="10224" spans="1:7" x14ac:dyDescent="0.25">
      <c r="A10224" s="2">
        <v>10223</v>
      </c>
      <c r="B10224" s="3" t="s">
        <v>61</v>
      </c>
      <c r="C10224" s="4" t="str">
        <f t="shared" si="927"/>
        <v>Cần Thơ</v>
      </c>
      <c r="D10224" s="3" t="s">
        <v>727</v>
      </c>
      <c r="E10224" s="4" t="str">
        <f t="shared" si="929"/>
        <v>Huyện Vĩnh Thạnh</v>
      </c>
      <c r="F10224" s="3" t="s">
        <v>10983</v>
      </c>
      <c r="G10224" s="4" t="str">
        <f>HYPERLINK("https://diaocthongthai.com/xa-thanh-loi-vinh-thanh-can-tho/","Xã Thạnh Lợi")</f>
        <v>Xã Thạnh Lợi</v>
      </c>
    </row>
    <row r="10225" spans="1:7" x14ac:dyDescent="0.25">
      <c r="A10225" s="2">
        <v>10224</v>
      </c>
      <c r="B10225" s="3" t="s">
        <v>61</v>
      </c>
      <c r="C10225" s="4" t="str">
        <f t="shared" si="927"/>
        <v>Cần Thơ</v>
      </c>
      <c r="D10225" s="3" t="s">
        <v>727</v>
      </c>
      <c r="E10225" s="4" t="str">
        <f t="shared" si="929"/>
        <v>Huyện Vĩnh Thạnh</v>
      </c>
      <c r="F10225" s="3" t="s">
        <v>10984</v>
      </c>
      <c r="G10225" s="4" t="str">
        <f>HYPERLINK("https://diaocthongthai.com/xa-thanh-quoi-vinh-thanh-can-tho/","Xã Thạnh Qưới")</f>
        <v>Xã Thạnh Qưới</v>
      </c>
    </row>
    <row r="10226" spans="1:7" x14ac:dyDescent="0.25">
      <c r="A10226" s="2">
        <v>10225</v>
      </c>
      <c r="B10226" s="3" t="s">
        <v>61</v>
      </c>
      <c r="C10226" s="4" t="str">
        <f t="shared" si="927"/>
        <v>Cần Thơ</v>
      </c>
      <c r="D10226" s="3" t="s">
        <v>727</v>
      </c>
      <c r="E10226" s="4" t="str">
        <f t="shared" si="929"/>
        <v>Huyện Vĩnh Thạnh</v>
      </c>
      <c r="F10226" s="3" t="s">
        <v>10985</v>
      </c>
      <c r="G10226" s="4" t="str">
        <f>HYPERLINK("https://diaocthongthai.com/xa-thanh-loc-vinh-thanh-can-tho/","Xã Thạnh Lộc")</f>
        <v>Xã Thạnh Lộc</v>
      </c>
    </row>
    <row r="10227" spans="1:7" x14ac:dyDescent="0.25">
      <c r="A10227" s="2">
        <v>10226</v>
      </c>
      <c r="B10227" s="3" t="s">
        <v>61</v>
      </c>
      <c r="C10227" s="4" t="str">
        <f t="shared" si="927"/>
        <v>Cần Thơ</v>
      </c>
      <c r="D10227" s="3" t="s">
        <v>728</v>
      </c>
      <c r="E10227" s="4" t="str">
        <f t="shared" ref="E10227:E10236" si="930">HYPERLINK("https://diaocthongthai.com/ban-do-huyen-co-do-tp-can-tho/","Huyện Cờ Đỏ")</f>
        <v>Huyện Cờ Đỏ</v>
      </c>
      <c r="F10227" s="3" t="s">
        <v>10986</v>
      </c>
      <c r="G10227" s="4" t="str">
        <f>HYPERLINK("https://diaocthongthai.com/xa-trung-an-co-do/","Xã Trung An")</f>
        <v>Xã Trung An</v>
      </c>
    </row>
    <row r="10228" spans="1:7" x14ac:dyDescent="0.25">
      <c r="A10228" s="2">
        <v>10227</v>
      </c>
      <c r="B10228" s="3" t="s">
        <v>61</v>
      </c>
      <c r="C10228" s="4" t="str">
        <f t="shared" si="927"/>
        <v>Cần Thơ</v>
      </c>
      <c r="D10228" s="3" t="s">
        <v>728</v>
      </c>
      <c r="E10228" s="4" t="str">
        <f t="shared" si="930"/>
        <v>Huyện Cờ Đỏ</v>
      </c>
      <c r="F10228" s="3" t="s">
        <v>10987</v>
      </c>
      <c r="G10228" s="4" t="str">
        <f>HYPERLINK("https://diaocthongthai.com/xa-trung-thanh-co-do/","Xã Trung Thạnh")</f>
        <v>Xã Trung Thạnh</v>
      </c>
    </row>
    <row r="10229" spans="1:7" x14ac:dyDescent="0.25">
      <c r="A10229" s="2">
        <v>10228</v>
      </c>
      <c r="B10229" s="3" t="s">
        <v>61</v>
      </c>
      <c r="C10229" s="4" t="str">
        <f t="shared" si="927"/>
        <v>Cần Thơ</v>
      </c>
      <c r="D10229" s="3" t="s">
        <v>728</v>
      </c>
      <c r="E10229" s="4" t="str">
        <f t="shared" si="930"/>
        <v>Huyện Cờ Đỏ</v>
      </c>
      <c r="F10229" s="3" t="s">
        <v>10988</v>
      </c>
      <c r="G10229" s="4" t="str">
        <f>HYPERLINK("https://diaocthongthai.com/xa-thanh-phu-co-do/","Xã Thạnh Phú")</f>
        <v>Xã Thạnh Phú</v>
      </c>
    </row>
    <row r="10230" spans="1:7" x14ac:dyDescent="0.25">
      <c r="A10230" s="2">
        <v>10229</v>
      </c>
      <c r="B10230" s="3" t="s">
        <v>61</v>
      </c>
      <c r="C10230" s="4" t="str">
        <f t="shared" si="927"/>
        <v>Cần Thơ</v>
      </c>
      <c r="D10230" s="3" t="s">
        <v>728</v>
      </c>
      <c r="E10230" s="4" t="str">
        <f t="shared" si="930"/>
        <v>Huyện Cờ Đỏ</v>
      </c>
      <c r="F10230" s="3" t="s">
        <v>10989</v>
      </c>
      <c r="G10230" s="4" t="str">
        <f>HYPERLINK("https://diaocthongthai.com/xa-trung-hung-co-do/","Xã Trung Hưng")</f>
        <v>Xã Trung Hưng</v>
      </c>
    </row>
    <row r="10231" spans="1:7" x14ac:dyDescent="0.25">
      <c r="A10231" s="2">
        <v>10230</v>
      </c>
      <c r="B10231" s="3" t="s">
        <v>61</v>
      </c>
      <c r="C10231" s="4" t="str">
        <f t="shared" si="927"/>
        <v>Cần Thơ</v>
      </c>
      <c r="D10231" s="3" t="s">
        <v>728</v>
      </c>
      <c r="E10231" s="4" t="str">
        <f t="shared" si="930"/>
        <v>Huyện Cờ Đỏ</v>
      </c>
      <c r="F10231" s="3" t="s">
        <v>10990</v>
      </c>
      <c r="G10231" s="4" t="str">
        <f>HYPERLINK("https://diaocthongthai.com/thi-tran-co-do-co-do/","Thị trấn Cờ Đỏ")</f>
        <v>Thị trấn Cờ Đỏ</v>
      </c>
    </row>
    <row r="10232" spans="1:7" x14ac:dyDescent="0.25">
      <c r="A10232" s="2">
        <v>10231</v>
      </c>
      <c r="B10232" s="3" t="s">
        <v>61</v>
      </c>
      <c r="C10232" s="4" t="str">
        <f t="shared" si="927"/>
        <v>Cần Thơ</v>
      </c>
      <c r="D10232" s="3" t="s">
        <v>728</v>
      </c>
      <c r="E10232" s="4" t="str">
        <f t="shared" si="930"/>
        <v>Huyện Cờ Đỏ</v>
      </c>
      <c r="F10232" s="3" t="s">
        <v>10991</v>
      </c>
      <c r="G10232" s="4" t="str">
        <f>HYPERLINK("https://diaocthongthai.com/xa-thoi-hung-co-do/","Xã Thới Hưng")</f>
        <v>Xã Thới Hưng</v>
      </c>
    </row>
    <row r="10233" spans="1:7" x14ac:dyDescent="0.25">
      <c r="A10233" s="2">
        <v>10232</v>
      </c>
      <c r="B10233" s="3" t="s">
        <v>61</v>
      </c>
      <c r="C10233" s="4" t="str">
        <f t="shared" si="927"/>
        <v>Cần Thơ</v>
      </c>
      <c r="D10233" s="3" t="s">
        <v>728</v>
      </c>
      <c r="E10233" s="4" t="str">
        <f t="shared" si="930"/>
        <v>Huyện Cờ Đỏ</v>
      </c>
      <c r="F10233" s="3" t="s">
        <v>10992</v>
      </c>
      <c r="G10233" s="4" t="str">
        <f>HYPERLINK("https://diaocthongthai.com/xa-dong-hiep-co-do/","Xã Đông Hiệp")</f>
        <v>Xã Đông Hiệp</v>
      </c>
    </row>
    <row r="10234" spans="1:7" x14ac:dyDescent="0.25">
      <c r="A10234" s="2">
        <v>10233</v>
      </c>
      <c r="B10234" s="3" t="s">
        <v>61</v>
      </c>
      <c r="C10234" s="4" t="str">
        <f t="shared" si="927"/>
        <v>Cần Thơ</v>
      </c>
      <c r="D10234" s="3" t="s">
        <v>728</v>
      </c>
      <c r="E10234" s="4" t="str">
        <f t="shared" si="930"/>
        <v>Huyện Cờ Đỏ</v>
      </c>
      <c r="F10234" s="3" t="s">
        <v>10993</v>
      </c>
      <c r="G10234" s="4" t="str">
        <f>HYPERLINK("https://diaocthongthai.com/xa-dong-thang-co-do/","Xã Đông Thắng")</f>
        <v>Xã Đông Thắng</v>
      </c>
    </row>
    <row r="10235" spans="1:7" x14ac:dyDescent="0.25">
      <c r="A10235" s="2">
        <v>10234</v>
      </c>
      <c r="B10235" s="3" t="s">
        <v>61</v>
      </c>
      <c r="C10235" s="4" t="str">
        <f t="shared" si="927"/>
        <v>Cần Thơ</v>
      </c>
      <c r="D10235" s="3" t="s">
        <v>728</v>
      </c>
      <c r="E10235" s="4" t="str">
        <f t="shared" si="930"/>
        <v>Huyện Cờ Đỏ</v>
      </c>
      <c r="F10235" s="3" t="s">
        <v>10994</v>
      </c>
      <c r="G10235" s="4" t="str">
        <f>HYPERLINK("https://diaocthongthai.com/xa-thoi-dong-co-do/","Xã Thới Đông")</f>
        <v>Xã Thới Đông</v>
      </c>
    </row>
    <row r="10236" spans="1:7" x14ac:dyDescent="0.25">
      <c r="A10236" s="2">
        <v>10235</v>
      </c>
      <c r="B10236" s="3" t="s">
        <v>61</v>
      </c>
      <c r="C10236" s="4" t="str">
        <f t="shared" si="927"/>
        <v>Cần Thơ</v>
      </c>
      <c r="D10236" s="3" t="s">
        <v>728</v>
      </c>
      <c r="E10236" s="4" t="str">
        <f t="shared" si="930"/>
        <v>Huyện Cờ Đỏ</v>
      </c>
      <c r="F10236" s="3" t="s">
        <v>10995</v>
      </c>
      <c r="G10236" s="4" t="str">
        <f>HYPERLINK("https://diaocthongthai.com/xa-thoi-xuan-co-do/","Xã Thới Xuân")</f>
        <v>Xã Thới Xuân</v>
      </c>
    </row>
    <row r="10237" spans="1:7" x14ac:dyDescent="0.25">
      <c r="A10237" s="2">
        <v>10236</v>
      </c>
      <c r="B10237" s="3" t="s">
        <v>61</v>
      </c>
      <c r="C10237" s="4" t="str">
        <f t="shared" si="927"/>
        <v>Cần Thơ</v>
      </c>
      <c r="D10237" s="3" t="s">
        <v>729</v>
      </c>
      <c r="E10237" s="4" t="str">
        <f t="shared" ref="E10237:E10243" si="931">HYPERLINK("https://diaocthongthai.com/ban-do-huyen-phong-dien-tp-can-tho/","Huyện Phong Điền")</f>
        <v>Huyện Phong Điền</v>
      </c>
      <c r="F10237" s="3" t="s">
        <v>10996</v>
      </c>
      <c r="G10237" s="4" t="str">
        <f>HYPERLINK("https://diaocthongthai.com/thi-tran-phong-dien-phong-dien-can-tho/","Thị trấn Phong Điền")</f>
        <v>Thị trấn Phong Điền</v>
      </c>
    </row>
    <row r="10238" spans="1:7" x14ac:dyDescent="0.25">
      <c r="A10238" s="2">
        <v>10237</v>
      </c>
      <c r="B10238" s="3" t="s">
        <v>61</v>
      </c>
      <c r="C10238" s="4" t="str">
        <f t="shared" ref="C10238:C10256" si="932">HYPERLINK("https://diaocthongthai.com/ban-do-can-tho/","Cần Thơ")</f>
        <v>Cần Thơ</v>
      </c>
      <c r="D10238" s="3" t="s">
        <v>729</v>
      </c>
      <c r="E10238" s="4" t="str">
        <f t="shared" si="931"/>
        <v>Huyện Phong Điền</v>
      </c>
      <c r="F10238" s="3" t="s">
        <v>10997</v>
      </c>
      <c r="G10238" s="4" t="str">
        <f>HYPERLINK("https://diaocthongthai.com/xa-nhon-ai-phong-dien-can-tho/","Xã Nhơn Ái")</f>
        <v>Xã Nhơn Ái</v>
      </c>
    </row>
    <row r="10239" spans="1:7" x14ac:dyDescent="0.25">
      <c r="A10239" s="2">
        <v>10238</v>
      </c>
      <c r="B10239" s="3" t="s">
        <v>61</v>
      </c>
      <c r="C10239" s="4" t="str">
        <f t="shared" si="932"/>
        <v>Cần Thơ</v>
      </c>
      <c r="D10239" s="3" t="s">
        <v>729</v>
      </c>
      <c r="E10239" s="4" t="str">
        <f t="shared" si="931"/>
        <v>Huyện Phong Điền</v>
      </c>
      <c r="F10239" s="3" t="s">
        <v>10998</v>
      </c>
      <c r="G10239" s="4" t="str">
        <f>HYPERLINK("https://diaocthongthai.com/xa-giai-xuan-phong-dien-can-tho/","Xã Giai Xuân")</f>
        <v>Xã Giai Xuân</v>
      </c>
    </row>
    <row r="10240" spans="1:7" x14ac:dyDescent="0.25">
      <c r="A10240" s="2">
        <v>10239</v>
      </c>
      <c r="B10240" s="3" t="s">
        <v>61</v>
      </c>
      <c r="C10240" s="4" t="str">
        <f t="shared" si="932"/>
        <v>Cần Thơ</v>
      </c>
      <c r="D10240" s="3" t="s">
        <v>729</v>
      </c>
      <c r="E10240" s="4" t="str">
        <f t="shared" si="931"/>
        <v>Huyện Phong Điền</v>
      </c>
      <c r="F10240" s="3" t="s">
        <v>10999</v>
      </c>
      <c r="G10240" s="4" t="str">
        <f>HYPERLINK("https://diaocthongthai.com/xa-tan-thoi-phong-dien-can-tho/","Xã Tân Thới")</f>
        <v>Xã Tân Thới</v>
      </c>
    </row>
    <row r="10241" spans="1:7" x14ac:dyDescent="0.25">
      <c r="A10241" s="2">
        <v>10240</v>
      </c>
      <c r="B10241" s="3" t="s">
        <v>61</v>
      </c>
      <c r="C10241" s="4" t="str">
        <f t="shared" si="932"/>
        <v>Cần Thơ</v>
      </c>
      <c r="D10241" s="3" t="s">
        <v>729</v>
      </c>
      <c r="E10241" s="4" t="str">
        <f t="shared" si="931"/>
        <v>Huyện Phong Điền</v>
      </c>
      <c r="F10241" s="3" t="s">
        <v>11000</v>
      </c>
      <c r="G10241" s="4" t="str">
        <f>HYPERLINK("https://diaocthongthai.com/xa-truong-long-phong-dien-can-tho/","Xã Trường Long")</f>
        <v>Xã Trường Long</v>
      </c>
    </row>
    <row r="10242" spans="1:7" x14ac:dyDescent="0.25">
      <c r="A10242" s="2">
        <v>10241</v>
      </c>
      <c r="B10242" s="3" t="s">
        <v>61</v>
      </c>
      <c r="C10242" s="4" t="str">
        <f t="shared" si="932"/>
        <v>Cần Thơ</v>
      </c>
      <c r="D10242" s="3" t="s">
        <v>729</v>
      </c>
      <c r="E10242" s="4" t="str">
        <f t="shared" si="931"/>
        <v>Huyện Phong Điền</v>
      </c>
      <c r="F10242" s="3" t="s">
        <v>11001</v>
      </c>
      <c r="G10242" s="4" t="str">
        <f>HYPERLINK("https://diaocthongthai.com/xa-my-khanh-phong-dien-can-tho/","Xã Mỹ Khánh")</f>
        <v>Xã Mỹ Khánh</v>
      </c>
    </row>
    <row r="10243" spans="1:7" x14ac:dyDescent="0.25">
      <c r="A10243" s="2">
        <v>10242</v>
      </c>
      <c r="B10243" s="3" t="s">
        <v>61</v>
      </c>
      <c r="C10243" s="4" t="str">
        <f t="shared" si="932"/>
        <v>Cần Thơ</v>
      </c>
      <c r="D10243" s="3" t="s">
        <v>729</v>
      </c>
      <c r="E10243" s="4" t="str">
        <f t="shared" si="931"/>
        <v>Huyện Phong Điền</v>
      </c>
      <c r="F10243" s="3" t="s">
        <v>11002</v>
      </c>
      <c r="G10243" s="4" t="str">
        <f>HYPERLINK("https://diaocthongthai.com/xa-nhon-nghia-phong-dien-can-tho/","Xã Nhơn Nghĩa")</f>
        <v>Xã Nhơn Nghĩa</v>
      </c>
    </row>
    <row r="10244" spans="1:7" x14ac:dyDescent="0.25">
      <c r="A10244" s="2">
        <v>10243</v>
      </c>
      <c r="B10244" s="3" t="s">
        <v>61</v>
      </c>
      <c r="C10244" s="4" t="str">
        <f t="shared" si="932"/>
        <v>Cần Thơ</v>
      </c>
      <c r="D10244" s="3" t="s">
        <v>730</v>
      </c>
      <c r="E10244" s="4" t="str">
        <f t="shared" ref="E10244:E10256" si="933">HYPERLINK("https://diaocthongthai.com/ban-do-huyen-thoi-lai-tp-can-tho/","Huyện Thới Lai")</f>
        <v>Huyện Thới Lai</v>
      </c>
      <c r="F10244" s="3" t="s">
        <v>11003</v>
      </c>
      <c r="G10244" s="4" t="str">
        <f>HYPERLINK("https://diaocthongthai.com/thi-tran-thoi-lai-thoi-lai/","Thị trấn Thới Lai")</f>
        <v>Thị trấn Thới Lai</v>
      </c>
    </row>
    <row r="10245" spans="1:7" x14ac:dyDescent="0.25">
      <c r="A10245" s="2">
        <v>10244</v>
      </c>
      <c r="B10245" s="3" t="s">
        <v>61</v>
      </c>
      <c r="C10245" s="4" t="str">
        <f t="shared" si="932"/>
        <v>Cần Thơ</v>
      </c>
      <c r="D10245" s="3" t="s">
        <v>730</v>
      </c>
      <c r="E10245" s="4" t="str">
        <f t="shared" si="933"/>
        <v>Huyện Thới Lai</v>
      </c>
      <c r="F10245" s="3" t="s">
        <v>11004</v>
      </c>
      <c r="G10245" s="4" t="str">
        <f>HYPERLINK("https://diaocthongthai.com/xa-thoi-thanh-thoi-lai/","Xã Thới Thạnh")</f>
        <v>Xã Thới Thạnh</v>
      </c>
    </row>
    <row r="10246" spans="1:7" x14ac:dyDescent="0.25">
      <c r="A10246" s="2">
        <v>10245</v>
      </c>
      <c r="B10246" s="3" t="s">
        <v>61</v>
      </c>
      <c r="C10246" s="4" t="str">
        <f t="shared" si="932"/>
        <v>Cần Thơ</v>
      </c>
      <c r="D10246" s="3" t="s">
        <v>730</v>
      </c>
      <c r="E10246" s="4" t="str">
        <f t="shared" si="933"/>
        <v>Huyện Thới Lai</v>
      </c>
      <c r="F10246" s="3" t="s">
        <v>11005</v>
      </c>
      <c r="G10246" s="4" t="str">
        <f>HYPERLINK("https://diaocthongthai.com/xa-tan-thanh-thoi-lai/","Xã Tân Thạnh")</f>
        <v>Xã Tân Thạnh</v>
      </c>
    </row>
    <row r="10247" spans="1:7" x14ac:dyDescent="0.25">
      <c r="A10247" s="2">
        <v>10246</v>
      </c>
      <c r="B10247" s="3" t="s">
        <v>61</v>
      </c>
      <c r="C10247" s="4" t="str">
        <f t="shared" si="932"/>
        <v>Cần Thơ</v>
      </c>
      <c r="D10247" s="3" t="s">
        <v>730</v>
      </c>
      <c r="E10247" s="4" t="str">
        <f t="shared" si="933"/>
        <v>Huyện Thới Lai</v>
      </c>
      <c r="F10247" s="3" t="s">
        <v>11006</v>
      </c>
      <c r="G10247" s="4" t="str">
        <f>HYPERLINK("https://diaocthongthai.com/xa-xuan-thang-thoi-lai/","Xã Xuân Thắng")</f>
        <v>Xã Xuân Thắng</v>
      </c>
    </row>
    <row r="10248" spans="1:7" x14ac:dyDescent="0.25">
      <c r="A10248" s="2">
        <v>10247</v>
      </c>
      <c r="B10248" s="3" t="s">
        <v>61</v>
      </c>
      <c r="C10248" s="4" t="str">
        <f t="shared" si="932"/>
        <v>Cần Thơ</v>
      </c>
      <c r="D10248" s="3" t="s">
        <v>730</v>
      </c>
      <c r="E10248" s="4" t="str">
        <f t="shared" si="933"/>
        <v>Huyện Thới Lai</v>
      </c>
      <c r="F10248" s="3" t="s">
        <v>11007</v>
      </c>
      <c r="G10248" s="4" t="str">
        <f>HYPERLINK("https://diaocthongthai.com/xa-dong-binh-thoi-lai/","Xã Đông Bình")</f>
        <v>Xã Đông Bình</v>
      </c>
    </row>
    <row r="10249" spans="1:7" x14ac:dyDescent="0.25">
      <c r="A10249" s="2">
        <v>10248</v>
      </c>
      <c r="B10249" s="3" t="s">
        <v>61</v>
      </c>
      <c r="C10249" s="4" t="str">
        <f t="shared" si="932"/>
        <v>Cần Thơ</v>
      </c>
      <c r="D10249" s="3" t="s">
        <v>730</v>
      </c>
      <c r="E10249" s="4" t="str">
        <f t="shared" si="933"/>
        <v>Huyện Thới Lai</v>
      </c>
      <c r="F10249" s="3" t="s">
        <v>11008</v>
      </c>
      <c r="G10249" s="4" t="str">
        <f>HYPERLINK("https://diaocthongthai.com/xa-dong-thuan-thoi-lai/","Xã Đông Thuận")</f>
        <v>Xã Đông Thuận</v>
      </c>
    </row>
    <row r="10250" spans="1:7" x14ac:dyDescent="0.25">
      <c r="A10250" s="2">
        <v>10249</v>
      </c>
      <c r="B10250" s="3" t="s">
        <v>61</v>
      </c>
      <c r="C10250" s="4" t="str">
        <f t="shared" si="932"/>
        <v>Cần Thơ</v>
      </c>
      <c r="D10250" s="3" t="s">
        <v>730</v>
      </c>
      <c r="E10250" s="4" t="str">
        <f t="shared" si="933"/>
        <v>Huyện Thới Lai</v>
      </c>
      <c r="F10250" s="3" t="s">
        <v>11009</v>
      </c>
      <c r="G10250" s="4" t="str">
        <f>HYPERLINK("https://diaocthongthai.com/xa-thoi-tan-thoi-lai/","Xã Thới Tân")</f>
        <v>Xã Thới Tân</v>
      </c>
    </row>
    <row r="10251" spans="1:7" x14ac:dyDescent="0.25">
      <c r="A10251" s="2">
        <v>10250</v>
      </c>
      <c r="B10251" s="3" t="s">
        <v>61</v>
      </c>
      <c r="C10251" s="4" t="str">
        <f t="shared" si="932"/>
        <v>Cần Thơ</v>
      </c>
      <c r="D10251" s="3" t="s">
        <v>730</v>
      </c>
      <c r="E10251" s="4" t="str">
        <f t="shared" si="933"/>
        <v>Huyện Thới Lai</v>
      </c>
      <c r="F10251" s="3" t="s">
        <v>11010</v>
      </c>
      <c r="G10251" s="4" t="str">
        <f>HYPERLINK("https://diaocthongthai.com/xa-truong-thang-thoi-lai/","Xã Trường Thắng")</f>
        <v>Xã Trường Thắng</v>
      </c>
    </row>
    <row r="10252" spans="1:7" x14ac:dyDescent="0.25">
      <c r="A10252" s="2">
        <v>10251</v>
      </c>
      <c r="B10252" s="3" t="s">
        <v>61</v>
      </c>
      <c r="C10252" s="4" t="str">
        <f t="shared" si="932"/>
        <v>Cần Thơ</v>
      </c>
      <c r="D10252" s="3" t="s">
        <v>730</v>
      </c>
      <c r="E10252" s="4" t="str">
        <f t="shared" si="933"/>
        <v>Huyện Thới Lai</v>
      </c>
      <c r="F10252" s="3" t="s">
        <v>11011</v>
      </c>
      <c r="G10252" s="4" t="str">
        <f>HYPERLINK("https://diaocthongthai.com/xa-dinh-mon-thoi-lai/","Xã Định Môn")</f>
        <v>Xã Định Môn</v>
      </c>
    </row>
    <row r="10253" spans="1:7" x14ac:dyDescent="0.25">
      <c r="A10253" s="2">
        <v>10252</v>
      </c>
      <c r="B10253" s="3" t="s">
        <v>61</v>
      </c>
      <c r="C10253" s="4" t="str">
        <f t="shared" si="932"/>
        <v>Cần Thơ</v>
      </c>
      <c r="D10253" s="3" t="s">
        <v>730</v>
      </c>
      <c r="E10253" s="4" t="str">
        <f t="shared" si="933"/>
        <v>Huyện Thới Lai</v>
      </c>
      <c r="F10253" s="3" t="s">
        <v>11012</v>
      </c>
      <c r="G10253" s="4" t="str">
        <f>HYPERLINK("https://diaocthongthai.com/xa-truong-thanh-thoi-lai/","Xã Trường Thành")</f>
        <v>Xã Trường Thành</v>
      </c>
    </row>
    <row r="10254" spans="1:7" x14ac:dyDescent="0.25">
      <c r="A10254" s="2">
        <v>10253</v>
      </c>
      <c r="B10254" s="3" t="s">
        <v>61</v>
      </c>
      <c r="C10254" s="4" t="str">
        <f t="shared" si="932"/>
        <v>Cần Thơ</v>
      </c>
      <c r="D10254" s="3" t="s">
        <v>730</v>
      </c>
      <c r="E10254" s="4" t="str">
        <f t="shared" si="933"/>
        <v>Huyện Thới Lai</v>
      </c>
      <c r="F10254" s="3" t="s">
        <v>11013</v>
      </c>
      <c r="G10254" s="4" t="str">
        <f>HYPERLINK("https://diaocthongthai.com/xa-truong-xuan-thoi-lai/","Xã Trường Xuân")</f>
        <v>Xã Trường Xuân</v>
      </c>
    </row>
    <row r="10255" spans="1:7" x14ac:dyDescent="0.25">
      <c r="A10255" s="2">
        <v>10254</v>
      </c>
      <c r="B10255" s="3" t="s">
        <v>61</v>
      </c>
      <c r="C10255" s="4" t="str">
        <f t="shared" si="932"/>
        <v>Cần Thơ</v>
      </c>
      <c r="D10255" s="3" t="s">
        <v>730</v>
      </c>
      <c r="E10255" s="4" t="str">
        <f t="shared" si="933"/>
        <v>Huyện Thới Lai</v>
      </c>
      <c r="F10255" s="3" t="s">
        <v>11014</v>
      </c>
      <c r="G10255" s="4" t="str">
        <f>HYPERLINK("https://diaocthongthai.com/xa-truong-xuan-a-thoi-lai/","Xã Trường Xuân A")</f>
        <v>Xã Trường Xuân A</v>
      </c>
    </row>
    <row r="10256" spans="1:7" x14ac:dyDescent="0.25">
      <c r="A10256" s="2">
        <v>10255</v>
      </c>
      <c r="B10256" s="3" t="s">
        <v>61</v>
      </c>
      <c r="C10256" s="4" t="str">
        <f t="shared" si="932"/>
        <v>Cần Thơ</v>
      </c>
      <c r="D10256" s="3" t="s">
        <v>730</v>
      </c>
      <c r="E10256" s="4" t="str">
        <f t="shared" si="933"/>
        <v>Huyện Thới Lai</v>
      </c>
      <c r="F10256" s="3" t="s">
        <v>11015</v>
      </c>
      <c r="G10256" s="4" t="str">
        <f>HYPERLINK("https://diaocthongthai.com/xa-truong-xuan-b-thoi-lai/","Xã Trường Xuân B")</f>
        <v>Xã Trường Xuân B</v>
      </c>
    </row>
    <row r="10257" spans="1:7" x14ac:dyDescent="0.25">
      <c r="A10257" s="2">
        <v>10256</v>
      </c>
      <c r="B10257" s="3" t="s">
        <v>62</v>
      </c>
      <c r="C10257" s="4" t="str">
        <f t="shared" ref="C10257:C10288" si="934">HYPERLINK("https://diaocthongthai.com/ban-do-hau-giang/","Hậu Giang")</f>
        <v>Hậu Giang</v>
      </c>
      <c r="D10257" s="3" t="s">
        <v>731</v>
      </c>
      <c r="E10257" s="4" t="str">
        <f t="shared" ref="E10257:E10265" si="935">HYPERLINK("https://diaocthongthai.com/ban-do-tp-vi-thanh-hau-giang/","Thành phố Vị Thanh")</f>
        <v>Thành phố Vị Thanh</v>
      </c>
      <c r="F10257" s="3" t="s">
        <v>11016</v>
      </c>
      <c r="G10257" s="4" t="str">
        <f>HYPERLINK("https://diaocthongthai.com/phuong-i-tp-vi-thanh/","Phường I")</f>
        <v>Phường I</v>
      </c>
    </row>
    <row r="10258" spans="1:7" x14ac:dyDescent="0.25">
      <c r="A10258" s="2">
        <v>10257</v>
      </c>
      <c r="B10258" s="3" t="s">
        <v>62</v>
      </c>
      <c r="C10258" s="4" t="str">
        <f t="shared" si="934"/>
        <v>Hậu Giang</v>
      </c>
      <c r="D10258" s="3" t="s">
        <v>731</v>
      </c>
      <c r="E10258" s="4" t="str">
        <f t="shared" si="935"/>
        <v>Thành phố Vị Thanh</v>
      </c>
      <c r="F10258" s="3" t="s">
        <v>11017</v>
      </c>
      <c r="G10258" s="4" t="str">
        <f>HYPERLINK("https://diaocthongthai.com/phuong-iii-tp-vi-thanh/","Phường III")</f>
        <v>Phường III</v>
      </c>
    </row>
    <row r="10259" spans="1:7" x14ac:dyDescent="0.25">
      <c r="A10259" s="2">
        <v>10258</v>
      </c>
      <c r="B10259" s="3" t="s">
        <v>62</v>
      </c>
      <c r="C10259" s="4" t="str">
        <f t="shared" si="934"/>
        <v>Hậu Giang</v>
      </c>
      <c r="D10259" s="3" t="s">
        <v>731</v>
      </c>
      <c r="E10259" s="4" t="str">
        <f t="shared" si="935"/>
        <v>Thành phố Vị Thanh</v>
      </c>
      <c r="F10259" s="3" t="s">
        <v>11018</v>
      </c>
      <c r="G10259" s="4" t="str">
        <f>HYPERLINK("https://diaocthongthai.com/phuong-iv-tp-vi-thanh/","Phường IV")</f>
        <v>Phường IV</v>
      </c>
    </row>
    <row r="10260" spans="1:7" x14ac:dyDescent="0.25">
      <c r="A10260" s="2">
        <v>10259</v>
      </c>
      <c r="B10260" s="3" t="s">
        <v>62</v>
      </c>
      <c r="C10260" s="4" t="str">
        <f t="shared" si="934"/>
        <v>Hậu Giang</v>
      </c>
      <c r="D10260" s="3" t="s">
        <v>731</v>
      </c>
      <c r="E10260" s="4" t="str">
        <f t="shared" si="935"/>
        <v>Thành phố Vị Thanh</v>
      </c>
      <c r="F10260" s="3" t="s">
        <v>11019</v>
      </c>
      <c r="G10260" s="4" t="str">
        <f>HYPERLINK("https://diaocthongthai.com/phuong-v-tp-vi-thanh/","Phường V")</f>
        <v>Phường V</v>
      </c>
    </row>
    <row r="10261" spans="1:7" x14ac:dyDescent="0.25">
      <c r="A10261" s="2">
        <v>10260</v>
      </c>
      <c r="B10261" s="3" t="s">
        <v>62</v>
      </c>
      <c r="C10261" s="4" t="str">
        <f t="shared" si="934"/>
        <v>Hậu Giang</v>
      </c>
      <c r="D10261" s="3" t="s">
        <v>731</v>
      </c>
      <c r="E10261" s="4" t="str">
        <f t="shared" si="935"/>
        <v>Thành phố Vị Thanh</v>
      </c>
      <c r="F10261" s="3" t="s">
        <v>11020</v>
      </c>
      <c r="G10261" s="4" t="str">
        <f>HYPERLINK("https://diaocthongthai.com/phuong-vii-tp-vi-thanh/","Phường VII")</f>
        <v>Phường VII</v>
      </c>
    </row>
    <row r="10262" spans="1:7" x14ac:dyDescent="0.25">
      <c r="A10262" s="2">
        <v>10261</v>
      </c>
      <c r="B10262" s="3" t="s">
        <v>62</v>
      </c>
      <c r="C10262" s="4" t="str">
        <f t="shared" si="934"/>
        <v>Hậu Giang</v>
      </c>
      <c r="D10262" s="3" t="s">
        <v>731</v>
      </c>
      <c r="E10262" s="4" t="str">
        <f t="shared" si="935"/>
        <v>Thành phố Vị Thanh</v>
      </c>
      <c r="F10262" s="3" t="s">
        <v>11021</v>
      </c>
      <c r="G10262" s="4" t="str">
        <f>HYPERLINK("https://diaocthongthai.com/xa-vi-tan-tp-vi-thanh/","Xã Vị Tân")</f>
        <v>Xã Vị Tân</v>
      </c>
    </row>
    <row r="10263" spans="1:7" x14ac:dyDescent="0.25">
      <c r="A10263" s="2">
        <v>10262</v>
      </c>
      <c r="B10263" s="3" t="s">
        <v>62</v>
      </c>
      <c r="C10263" s="4" t="str">
        <f t="shared" si="934"/>
        <v>Hậu Giang</v>
      </c>
      <c r="D10263" s="3" t="s">
        <v>731</v>
      </c>
      <c r="E10263" s="4" t="str">
        <f t="shared" si="935"/>
        <v>Thành phố Vị Thanh</v>
      </c>
      <c r="F10263" s="3" t="s">
        <v>11022</v>
      </c>
      <c r="G10263" s="4" t="str">
        <f>HYPERLINK("https://diaocthongthai.com/xa-hoa-luu-tp-vi-thanh/","Xã Hoả Lựu")</f>
        <v>Xã Hoả Lựu</v>
      </c>
    </row>
    <row r="10264" spans="1:7" x14ac:dyDescent="0.25">
      <c r="A10264" s="2">
        <v>10263</v>
      </c>
      <c r="B10264" s="3" t="s">
        <v>62</v>
      </c>
      <c r="C10264" s="4" t="str">
        <f t="shared" si="934"/>
        <v>Hậu Giang</v>
      </c>
      <c r="D10264" s="3" t="s">
        <v>731</v>
      </c>
      <c r="E10264" s="4" t="str">
        <f t="shared" si="935"/>
        <v>Thành phố Vị Thanh</v>
      </c>
      <c r="F10264" s="3" t="s">
        <v>11023</v>
      </c>
      <c r="G10264" s="4" t="str">
        <f>HYPERLINK("https://diaocthongthai.com/xa-tan-tien-tp-vi-thanh/","Xã Tân Tiến")</f>
        <v>Xã Tân Tiến</v>
      </c>
    </row>
    <row r="10265" spans="1:7" x14ac:dyDescent="0.25">
      <c r="A10265" s="2">
        <v>10264</v>
      </c>
      <c r="B10265" s="3" t="s">
        <v>62</v>
      </c>
      <c r="C10265" s="4" t="str">
        <f t="shared" si="934"/>
        <v>Hậu Giang</v>
      </c>
      <c r="D10265" s="3" t="s">
        <v>731</v>
      </c>
      <c r="E10265" s="4" t="str">
        <f t="shared" si="935"/>
        <v>Thành phố Vị Thanh</v>
      </c>
      <c r="F10265" s="3" t="s">
        <v>11024</v>
      </c>
      <c r="G10265" s="4" t="str">
        <f>HYPERLINK("https://diaocthongthai.com/xa-hoa-tien-tp-vi-thanh/","Xã Hoả Tiến")</f>
        <v>Xã Hoả Tiến</v>
      </c>
    </row>
    <row r="10266" spans="1:7" x14ac:dyDescent="0.25">
      <c r="A10266" s="2">
        <v>10265</v>
      </c>
      <c r="B10266" s="3" t="s">
        <v>62</v>
      </c>
      <c r="C10266" s="4" t="str">
        <f t="shared" si="934"/>
        <v>Hậu Giang</v>
      </c>
      <c r="D10266" s="3" t="s">
        <v>732</v>
      </c>
      <c r="E10266" s="4" t="str">
        <f t="shared" ref="E10266:E10271" si="936">HYPERLINK("https://diaocthongthai.com/ban-do-thi-xa-nga-bay-hau-giang/","Thành phố Ngã Bảy")</f>
        <v>Thành phố Ngã Bảy</v>
      </c>
      <c r="F10266" s="3" t="s">
        <v>11025</v>
      </c>
      <c r="G10266" s="4" t="str">
        <f>HYPERLINK("https://diaocthongthai.com/phuong-nga-bay-tp-nga-bay/","Phường Ngã Bảy")</f>
        <v>Phường Ngã Bảy</v>
      </c>
    </row>
    <row r="10267" spans="1:7" x14ac:dyDescent="0.25">
      <c r="A10267" s="2">
        <v>10266</v>
      </c>
      <c r="B10267" s="3" t="s">
        <v>62</v>
      </c>
      <c r="C10267" s="4" t="str">
        <f t="shared" si="934"/>
        <v>Hậu Giang</v>
      </c>
      <c r="D10267" s="3" t="s">
        <v>732</v>
      </c>
      <c r="E10267" s="4" t="str">
        <f t="shared" si="936"/>
        <v>Thành phố Ngã Bảy</v>
      </c>
      <c r="F10267" s="3" t="s">
        <v>11026</v>
      </c>
      <c r="G10267" s="4" t="str">
        <f>HYPERLINK("https://diaocthongthai.com/phuong-lai-hieu-tp-nga-bay/","Phường Lái Hiếu")</f>
        <v>Phường Lái Hiếu</v>
      </c>
    </row>
    <row r="10268" spans="1:7" x14ac:dyDescent="0.25">
      <c r="A10268" s="2">
        <v>10267</v>
      </c>
      <c r="B10268" s="3" t="s">
        <v>62</v>
      </c>
      <c r="C10268" s="4" t="str">
        <f t="shared" si="934"/>
        <v>Hậu Giang</v>
      </c>
      <c r="D10268" s="3" t="s">
        <v>732</v>
      </c>
      <c r="E10268" s="4" t="str">
        <f t="shared" si="936"/>
        <v>Thành phố Ngã Bảy</v>
      </c>
      <c r="F10268" s="3" t="s">
        <v>11027</v>
      </c>
      <c r="G10268" s="4" t="str">
        <f>HYPERLINK("https://diaocthongthai.com/phuong-hiep-thanh-tp-nga-bay/","Phường Hiệp Thành")</f>
        <v>Phường Hiệp Thành</v>
      </c>
    </row>
    <row r="10269" spans="1:7" x14ac:dyDescent="0.25">
      <c r="A10269" s="2">
        <v>10268</v>
      </c>
      <c r="B10269" s="3" t="s">
        <v>62</v>
      </c>
      <c r="C10269" s="4" t="str">
        <f t="shared" si="934"/>
        <v>Hậu Giang</v>
      </c>
      <c r="D10269" s="3" t="s">
        <v>732</v>
      </c>
      <c r="E10269" s="4" t="str">
        <f t="shared" si="936"/>
        <v>Thành phố Ngã Bảy</v>
      </c>
      <c r="F10269" s="3" t="s">
        <v>11028</v>
      </c>
      <c r="G10269" s="4" t="str">
        <f>HYPERLINK("https://diaocthongthai.com/phuong-hiep-loi-tp-nga-bay/","Phường Hiệp Lợi")</f>
        <v>Phường Hiệp Lợi</v>
      </c>
    </row>
    <row r="10270" spans="1:7" x14ac:dyDescent="0.25">
      <c r="A10270" s="2">
        <v>10269</v>
      </c>
      <c r="B10270" s="3" t="s">
        <v>62</v>
      </c>
      <c r="C10270" s="4" t="str">
        <f t="shared" si="934"/>
        <v>Hậu Giang</v>
      </c>
      <c r="D10270" s="3" t="s">
        <v>732</v>
      </c>
      <c r="E10270" s="4" t="str">
        <f t="shared" si="936"/>
        <v>Thành phố Ngã Bảy</v>
      </c>
      <c r="F10270" s="3" t="s">
        <v>11029</v>
      </c>
      <c r="G10270" s="4" t="str">
        <f>HYPERLINK("https://diaocthongthai.com/xa-dai-thanh-tp-nga-bay/","Xã Đại Thành")</f>
        <v>Xã Đại Thành</v>
      </c>
    </row>
    <row r="10271" spans="1:7" x14ac:dyDescent="0.25">
      <c r="A10271" s="2">
        <v>10270</v>
      </c>
      <c r="B10271" s="3" t="s">
        <v>62</v>
      </c>
      <c r="C10271" s="4" t="str">
        <f t="shared" si="934"/>
        <v>Hậu Giang</v>
      </c>
      <c r="D10271" s="3" t="s">
        <v>732</v>
      </c>
      <c r="E10271" s="4" t="str">
        <f t="shared" si="936"/>
        <v>Thành phố Ngã Bảy</v>
      </c>
      <c r="F10271" s="3" t="s">
        <v>11030</v>
      </c>
      <c r="G10271" s="4" t="str">
        <f>HYPERLINK("https://diaocthongthai.com/xa-tan-thanh-tp-nga-bay/","Xã Tân Thành")</f>
        <v>Xã Tân Thành</v>
      </c>
    </row>
    <row r="10272" spans="1:7" x14ac:dyDescent="0.25">
      <c r="A10272" s="2">
        <v>10271</v>
      </c>
      <c r="B10272" s="3" t="s">
        <v>62</v>
      </c>
      <c r="C10272" s="4" t="str">
        <f t="shared" si="934"/>
        <v>Hậu Giang</v>
      </c>
      <c r="D10272" s="3" t="s">
        <v>733</v>
      </c>
      <c r="E10272" s="4" t="str">
        <f t="shared" ref="E10272:E10281" si="937">HYPERLINK("https://diaocthongthai.com/ban-do-huyen-chau-thanh-a-hau-giang/","Huyện Châu Thành A")</f>
        <v>Huyện Châu Thành A</v>
      </c>
      <c r="F10272" s="3" t="s">
        <v>11031</v>
      </c>
      <c r="G10272" s="4" t="str">
        <f>HYPERLINK("https://diaocthongthai.com/thi-tran-mot-ngan-chau-thanh-a/","Thị trấn Một Ngàn")</f>
        <v>Thị trấn Một Ngàn</v>
      </c>
    </row>
    <row r="10273" spans="1:7" x14ac:dyDescent="0.25">
      <c r="A10273" s="2">
        <v>10272</v>
      </c>
      <c r="B10273" s="3" t="s">
        <v>62</v>
      </c>
      <c r="C10273" s="4" t="str">
        <f t="shared" si="934"/>
        <v>Hậu Giang</v>
      </c>
      <c r="D10273" s="3" t="s">
        <v>733</v>
      </c>
      <c r="E10273" s="4" t="str">
        <f t="shared" si="937"/>
        <v>Huyện Châu Thành A</v>
      </c>
      <c r="F10273" s="3" t="s">
        <v>11032</v>
      </c>
      <c r="G10273" s="4" t="str">
        <f>HYPERLINK("https://diaocthongthai.com/xa-tan-hoa-chau-thanh-a/","Xã Tân Hoà")</f>
        <v>Xã Tân Hoà</v>
      </c>
    </row>
    <row r="10274" spans="1:7" x14ac:dyDescent="0.25">
      <c r="A10274" s="2">
        <v>10273</v>
      </c>
      <c r="B10274" s="3" t="s">
        <v>62</v>
      </c>
      <c r="C10274" s="4" t="str">
        <f t="shared" si="934"/>
        <v>Hậu Giang</v>
      </c>
      <c r="D10274" s="3" t="s">
        <v>733</v>
      </c>
      <c r="E10274" s="4" t="str">
        <f t="shared" si="937"/>
        <v>Huyện Châu Thành A</v>
      </c>
      <c r="F10274" s="3" t="s">
        <v>11033</v>
      </c>
      <c r="G10274" s="4" t="str">
        <f>HYPERLINK("https://diaocthongthai.com/thi-tran-bay-ngan-chau-thanh-a/","Thị trấn Bảy Ngàn")</f>
        <v>Thị trấn Bảy Ngàn</v>
      </c>
    </row>
    <row r="10275" spans="1:7" x14ac:dyDescent="0.25">
      <c r="A10275" s="2">
        <v>10274</v>
      </c>
      <c r="B10275" s="3" t="s">
        <v>62</v>
      </c>
      <c r="C10275" s="4" t="str">
        <f t="shared" si="934"/>
        <v>Hậu Giang</v>
      </c>
      <c r="D10275" s="3" t="s">
        <v>733</v>
      </c>
      <c r="E10275" s="4" t="str">
        <f t="shared" si="937"/>
        <v>Huyện Châu Thành A</v>
      </c>
      <c r="F10275" s="3" t="s">
        <v>11034</v>
      </c>
      <c r="G10275" s="4" t="str">
        <f>HYPERLINK("https://diaocthongthai.com/xa-truong-long-tay-chau-thanh-a/","Xã Trường Long Tây")</f>
        <v>Xã Trường Long Tây</v>
      </c>
    </row>
    <row r="10276" spans="1:7" x14ac:dyDescent="0.25">
      <c r="A10276" s="2">
        <v>10275</v>
      </c>
      <c r="B10276" s="3" t="s">
        <v>62</v>
      </c>
      <c r="C10276" s="4" t="str">
        <f t="shared" si="934"/>
        <v>Hậu Giang</v>
      </c>
      <c r="D10276" s="3" t="s">
        <v>733</v>
      </c>
      <c r="E10276" s="4" t="str">
        <f t="shared" si="937"/>
        <v>Huyện Châu Thành A</v>
      </c>
      <c r="F10276" s="3" t="s">
        <v>11035</v>
      </c>
      <c r="G10276" s="4" t="str">
        <f>HYPERLINK("https://diaocthongthai.com/xa-truong-long-a-chau-thanh-a/","Xã Trường Long A")</f>
        <v>Xã Trường Long A</v>
      </c>
    </row>
    <row r="10277" spans="1:7" x14ac:dyDescent="0.25">
      <c r="A10277" s="2">
        <v>10276</v>
      </c>
      <c r="B10277" s="3" t="s">
        <v>62</v>
      </c>
      <c r="C10277" s="4" t="str">
        <f t="shared" si="934"/>
        <v>Hậu Giang</v>
      </c>
      <c r="D10277" s="3" t="s">
        <v>733</v>
      </c>
      <c r="E10277" s="4" t="str">
        <f t="shared" si="937"/>
        <v>Huyện Châu Thành A</v>
      </c>
      <c r="F10277" s="3" t="s">
        <v>11036</v>
      </c>
      <c r="G10277" s="4" t="str">
        <f>HYPERLINK("https://diaocthongthai.com/xa-nhon-nghia-a-chau-thanh-a/","Xã Nhơn Nghĩa A")</f>
        <v>Xã Nhơn Nghĩa A</v>
      </c>
    </row>
    <row r="10278" spans="1:7" x14ac:dyDescent="0.25">
      <c r="A10278" s="2">
        <v>10277</v>
      </c>
      <c r="B10278" s="3" t="s">
        <v>62</v>
      </c>
      <c r="C10278" s="4" t="str">
        <f t="shared" si="934"/>
        <v>Hậu Giang</v>
      </c>
      <c r="D10278" s="3" t="s">
        <v>733</v>
      </c>
      <c r="E10278" s="4" t="str">
        <f t="shared" si="937"/>
        <v>Huyện Châu Thành A</v>
      </c>
      <c r="F10278" s="3" t="s">
        <v>11037</v>
      </c>
      <c r="G10278" s="4" t="str">
        <f>HYPERLINK("https://diaocthongthai.com/thi-tran-rach-goi-chau-thanh-a/","Thị trấn Rạch Gòi")</f>
        <v>Thị trấn Rạch Gòi</v>
      </c>
    </row>
    <row r="10279" spans="1:7" x14ac:dyDescent="0.25">
      <c r="A10279" s="2">
        <v>10278</v>
      </c>
      <c r="B10279" s="3" t="s">
        <v>62</v>
      </c>
      <c r="C10279" s="4" t="str">
        <f t="shared" si="934"/>
        <v>Hậu Giang</v>
      </c>
      <c r="D10279" s="3" t="s">
        <v>733</v>
      </c>
      <c r="E10279" s="4" t="str">
        <f t="shared" si="937"/>
        <v>Huyện Châu Thành A</v>
      </c>
      <c r="F10279" s="3" t="s">
        <v>11038</v>
      </c>
      <c r="G10279" s="4" t="str">
        <f>HYPERLINK("https://diaocthongthai.com/xa-thanh-xuan-chau-thanh-a/","Xã Thạnh Xuân")</f>
        <v>Xã Thạnh Xuân</v>
      </c>
    </row>
    <row r="10280" spans="1:7" x14ac:dyDescent="0.25">
      <c r="A10280" s="2">
        <v>10279</v>
      </c>
      <c r="B10280" s="3" t="s">
        <v>62</v>
      </c>
      <c r="C10280" s="4" t="str">
        <f t="shared" si="934"/>
        <v>Hậu Giang</v>
      </c>
      <c r="D10280" s="3" t="s">
        <v>733</v>
      </c>
      <c r="E10280" s="4" t="str">
        <f t="shared" si="937"/>
        <v>Huyện Châu Thành A</v>
      </c>
      <c r="F10280" s="3" t="s">
        <v>11039</v>
      </c>
      <c r="G10280" s="4" t="str">
        <f>HYPERLINK("https://diaocthongthai.com/thi-tran-cai-tac-chau-thanh-a/","Thị trấn Cái Tắc")</f>
        <v>Thị trấn Cái Tắc</v>
      </c>
    </row>
    <row r="10281" spans="1:7" x14ac:dyDescent="0.25">
      <c r="A10281" s="2">
        <v>10280</v>
      </c>
      <c r="B10281" s="3" t="s">
        <v>62</v>
      </c>
      <c r="C10281" s="4" t="str">
        <f t="shared" si="934"/>
        <v>Hậu Giang</v>
      </c>
      <c r="D10281" s="3" t="s">
        <v>733</v>
      </c>
      <c r="E10281" s="4" t="str">
        <f t="shared" si="937"/>
        <v>Huyện Châu Thành A</v>
      </c>
      <c r="F10281" s="3" t="s">
        <v>11040</v>
      </c>
      <c r="G10281" s="4" t="str">
        <f>HYPERLINK("https://diaocthongthai.com/xa-tan-phu-thanh-chau-thanh-a/","Xã Tân Phú Thạnh")</f>
        <v>Xã Tân Phú Thạnh</v>
      </c>
    </row>
    <row r="10282" spans="1:7" x14ac:dyDescent="0.25">
      <c r="A10282" s="2">
        <v>10281</v>
      </c>
      <c r="B10282" s="3" t="s">
        <v>62</v>
      </c>
      <c r="C10282" s="4" t="str">
        <f t="shared" si="934"/>
        <v>Hậu Giang</v>
      </c>
      <c r="D10282" s="3" t="s">
        <v>734</v>
      </c>
      <c r="E10282" s="4" t="str">
        <f t="shared" ref="E10282:E10289" si="938">HYPERLINK("https://diaocthongthai.com/ban-do-huyen-chau-thanh-hau-giang/","Huyện Châu Thành")</f>
        <v>Huyện Châu Thành</v>
      </c>
      <c r="F10282" s="3" t="s">
        <v>11041</v>
      </c>
      <c r="G10282" s="4" t="str">
        <f>HYPERLINK("https://diaocthongthai.com/thi-tran-nga-sau-chau-thanh-hau-giang/","Thị Trấn Ngã Sáu")</f>
        <v>Thị Trấn Ngã Sáu</v>
      </c>
    </row>
    <row r="10283" spans="1:7" x14ac:dyDescent="0.25">
      <c r="A10283" s="2">
        <v>10282</v>
      </c>
      <c r="B10283" s="3" t="s">
        <v>62</v>
      </c>
      <c r="C10283" s="4" t="str">
        <f t="shared" si="934"/>
        <v>Hậu Giang</v>
      </c>
      <c r="D10283" s="3" t="s">
        <v>734</v>
      </c>
      <c r="E10283" s="4" t="str">
        <f t="shared" si="938"/>
        <v>Huyện Châu Thành</v>
      </c>
      <c r="F10283" s="3" t="s">
        <v>11042</v>
      </c>
      <c r="G10283" s="4" t="str">
        <f>HYPERLINK("https://diaocthongthai.com/xa-dong-thanh-chau-thanh-hau-giang/","Xã Đông Thạnh")</f>
        <v>Xã Đông Thạnh</v>
      </c>
    </row>
    <row r="10284" spans="1:7" x14ac:dyDescent="0.25">
      <c r="A10284" s="2">
        <v>10283</v>
      </c>
      <c r="B10284" s="3" t="s">
        <v>62</v>
      </c>
      <c r="C10284" s="4" t="str">
        <f t="shared" si="934"/>
        <v>Hậu Giang</v>
      </c>
      <c r="D10284" s="3" t="s">
        <v>734</v>
      </c>
      <c r="E10284" s="4" t="str">
        <f t="shared" si="938"/>
        <v>Huyện Châu Thành</v>
      </c>
      <c r="F10284" s="3" t="s">
        <v>11043</v>
      </c>
      <c r="G10284" s="4" t="str">
        <f>HYPERLINK("https://diaocthongthai.com/xa-dong-phu-chau-thanh-hau-giang/","Xã Đông Phú")</f>
        <v>Xã Đông Phú</v>
      </c>
    </row>
    <row r="10285" spans="1:7" x14ac:dyDescent="0.25">
      <c r="A10285" s="2">
        <v>10284</v>
      </c>
      <c r="B10285" s="3" t="s">
        <v>62</v>
      </c>
      <c r="C10285" s="4" t="str">
        <f t="shared" si="934"/>
        <v>Hậu Giang</v>
      </c>
      <c r="D10285" s="3" t="s">
        <v>734</v>
      </c>
      <c r="E10285" s="4" t="str">
        <f t="shared" si="938"/>
        <v>Huyện Châu Thành</v>
      </c>
      <c r="F10285" s="3" t="s">
        <v>11044</v>
      </c>
      <c r="G10285" s="4" t="str">
        <f>HYPERLINK("https://diaocthongthai.com/xa-phu-huu-chau-thanh-hau-giang/","Xã Phú Hữu")</f>
        <v>Xã Phú Hữu</v>
      </c>
    </row>
    <row r="10286" spans="1:7" x14ac:dyDescent="0.25">
      <c r="A10286" s="2">
        <v>10285</v>
      </c>
      <c r="B10286" s="3" t="s">
        <v>62</v>
      </c>
      <c r="C10286" s="4" t="str">
        <f t="shared" si="934"/>
        <v>Hậu Giang</v>
      </c>
      <c r="D10286" s="3" t="s">
        <v>734</v>
      </c>
      <c r="E10286" s="4" t="str">
        <f t="shared" si="938"/>
        <v>Huyện Châu Thành</v>
      </c>
      <c r="F10286" s="3" t="s">
        <v>11045</v>
      </c>
      <c r="G10286" s="4" t="str">
        <f>HYPERLINK("https://diaocthongthai.com/xa-phu-tan-chau-thanh-hau-giang/","Xã Phú Tân")</f>
        <v>Xã Phú Tân</v>
      </c>
    </row>
    <row r="10287" spans="1:7" x14ac:dyDescent="0.25">
      <c r="A10287" s="2">
        <v>10286</v>
      </c>
      <c r="B10287" s="3" t="s">
        <v>62</v>
      </c>
      <c r="C10287" s="4" t="str">
        <f t="shared" si="934"/>
        <v>Hậu Giang</v>
      </c>
      <c r="D10287" s="3" t="s">
        <v>734</v>
      </c>
      <c r="E10287" s="4" t="str">
        <f t="shared" si="938"/>
        <v>Huyện Châu Thành</v>
      </c>
      <c r="F10287" s="3" t="s">
        <v>11046</v>
      </c>
      <c r="G10287" s="4" t="str">
        <f>HYPERLINK("https://diaocthongthai.com/thi-tran-mai-dam-chau-thanh-hau-giang/","Thị trấn Mái Dầm")</f>
        <v>Thị trấn Mái Dầm</v>
      </c>
    </row>
    <row r="10288" spans="1:7" x14ac:dyDescent="0.25">
      <c r="A10288" s="2">
        <v>10287</v>
      </c>
      <c r="B10288" s="3" t="s">
        <v>62</v>
      </c>
      <c r="C10288" s="4" t="str">
        <f t="shared" si="934"/>
        <v>Hậu Giang</v>
      </c>
      <c r="D10288" s="3" t="s">
        <v>734</v>
      </c>
      <c r="E10288" s="4" t="str">
        <f t="shared" si="938"/>
        <v>Huyện Châu Thành</v>
      </c>
      <c r="F10288" s="3" t="s">
        <v>11047</v>
      </c>
      <c r="G10288" s="4" t="str">
        <f>HYPERLINK("https://diaocthongthai.com/xa-dong-phuoc-chau-thanh-hau-giang/","Xã Đông Phước")</f>
        <v>Xã Đông Phước</v>
      </c>
    </row>
    <row r="10289" spans="1:7" x14ac:dyDescent="0.25">
      <c r="A10289" s="2">
        <v>10288</v>
      </c>
      <c r="B10289" s="3" t="s">
        <v>62</v>
      </c>
      <c r="C10289" s="4" t="str">
        <f t="shared" ref="C10289:C10320" si="939">HYPERLINK("https://diaocthongthai.com/ban-do-hau-giang/","Hậu Giang")</f>
        <v>Hậu Giang</v>
      </c>
      <c r="D10289" s="3" t="s">
        <v>734</v>
      </c>
      <c r="E10289" s="4" t="str">
        <f t="shared" si="938"/>
        <v>Huyện Châu Thành</v>
      </c>
      <c r="F10289" s="3" t="s">
        <v>11048</v>
      </c>
      <c r="G10289" s="4" t="str">
        <f>HYPERLINK("https://diaocthongthai.com/xa-dong-phuoc-a-chau-thanh-hau-giang/","Xã Đông Phước A")</f>
        <v>Xã Đông Phước A</v>
      </c>
    </row>
    <row r="10290" spans="1:7" x14ac:dyDescent="0.25">
      <c r="A10290" s="2">
        <v>10289</v>
      </c>
      <c r="B10290" s="3" t="s">
        <v>62</v>
      </c>
      <c r="C10290" s="4" t="str">
        <f t="shared" si="939"/>
        <v>Hậu Giang</v>
      </c>
      <c r="D10290" s="3" t="s">
        <v>735</v>
      </c>
      <c r="E10290" s="4" t="str">
        <f t="shared" ref="E10290:E10304" si="940">HYPERLINK("https://diaocthongthai.com/ban-do-huyen-phung-hiep-hau-giang/","Huyện Phụng Hiệp")</f>
        <v>Huyện Phụng Hiệp</v>
      </c>
      <c r="F10290" s="3" t="s">
        <v>11049</v>
      </c>
      <c r="G10290" s="4" t="str">
        <f>HYPERLINK("https://diaocthongthai.com/thi-tran-kinh-cung-phung-hiep/","Thị trấn Kinh Cùng")</f>
        <v>Thị trấn Kinh Cùng</v>
      </c>
    </row>
    <row r="10291" spans="1:7" x14ac:dyDescent="0.25">
      <c r="A10291" s="2">
        <v>10290</v>
      </c>
      <c r="B10291" s="3" t="s">
        <v>62</v>
      </c>
      <c r="C10291" s="4" t="str">
        <f t="shared" si="939"/>
        <v>Hậu Giang</v>
      </c>
      <c r="D10291" s="3" t="s">
        <v>735</v>
      </c>
      <c r="E10291" s="4" t="str">
        <f t="shared" si="940"/>
        <v>Huyện Phụng Hiệp</v>
      </c>
      <c r="F10291" s="3" t="s">
        <v>11050</v>
      </c>
      <c r="G10291" s="4" t="str">
        <f>HYPERLINK("https://diaocthongthai.com/thi-tran-cay-duong-phung-hiep/","Thị trấn Cây Dương")</f>
        <v>Thị trấn Cây Dương</v>
      </c>
    </row>
    <row r="10292" spans="1:7" x14ac:dyDescent="0.25">
      <c r="A10292" s="2">
        <v>10291</v>
      </c>
      <c r="B10292" s="3" t="s">
        <v>62</v>
      </c>
      <c r="C10292" s="4" t="str">
        <f t="shared" si="939"/>
        <v>Hậu Giang</v>
      </c>
      <c r="D10292" s="3" t="s">
        <v>735</v>
      </c>
      <c r="E10292" s="4" t="str">
        <f t="shared" si="940"/>
        <v>Huyện Phụng Hiệp</v>
      </c>
      <c r="F10292" s="3" t="s">
        <v>11051</v>
      </c>
      <c r="G10292" s="4" t="str">
        <f>HYPERLINK("https://diaocthongthai.com/xa-tan-binh-phung-hiep/","Xã Tân Bình")</f>
        <v>Xã Tân Bình</v>
      </c>
    </row>
    <row r="10293" spans="1:7" x14ac:dyDescent="0.25">
      <c r="A10293" s="2">
        <v>10292</v>
      </c>
      <c r="B10293" s="3" t="s">
        <v>62</v>
      </c>
      <c r="C10293" s="4" t="str">
        <f t="shared" si="939"/>
        <v>Hậu Giang</v>
      </c>
      <c r="D10293" s="3" t="s">
        <v>735</v>
      </c>
      <c r="E10293" s="4" t="str">
        <f t="shared" si="940"/>
        <v>Huyện Phụng Hiệp</v>
      </c>
      <c r="F10293" s="3" t="s">
        <v>11052</v>
      </c>
      <c r="G10293" s="4" t="str">
        <f>HYPERLINK("https://diaocthongthai.com/xa-binh-thanh-phung-hiep/","Xã Bình Thành")</f>
        <v>Xã Bình Thành</v>
      </c>
    </row>
    <row r="10294" spans="1:7" x14ac:dyDescent="0.25">
      <c r="A10294" s="2">
        <v>10293</v>
      </c>
      <c r="B10294" s="3" t="s">
        <v>62</v>
      </c>
      <c r="C10294" s="4" t="str">
        <f t="shared" si="939"/>
        <v>Hậu Giang</v>
      </c>
      <c r="D10294" s="3" t="s">
        <v>735</v>
      </c>
      <c r="E10294" s="4" t="str">
        <f t="shared" si="940"/>
        <v>Huyện Phụng Hiệp</v>
      </c>
      <c r="F10294" s="3" t="s">
        <v>11053</v>
      </c>
      <c r="G10294" s="4" t="str">
        <f>HYPERLINK("https://diaocthongthai.com/xa-thanh-hoa-phung-hiep/","Xã Thạnh Hòa")</f>
        <v>Xã Thạnh Hòa</v>
      </c>
    </row>
    <row r="10295" spans="1:7" x14ac:dyDescent="0.25">
      <c r="A10295" s="2">
        <v>10294</v>
      </c>
      <c r="B10295" s="3" t="s">
        <v>62</v>
      </c>
      <c r="C10295" s="4" t="str">
        <f t="shared" si="939"/>
        <v>Hậu Giang</v>
      </c>
      <c r="D10295" s="3" t="s">
        <v>735</v>
      </c>
      <c r="E10295" s="4" t="str">
        <f t="shared" si="940"/>
        <v>Huyện Phụng Hiệp</v>
      </c>
      <c r="F10295" s="3" t="s">
        <v>11054</v>
      </c>
      <c r="G10295" s="4" t="str">
        <f>HYPERLINK("https://diaocthongthai.com/xa-long-thanh-phung-hiep/","Xã Long Thạnh")</f>
        <v>Xã Long Thạnh</v>
      </c>
    </row>
    <row r="10296" spans="1:7" x14ac:dyDescent="0.25">
      <c r="A10296" s="2">
        <v>10295</v>
      </c>
      <c r="B10296" s="3" t="s">
        <v>62</v>
      </c>
      <c r="C10296" s="4" t="str">
        <f t="shared" si="939"/>
        <v>Hậu Giang</v>
      </c>
      <c r="D10296" s="3" t="s">
        <v>735</v>
      </c>
      <c r="E10296" s="4" t="str">
        <f t="shared" si="940"/>
        <v>Huyện Phụng Hiệp</v>
      </c>
      <c r="F10296" s="3" t="s">
        <v>11055</v>
      </c>
      <c r="G10296" s="4" t="str">
        <f>HYPERLINK("https://diaocthongthai.com/xa-phung-hiep-phung-hiep/","Xã Phụng Hiệp")</f>
        <v>Xã Phụng Hiệp</v>
      </c>
    </row>
    <row r="10297" spans="1:7" x14ac:dyDescent="0.25">
      <c r="A10297" s="2">
        <v>10296</v>
      </c>
      <c r="B10297" s="3" t="s">
        <v>62</v>
      </c>
      <c r="C10297" s="4" t="str">
        <f t="shared" si="939"/>
        <v>Hậu Giang</v>
      </c>
      <c r="D10297" s="3" t="s">
        <v>735</v>
      </c>
      <c r="E10297" s="4" t="str">
        <f t="shared" si="940"/>
        <v>Huyện Phụng Hiệp</v>
      </c>
      <c r="F10297" s="3" t="s">
        <v>11056</v>
      </c>
      <c r="G10297" s="4" t="str">
        <f>HYPERLINK("https://diaocthongthai.com/xa-hoa-my-phung-hiep/","Xã Hòa Mỹ")</f>
        <v>Xã Hòa Mỹ</v>
      </c>
    </row>
    <row r="10298" spans="1:7" x14ac:dyDescent="0.25">
      <c r="A10298" s="2">
        <v>10297</v>
      </c>
      <c r="B10298" s="3" t="s">
        <v>62</v>
      </c>
      <c r="C10298" s="4" t="str">
        <f t="shared" si="939"/>
        <v>Hậu Giang</v>
      </c>
      <c r="D10298" s="3" t="s">
        <v>735</v>
      </c>
      <c r="E10298" s="4" t="str">
        <f t="shared" si="940"/>
        <v>Huyện Phụng Hiệp</v>
      </c>
      <c r="F10298" s="3" t="s">
        <v>11057</v>
      </c>
      <c r="G10298" s="4" t="str">
        <f>HYPERLINK("https://diaocthongthai.com/xa-hoa-an-phung-hiep/","Xã Hòa An")</f>
        <v>Xã Hòa An</v>
      </c>
    </row>
    <row r="10299" spans="1:7" x14ac:dyDescent="0.25">
      <c r="A10299" s="2">
        <v>10298</v>
      </c>
      <c r="B10299" s="3" t="s">
        <v>62</v>
      </c>
      <c r="C10299" s="4" t="str">
        <f t="shared" si="939"/>
        <v>Hậu Giang</v>
      </c>
      <c r="D10299" s="3" t="s">
        <v>735</v>
      </c>
      <c r="E10299" s="4" t="str">
        <f t="shared" si="940"/>
        <v>Huyện Phụng Hiệp</v>
      </c>
      <c r="F10299" s="3" t="s">
        <v>11058</v>
      </c>
      <c r="G10299" s="4" t="str">
        <f>HYPERLINK("https://diaocthongthai.com/xa-phuong-binh-phung-hiep/","Xã Phương Bình")</f>
        <v>Xã Phương Bình</v>
      </c>
    </row>
    <row r="10300" spans="1:7" x14ac:dyDescent="0.25">
      <c r="A10300" s="2">
        <v>10299</v>
      </c>
      <c r="B10300" s="3" t="s">
        <v>62</v>
      </c>
      <c r="C10300" s="4" t="str">
        <f t="shared" si="939"/>
        <v>Hậu Giang</v>
      </c>
      <c r="D10300" s="3" t="s">
        <v>735</v>
      </c>
      <c r="E10300" s="4" t="str">
        <f t="shared" si="940"/>
        <v>Huyện Phụng Hiệp</v>
      </c>
      <c r="F10300" s="3" t="s">
        <v>11059</v>
      </c>
      <c r="G10300" s="4" t="str">
        <f>HYPERLINK("https://diaocthongthai.com/xa-hiep-hung-phung-hiep/","Xã Hiệp Hưng")</f>
        <v>Xã Hiệp Hưng</v>
      </c>
    </row>
    <row r="10301" spans="1:7" x14ac:dyDescent="0.25">
      <c r="A10301" s="2">
        <v>10300</v>
      </c>
      <c r="B10301" s="3" t="s">
        <v>62</v>
      </c>
      <c r="C10301" s="4" t="str">
        <f t="shared" si="939"/>
        <v>Hậu Giang</v>
      </c>
      <c r="D10301" s="3" t="s">
        <v>735</v>
      </c>
      <c r="E10301" s="4" t="str">
        <f t="shared" si="940"/>
        <v>Huyện Phụng Hiệp</v>
      </c>
      <c r="F10301" s="3" t="s">
        <v>11060</v>
      </c>
      <c r="G10301" s="4" t="str">
        <f>HYPERLINK("https://diaocthongthai.com/xa-tan-phuoc-hung-phung-hiep/","Xã Tân Phước Hưng")</f>
        <v>Xã Tân Phước Hưng</v>
      </c>
    </row>
    <row r="10302" spans="1:7" x14ac:dyDescent="0.25">
      <c r="A10302" s="2">
        <v>10301</v>
      </c>
      <c r="B10302" s="3" t="s">
        <v>62</v>
      </c>
      <c r="C10302" s="4" t="str">
        <f t="shared" si="939"/>
        <v>Hậu Giang</v>
      </c>
      <c r="D10302" s="3" t="s">
        <v>735</v>
      </c>
      <c r="E10302" s="4" t="str">
        <f t="shared" si="940"/>
        <v>Huyện Phụng Hiệp</v>
      </c>
      <c r="F10302" s="3" t="s">
        <v>11061</v>
      </c>
      <c r="G10302" s="4" t="str">
        <f>HYPERLINK("https://diaocthongthai.com/thi-tran-bung-tau-phung-hiep/","Thị trấn Búng Tàu")</f>
        <v>Thị trấn Búng Tàu</v>
      </c>
    </row>
    <row r="10303" spans="1:7" x14ac:dyDescent="0.25">
      <c r="A10303" s="2">
        <v>10302</v>
      </c>
      <c r="B10303" s="3" t="s">
        <v>62</v>
      </c>
      <c r="C10303" s="4" t="str">
        <f t="shared" si="939"/>
        <v>Hậu Giang</v>
      </c>
      <c r="D10303" s="3" t="s">
        <v>735</v>
      </c>
      <c r="E10303" s="4" t="str">
        <f t="shared" si="940"/>
        <v>Huyện Phụng Hiệp</v>
      </c>
      <c r="F10303" s="3" t="s">
        <v>11062</v>
      </c>
      <c r="G10303" s="4" t="str">
        <f>HYPERLINK("https://diaocthongthai.com/xa-phuong-phu-phung-hiep/","Xã Phương Phú")</f>
        <v>Xã Phương Phú</v>
      </c>
    </row>
    <row r="10304" spans="1:7" x14ac:dyDescent="0.25">
      <c r="A10304" s="2">
        <v>10303</v>
      </c>
      <c r="B10304" s="3" t="s">
        <v>62</v>
      </c>
      <c r="C10304" s="4" t="str">
        <f t="shared" si="939"/>
        <v>Hậu Giang</v>
      </c>
      <c r="D10304" s="3" t="s">
        <v>735</v>
      </c>
      <c r="E10304" s="4" t="str">
        <f t="shared" si="940"/>
        <v>Huyện Phụng Hiệp</v>
      </c>
      <c r="F10304" s="3" t="s">
        <v>11063</v>
      </c>
      <c r="G10304" s="4" t="str">
        <f>HYPERLINK("https://diaocthongthai.com/xa-tan-long-phung-hiep/","Xã Tân Long")</f>
        <v>Xã Tân Long</v>
      </c>
    </row>
    <row r="10305" spans="1:7" x14ac:dyDescent="0.25">
      <c r="A10305" s="2">
        <v>10304</v>
      </c>
      <c r="B10305" s="3" t="s">
        <v>62</v>
      </c>
      <c r="C10305" s="4" t="str">
        <f t="shared" si="939"/>
        <v>Hậu Giang</v>
      </c>
      <c r="D10305" s="3" t="s">
        <v>736</v>
      </c>
      <c r="E10305" s="4" t="str">
        <f t="shared" ref="E10305:E10314" si="941">HYPERLINK("https://diaocthongthai.com/ban-do-huyen-vi-thuy-hau-giang/","Huyện Vị Thuỷ")</f>
        <v>Huyện Vị Thuỷ</v>
      </c>
      <c r="F10305" s="3" t="s">
        <v>11064</v>
      </c>
      <c r="G10305" s="4" t="str">
        <f>HYPERLINK("https://diaocthongthai.com/thi-tran-nang-mau-vi-thuy/","Thị trấn Nàng Mau")</f>
        <v>Thị trấn Nàng Mau</v>
      </c>
    </row>
    <row r="10306" spans="1:7" x14ac:dyDescent="0.25">
      <c r="A10306" s="2">
        <v>10305</v>
      </c>
      <c r="B10306" s="3" t="s">
        <v>62</v>
      </c>
      <c r="C10306" s="4" t="str">
        <f t="shared" si="939"/>
        <v>Hậu Giang</v>
      </c>
      <c r="D10306" s="3" t="s">
        <v>736</v>
      </c>
      <c r="E10306" s="4" t="str">
        <f t="shared" si="941"/>
        <v>Huyện Vị Thuỷ</v>
      </c>
      <c r="F10306" s="3" t="s">
        <v>11065</v>
      </c>
      <c r="G10306" s="4" t="str">
        <f>HYPERLINK("https://diaocthongthai.com/xa-vi-trung-vi-thuy/","Xã Vị Trung")</f>
        <v>Xã Vị Trung</v>
      </c>
    </row>
    <row r="10307" spans="1:7" x14ac:dyDescent="0.25">
      <c r="A10307" s="2">
        <v>10306</v>
      </c>
      <c r="B10307" s="3" t="s">
        <v>62</v>
      </c>
      <c r="C10307" s="4" t="str">
        <f t="shared" si="939"/>
        <v>Hậu Giang</v>
      </c>
      <c r="D10307" s="3" t="s">
        <v>736</v>
      </c>
      <c r="E10307" s="4" t="str">
        <f t="shared" si="941"/>
        <v>Huyện Vị Thuỷ</v>
      </c>
      <c r="F10307" s="3" t="s">
        <v>11066</v>
      </c>
      <c r="G10307" s="4" t="str">
        <f>HYPERLINK("https://diaocthongthai.com/xa-vi-thuy-vi-thuy/","Xã Vị Thuỷ")</f>
        <v>Xã Vị Thuỷ</v>
      </c>
    </row>
    <row r="10308" spans="1:7" x14ac:dyDescent="0.25">
      <c r="A10308" s="2">
        <v>10307</v>
      </c>
      <c r="B10308" s="3" t="s">
        <v>62</v>
      </c>
      <c r="C10308" s="4" t="str">
        <f t="shared" si="939"/>
        <v>Hậu Giang</v>
      </c>
      <c r="D10308" s="3" t="s">
        <v>736</v>
      </c>
      <c r="E10308" s="4" t="str">
        <f t="shared" si="941"/>
        <v>Huyện Vị Thuỷ</v>
      </c>
      <c r="F10308" s="3" t="s">
        <v>11067</v>
      </c>
      <c r="G10308" s="4" t="str">
        <f>HYPERLINK("https://diaocthongthai.com/xa-vi-thang-vi-thuy/","Xã Vị Thắng")</f>
        <v>Xã Vị Thắng</v>
      </c>
    </row>
    <row r="10309" spans="1:7" x14ac:dyDescent="0.25">
      <c r="A10309" s="2">
        <v>10308</v>
      </c>
      <c r="B10309" s="3" t="s">
        <v>62</v>
      </c>
      <c r="C10309" s="4" t="str">
        <f t="shared" si="939"/>
        <v>Hậu Giang</v>
      </c>
      <c r="D10309" s="3" t="s">
        <v>736</v>
      </c>
      <c r="E10309" s="4" t="str">
        <f t="shared" si="941"/>
        <v>Huyện Vị Thuỷ</v>
      </c>
      <c r="F10309" s="3" t="s">
        <v>11068</v>
      </c>
      <c r="G10309" s="4" t="str">
        <f>HYPERLINK("https://diaocthongthai.com/xa-vinh-thuan-tay-vi-thuy/","Xã Vĩnh Thuận Tây")</f>
        <v>Xã Vĩnh Thuận Tây</v>
      </c>
    </row>
    <row r="10310" spans="1:7" x14ac:dyDescent="0.25">
      <c r="A10310" s="2">
        <v>10309</v>
      </c>
      <c r="B10310" s="3" t="s">
        <v>62</v>
      </c>
      <c r="C10310" s="4" t="str">
        <f t="shared" si="939"/>
        <v>Hậu Giang</v>
      </c>
      <c r="D10310" s="3" t="s">
        <v>736</v>
      </c>
      <c r="E10310" s="4" t="str">
        <f t="shared" si="941"/>
        <v>Huyện Vị Thuỷ</v>
      </c>
      <c r="F10310" s="3" t="s">
        <v>11069</v>
      </c>
      <c r="G10310" s="4" t="str">
        <f>HYPERLINK("https://diaocthongthai.com/xa-vinh-trung-vi-thuy/","Xã Vĩnh Trung")</f>
        <v>Xã Vĩnh Trung</v>
      </c>
    </row>
    <row r="10311" spans="1:7" x14ac:dyDescent="0.25">
      <c r="A10311" s="2">
        <v>10310</v>
      </c>
      <c r="B10311" s="3" t="s">
        <v>62</v>
      </c>
      <c r="C10311" s="4" t="str">
        <f t="shared" si="939"/>
        <v>Hậu Giang</v>
      </c>
      <c r="D10311" s="3" t="s">
        <v>736</v>
      </c>
      <c r="E10311" s="4" t="str">
        <f t="shared" si="941"/>
        <v>Huyện Vị Thuỷ</v>
      </c>
      <c r="F10311" s="3" t="s">
        <v>11070</v>
      </c>
      <c r="G10311" s="4" t="str">
        <f>HYPERLINK("https://diaocthongthai.com/xa-vinh-tuong-vi-thuy/","Xã Vĩnh Tường")</f>
        <v>Xã Vĩnh Tường</v>
      </c>
    </row>
    <row r="10312" spans="1:7" x14ac:dyDescent="0.25">
      <c r="A10312" s="2">
        <v>10311</v>
      </c>
      <c r="B10312" s="3" t="s">
        <v>62</v>
      </c>
      <c r="C10312" s="4" t="str">
        <f t="shared" si="939"/>
        <v>Hậu Giang</v>
      </c>
      <c r="D10312" s="3" t="s">
        <v>736</v>
      </c>
      <c r="E10312" s="4" t="str">
        <f t="shared" si="941"/>
        <v>Huyện Vị Thuỷ</v>
      </c>
      <c r="F10312" s="3" t="s">
        <v>11071</v>
      </c>
      <c r="G10312" s="4" t="str">
        <f>HYPERLINK("https://diaocthongthai.com/xa-vi-dong-vi-thuy/","Xã Vị Đông")</f>
        <v>Xã Vị Đông</v>
      </c>
    </row>
    <row r="10313" spans="1:7" x14ac:dyDescent="0.25">
      <c r="A10313" s="2">
        <v>10312</v>
      </c>
      <c r="B10313" s="3" t="s">
        <v>62</v>
      </c>
      <c r="C10313" s="4" t="str">
        <f t="shared" si="939"/>
        <v>Hậu Giang</v>
      </c>
      <c r="D10313" s="3" t="s">
        <v>736</v>
      </c>
      <c r="E10313" s="4" t="str">
        <f t="shared" si="941"/>
        <v>Huyện Vị Thuỷ</v>
      </c>
      <c r="F10313" s="3" t="s">
        <v>11072</v>
      </c>
      <c r="G10313" s="4" t="str">
        <f>HYPERLINK("https://diaocthongthai.com/xa-vi-thanh-vi-thuy/","Xã Vị Thanh")</f>
        <v>Xã Vị Thanh</v>
      </c>
    </row>
    <row r="10314" spans="1:7" x14ac:dyDescent="0.25">
      <c r="A10314" s="2">
        <v>10313</v>
      </c>
      <c r="B10314" s="3" t="s">
        <v>62</v>
      </c>
      <c r="C10314" s="4" t="str">
        <f t="shared" si="939"/>
        <v>Hậu Giang</v>
      </c>
      <c r="D10314" s="3" t="s">
        <v>736</v>
      </c>
      <c r="E10314" s="4" t="str">
        <f t="shared" si="941"/>
        <v>Huyện Vị Thuỷ</v>
      </c>
      <c r="F10314" s="3" t="s">
        <v>11073</v>
      </c>
      <c r="G10314" s="4" t="str">
        <f>HYPERLINK("https://diaocthongthai.com/xa-vi-binh-vi-thuy/","Xã Vị Bình")</f>
        <v>Xã Vị Bình</v>
      </c>
    </row>
    <row r="10315" spans="1:7" x14ac:dyDescent="0.25">
      <c r="A10315" s="2">
        <v>10314</v>
      </c>
      <c r="B10315" s="3" t="s">
        <v>62</v>
      </c>
      <c r="C10315" s="4" t="str">
        <f t="shared" si="939"/>
        <v>Hậu Giang</v>
      </c>
      <c r="D10315" s="3" t="s">
        <v>737</v>
      </c>
      <c r="E10315" s="4" t="str">
        <f t="shared" ref="E10315:E10322" si="942">HYPERLINK("https://diaocthongthai.com/ban-do-huyen-long-my-hau-giang/","Huyện Long Mỹ")</f>
        <v>Huyện Long Mỹ</v>
      </c>
      <c r="F10315" s="3" t="s">
        <v>11074</v>
      </c>
      <c r="G10315" s="4" t="str">
        <f>HYPERLINK("https://diaocthongthai.com/xa-thuan-hung-long-my-hau-giang/","Xã Thuận Hưng")</f>
        <v>Xã Thuận Hưng</v>
      </c>
    </row>
    <row r="10316" spans="1:7" x14ac:dyDescent="0.25">
      <c r="A10316" s="2">
        <v>10315</v>
      </c>
      <c r="B10316" s="3" t="s">
        <v>62</v>
      </c>
      <c r="C10316" s="4" t="str">
        <f t="shared" si="939"/>
        <v>Hậu Giang</v>
      </c>
      <c r="D10316" s="3" t="s">
        <v>737</v>
      </c>
      <c r="E10316" s="4" t="str">
        <f t="shared" si="942"/>
        <v>Huyện Long Mỹ</v>
      </c>
      <c r="F10316" s="3" t="s">
        <v>11075</v>
      </c>
      <c r="G10316" s="4" t="str">
        <f>HYPERLINK("https://diaocthongthai.com/xa-thuan-hoa-long-my-hau-giang/","Xã Thuận Hòa")</f>
        <v>Xã Thuận Hòa</v>
      </c>
    </row>
    <row r="10317" spans="1:7" x14ac:dyDescent="0.25">
      <c r="A10317" s="2">
        <v>10316</v>
      </c>
      <c r="B10317" s="3" t="s">
        <v>62</v>
      </c>
      <c r="C10317" s="4" t="str">
        <f t="shared" si="939"/>
        <v>Hậu Giang</v>
      </c>
      <c r="D10317" s="3" t="s">
        <v>737</v>
      </c>
      <c r="E10317" s="4" t="str">
        <f t="shared" si="942"/>
        <v>Huyện Long Mỹ</v>
      </c>
      <c r="F10317" s="3" t="s">
        <v>11076</v>
      </c>
      <c r="G10317" s="4" t="str">
        <f>HYPERLINK("https://diaocthongthai.com/xa-vinh-thuan-dong-long-my-hau-giang/","Xã Vĩnh Thuận Đông")</f>
        <v>Xã Vĩnh Thuận Đông</v>
      </c>
    </row>
    <row r="10318" spans="1:7" x14ac:dyDescent="0.25">
      <c r="A10318" s="2">
        <v>10317</v>
      </c>
      <c r="B10318" s="3" t="s">
        <v>62</v>
      </c>
      <c r="C10318" s="4" t="str">
        <f t="shared" si="939"/>
        <v>Hậu Giang</v>
      </c>
      <c r="D10318" s="3" t="s">
        <v>737</v>
      </c>
      <c r="E10318" s="4" t="str">
        <f t="shared" si="942"/>
        <v>Huyện Long Mỹ</v>
      </c>
      <c r="F10318" s="3" t="s">
        <v>11077</v>
      </c>
      <c r="G10318" s="4" t="str">
        <f>HYPERLINK("https://diaocthongthai.com/thi-tran-vinh-vien-long-my-hau-giang/","Thị trấn Vĩnh Viễn")</f>
        <v>Thị trấn Vĩnh Viễn</v>
      </c>
    </row>
    <row r="10319" spans="1:7" x14ac:dyDescent="0.25">
      <c r="A10319" s="2">
        <v>10318</v>
      </c>
      <c r="B10319" s="3" t="s">
        <v>62</v>
      </c>
      <c r="C10319" s="4" t="str">
        <f t="shared" si="939"/>
        <v>Hậu Giang</v>
      </c>
      <c r="D10319" s="3" t="s">
        <v>737</v>
      </c>
      <c r="E10319" s="4" t="str">
        <f t="shared" si="942"/>
        <v>Huyện Long Mỹ</v>
      </c>
      <c r="F10319" s="3" t="s">
        <v>11078</v>
      </c>
      <c r="G10319" s="4" t="str">
        <f>HYPERLINK("https://diaocthongthai.com/xa-vinh-vien-a-long-my-hau-giang/","Xã Vĩnh Viễn A")</f>
        <v>Xã Vĩnh Viễn A</v>
      </c>
    </row>
    <row r="10320" spans="1:7" x14ac:dyDescent="0.25">
      <c r="A10320" s="2">
        <v>10319</v>
      </c>
      <c r="B10320" s="3" t="s">
        <v>62</v>
      </c>
      <c r="C10320" s="4" t="str">
        <f t="shared" si="939"/>
        <v>Hậu Giang</v>
      </c>
      <c r="D10320" s="3" t="s">
        <v>737</v>
      </c>
      <c r="E10320" s="4" t="str">
        <f t="shared" si="942"/>
        <v>Huyện Long Mỹ</v>
      </c>
      <c r="F10320" s="3" t="s">
        <v>11079</v>
      </c>
      <c r="G10320" s="4" t="str">
        <f>HYPERLINK("https://diaocthongthai.com/xa-luong-tam-long-my-hau-giang/","Xã Lương Tâm")</f>
        <v>Xã Lương Tâm</v>
      </c>
    </row>
    <row r="10321" spans="1:7" x14ac:dyDescent="0.25">
      <c r="A10321" s="2">
        <v>10320</v>
      </c>
      <c r="B10321" s="3" t="s">
        <v>62</v>
      </c>
      <c r="C10321" s="4" t="str">
        <f t="shared" ref="C10321:C10331" si="943">HYPERLINK("https://diaocthongthai.com/ban-do-hau-giang/","Hậu Giang")</f>
        <v>Hậu Giang</v>
      </c>
      <c r="D10321" s="3" t="s">
        <v>737</v>
      </c>
      <c r="E10321" s="4" t="str">
        <f t="shared" si="942"/>
        <v>Huyện Long Mỹ</v>
      </c>
      <c r="F10321" s="3" t="s">
        <v>11080</v>
      </c>
      <c r="G10321" s="4" t="str">
        <f>HYPERLINK("https://diaocthongthai.com/xa-luong-nghia-long-my-hau-giang/","Xã Lương Nghĩa")</f>
        <v>Xã Lương Nghĩa</v>
      </c>
    </row>
    <row r="10322" spans="1:7" x14ac:dyDescent="0.25">
      <c r="A10322" s="2">
        <v>10321</v>
      </c>
      <c r="B10322" s="3" t="s">
        <v>62</v>
      </c>
      <c r="C10322" s="4" t="str">
        <f t="shared" si="943"/>
        <v>Hậu Giang</v>
      </c>
      <c r="D10322" s="3" t="s">
        <v>737</v>
      </c>
      <c r="E10322" s="4" t="str">
        <f t="shared" si="942"/>
        <v>Huyện Long Mỹ</v>
      </c>
      <c r="F10322" s="3" t="s">
        <v>11081</v>
      </c>
      <c r="G10322" s="4" t="str">
        <f>HYPERLINK("https://diaocthongthai.com/xa-xa-phien-long-my-hau-giang/","Xã Xà Phiên")</f>
        <v>Xã Xà Phiên</v>
      </c>
    </row>
    <row r="10323" spans="1:7" x14ac:dyDescent="0.25">
      <c r="A10323" s="2">
        <v>10322</v>
      </c>
      <c r="B10323" s="3" t="s">
        <v>62</v>
      </c>
      <c r="C10323" s="4" t="str">
        <f t="shared" si="943"/>
        <v>Hậu Giang</v>
      </c>
      <c r="D10323" s="3" t="s">
        <v>738</v>
      </c>
      <c r="E10323" s="4" t="str">
        <f t="shared" ref="E10323:E10331" si="944">HYPERLINK("https://diaocthongthai.com/ban-do-thi-xa-long-my-hau-giang/","Thị xã Long Mỹ")</f>
        <v>Thị xã Long Mỹ</v>
      </c>
      <c r="F10323" s="3" t="s">
        <v>11082</v>
      </c>
      <c r="G10323" s="4" t="str">
        <f>HYPERLINK("https://diaocthongthai.com/phuong-thuan-an-long-my-hau-giang/","Phường Thuận An")</f>
        <v>Phường Thuận An</v>
      </c>
    </row>
    <row r="10324" spans="1:7" x14ac:dyDescent="0.25">
      <c r="A10324" s="2">
        <v>10323</v>
      </c>
      <c r="B10324" s="3" t="s">
        <v>62</v>
      </c>
      <c r="C10324" s="4" t="str">
        <f t="shared" si="943"/>
        <v>Hậu Giang</v>
      </c>
      <c r="D10324" s="3" t="s">
        <v>738</v>
      </c>
      <c r="E10324" s="4" t="str">
        <f t="shared" si="944"/>
        <v>Thị xã Long Mỹ</v>
      </c>
      <c r="F10324" s="3" t="s">
        <v>11083</v>
      </c>
      <c r="G10324" s="4" t="str">
        <f>HYPERLINK("https://diaocthongthai.com/phuong-tra-long-long-my-hau-giang/","Phường Trà Lồng")</f>
        <v>Phường Trà Lồng</v>
      </c>
    </row>
    <row r="10325" spans="1:7" x14ac:dyDescent="0.25">
      <c r="A10325" s="2">
        <v>10324</v>
      </c>
      <c r="B10325" s="3" t="s">
        <v>62</v>
      </c>
      <c r="C10325" s="4" t="str">
        <f t="shared" si="943"/>
        <v>Hậu Giang</v>
      </c>
      <c r="D10325" s="3" t="s">
        <v>738</v>
      </c>
      <c r="E10325" s="4" t="str">
        <f t="shared" si="944"/>
        <v>Thị xã Long Mỹ</v>
      </c>
      <c r="F10325" s="3" t="s">
        <v>11084</v>
      </c>
      <c r="G10325" s="4" t="str">
        <f>HYPERLINK("https://diaocthongthai.com/phuong-binh-thanh-long-my-hau-giang/","Phường Bình Thạnh")</f>
        <v>Phường Bình Thạnh</v>
      </c>
    </row>
    <row r="10326" spans="1:7" x14ac:dyDescent="0.25">
      <c r="A10326" s="2">
        <v>10325</v>
      </c>
      <c r="B10326" s="3" t="s">
        <v>62</v>
      </c>
      <c r="C10326" s="4" t="str">
        <f t="shared" si="943"/>
        <v>Hậu Giang</v>
      </c>
      <c r="D10326" s="3" t="s">
        <v>738</v>
      </c>
      <c r="E10326" s="4" t="str">
        <f t="shared" si="944"/>
        <v>Thị xã Long Mỹ</v>
      </c>
      <c r="F10326" s="3" t="s">
        <v>11085</v>
      </c>
      <c r="G10326" s="4" t="str">
        <f>HYPERLINK("https://diaocthongthai.com/xa-long-binh-long-my-hau-giang/","Xã Long Bình")</f>
        <v>Xã Long Bình</v>
      </c>
    </row>
    <row r="10327" spans="1:7" x14ac:dyDescent="0.25">
      <c r="A10327" s="2">
        <v>10326</v>
      </c>
      <c r="B10327" s="3" t="s">
        <v>62</v>
      </c>
      <c r="C10327" s="4" t="str">
        <f t="shared" si="943"/>
        <v>Hậu Giang</v>
      </c>
      <c r="D10327" s="3" t="s">
        <v>738</v>
      </c>
      <c r="E10327" s="4" t="str">
        <f t="shared" si="944"/>
        <v>Thị xã Long Mỹ</v>
      </c>
      <c r="F10327" s="3" t="s">
        <v>11086</v>
      </c>
      <c r="G10327" s="4" t="str">
        <f>HYPERLINK("https://diaocthongthai.com/phuong-vinh-tuong-long-my-hau-giang/","Phường Vĩnh Tường")</f>
        <v>Phường Vĩnh Tường</v>
      </c>
    </row>
    <row r="10328" spans="1:7" x14ac:dyDescent="0.25">
      <c r="A10328" s="2">
        <v>10327</v>
      </c>
      <c r="B10328" s="3" t="s">
        <v>62</v>
      </c>
      <c r="C10328" s="4" t="str">
        <f t="shared" si="943"/>
        <v>Hậu Giang</v>
      </c>
      <c r="D10328" s="3" t="s">
        <v>738</v>
      </c>
      <c r="E10328" s="4" t="str">
        <f t="shared" si="944"/>
        <v>Thị xã Long Mỹ</v>
      </c>
      <c r="F10328" s="3" t="s">
        <v>11087</v>
      </c>
      <c r="G10328" s="4" t="str">
        <f>HYPERLINK("https://diaocthongthai.com/xa-long-tri-long-my-hau-giang/","Xã Long Trị")</f>
        <v>Xã Long Trị</v>
      </c>
    </row>
    <row r="10329" spans="1:7" x14ac:dyDescent="0.25">
      <c r="A10329" s="2">
        <v>10328</v>
      </c>
      <c r="B10329" s="3" t="s">
        <v>62</v>
      </c>
      <c r="C10329" s="4" t="str">
        <f t="shared" si="943"/>
        <v>Hậu Giang</v>
      </c>
      <c r="D10329" s="3" t="s">
        <v>738</v>
      </c>
      <c r="E10329" s="4" t="str">
        <f t="shared" si="944"/>
        <v>Thị xã Long Mỹ</v>
      </c>
      <c r="F10329" s="3" t="s">
        <v>11088</v>
      </c>
      <c r="G10329" s="4" t="str">
        <f>HYPERLINK("https://diaocthongthai.com/xa-long-tri-a-long-my-hau-giang/","Xã Long Trị A")</f>
        <v>Xã Long Trị A</v>
      </c>
    </row>
    <row r="10330" spans="1:7" x14ac:dyDescent="0.25">
      <c r="A10330" s="2">
        <v>10329</v>
      </c>
      <c r="B10330" s="3" t="s">
        <v>62</v>
      </c>
      <c r="C10330" s="4" t="str">
        <f t="shared" si="943"/>
        <v>Hậu Giang</v>
      </c>
      <c r="D10330" s="3" t="s">
        <v>738</v>
      </c>
      <c r="E10330" s="4" t="str">
        <f t="shared" si="944"/>
        <v>Thị xã Long Mỹ</v>
      </c>
      <c r="F10330" s="3" t="s">
        <v>11089</v>
      </c>
      <c r="G10330" s="4" t="str">
        <f>HYPERLINK("https://diaocthongthai.com/xa-long-phu-long-my-hau-giang/","Xã Long Phú")</f>
        <v>Xã Long Phú</v>
      </c>
    </row>
    <row r="10331" spans="1:7" x14ac:dyDescent="0.25">
      <c r="A10331" s="2">
        <v>10330</v>
      </c>
      <c r="B10331" s="3" t="s">
        <v>62</v>
      </c>
      <c r="C10331" s="4" t="str">
        <f t="shared" si="943"/>
        <v>Hậu Giang</v>
      </c>
      <c r="D10331" s="3" t="s">
        <v>738</v>
      </c>
      <c r="E10331" s="4" t="str">
        <f t="shared" si="944"/>
        <v>Thị xã Long Mỹ</v>
      </c>
      <c r="F10331" s="3" t="s">
        <v>11090</v>
      </c>
      <c r="G10331" s="4" t="str">
        <f>HYPERLINK("https://diaocthongthai.com/xa-tan-phu-long-my-hau-giang/","Xã Tân Phú")</f>
        <v>Xã Tân Phú</v>
      </c>
    </row>
    <row r="10332" spans="1:7" x14ac:dyDescent="0.25">
      <c r="A10332" s="2">
        <v>10331</v>
      </c>
      <c r="B10332" s="3" t="s">
        <v>63</v>
      </c>
      <c r="C10332" s="4" t="str">
        <f t="shared" ref="C10332:C10363" si="945">HYPERLINK("https://diaocthongthai.com/ban-do-soc-trang/","Sóc Trăng")</f>
        <v>Sóc Trăng</v>
      </c>
      <c r="D10332" s="3" t="s">
        <v>739</v>
      </c>
      <c r="E10332" s="4" t="str">
        <f t="shared" ref="E10332:E10341" si="946">HYPERLINK("https://diaocthongthai.com/ban-do-tp-soc-trang-soc-trang/","Thành phố Sóc Trăng")</f>
        <v>Thành phố Sóc Trăng</v>
      </c>
      <c r="F10332" s="3" t="s">
        <v>11091</v>
      </c>
      <c r="G10332" s="4" t="str">
        <f>HYPERLINK("https://diaocthongthai.com/phuong-5-tp-soc-trang/","Phường 5")</f>
        <v>Phường 5</v>
      </c>
    </row>
    <row r="10333" spans="1:7" x14ac:dyDescent="0.25">
      <c r="A10333" s="2">
        <v>10332</v>
      </c>
      <c r="B10333" s="3" t="s">
        <v>63</v>
      </c>
      <c r="C10333" s="4" t="str">
        <f t="shared" si="945"/>
        <v>Sóc Trăng</v>
      </c>
      <c r="D10333" s="3" t="s">
        <v>739</v>
      </c>
      <c r="E10333" s="4" t="str">
        <f t="shared" si="946"/>
        <v>Thành phố Sóc Trăng</v>
      </c>
      <c r="F10333" s="3" t="s">
        <v>11092</v>
      </c>
      <c r="G10333" s="4" t="str">
        <f>HYPERLINK("https://diaocthongthai.com/phuong-7-tp-soc-trang/","Phường 7")</f>
        <v>Phường 7</v>
      </c>
    </row>
    <row r="10334" spans="1:7" x14ac:dyDescent="0.25">
      <c r="A10334" s="2">
        <v>10333</v>
      </c>
      <c r="B10334" s="3" t="s">
        <v>63</v>
      </c>
      <c r="C10334" s="4" t="str">
        <f t="shared" si="945"/>
        <v>Sóc Trăng</v>
      </c>
      <c r="D10334" s="3" t="s">
        <v>739</v>
      </c>
      <c r="E10334" s="4" t="str">
        <f t="shared" si="946"/>
        <v>Thành phố Sóc Trăng</v>
      </c>
      <c r="F10334" s="3" t="s">
        <v>11093</v>
      </c>
      <c r="G10334" s="4" t="str">
        <f>HYPERLINK("https://diaocthongthai.com/phuong-8-tp-soc-trang/","Phường 8")</f>
        <v>Phường 8</v>
      </c>
    </row>
    <row r="10335" spans="1:7" x14ac:dyDescent="0.25">
      <c r="A10335" s="2">
        <v>10334</v>
      </c>
      <c r="B10335" s="3" t="s">
        <v>63</v>
      </c>
      <c r="C10335" s="4" t="str">
        <f t="shared" si="945"/>
        <v>Sóc Trăng</v>
      </c>
      <c r="D10335" s="3" t="s">
        <v>739</v>
      </c>
      <c r="E10335" s="4" t="str">
        <f t="shared" si="946"/>
        <v>Thành phố Sóc Trăng</v>
      </c>
      <c r="F10335" s="3" t="s">
        <v>11094</v>
      </c>
      <c r="G10335" s="4" t="str">
        <f>HYPERLINK("https://diaocthongthai.com/phuong-6-tp-soc-trang/","Phường 6")</f>
        <v>Phường 6</v>
      </c>
    </row>
    <row r="10336" spans="1:7" x14ac:dyDescent="0.25">
      <c r="A10336" s="2">
        <v>10335</v>
      </c>
      <c r="B10336" s="3" t="s">
        <v>63</v>
      </c>
      <c r="C10336" s="4" t="str">
        <f t="shared" si="945"/>
        <v>Sóc Trăng</v>
      </c>
      <c r="D10336" s="3" t="s">
        <v>739</v>
      </c>
      <c r="E10336" s="4" t="str">
        <f t="shared" si="946"/>
        <v>Thành phố Sóc Trăng</v>
      </c>
      <c r="F10336" s="3" t="s">
        <v>11095</v>
      </c>
      <c r="G10336" s="4" t="str">
        <f>HYPERLINK("https://diaocthongthai.com/phuong-2-tp-soc-trang/","Phường 2")</f>
        <v>Phường 2</v>
      </c>
    </row>
    <row r="10337" spans="1:7" x14ac:dyDescent="0.25">
      <c r="A10337" s="2">
        <v>10336</v>
      </c>
      <c r="B10337" s="3" t="s">
        <v>63</v>
      </c>
      <c r="C10337" s="4" t="str">
        <f t="shared" si="945"/>
        <v>Sóc Trăng</v>
      </c>
      <c r="D10337" s="3" t="s">
        <v>739</v>
      </c>
      <c r="E10337" s="4" t="str">
        <f t="shared" si="946"/>
        <v>Thành phố Sóc Trăng</v>
      </c>
      <c r="F10337" s="3" t="s">
        <v>11096</v>
      </c>
      <c r="G10337" s="4" t="str">
        <f>HYPERLINK("https://diaocthongthai.com/phuong-1-tp-soc-trang/","Phường 1")</f>
        <v>Phường 1</v>
      </c>
    </row>
    <row r="10338" spans="1:7" x14ac:dyDescent="0.25">
      <c r="A10338" s="2">
        <v>10337</v>
      </c>
      <c r="B10338" s="3" t="s">
        <v>63</v>
      </c>
      <c r="C10338" s="4" t="str">
        <f t="shared" si="945"/>
        <v>Sóc Trăng</v>
      </c>
      <c r="D10338" s="3" t="s">
        <v>739</v>
      </c>
      <c r="E10338" s="4" t="str">
        <f t="shared" si="946"/>
        <v>Thành phố Sóc Trăng</v>
      </c>
      <c r="F10338" s="3" t="s">
        <v>11097</v>
      </c>
      <c r="G10338" s="4" t="str">
        <f>HYPERLINK("https://diaocthongthai.com/phuong-4-tp-soc-trang/","Phường 4")</f>
        <v>Phường 4</v>
      </c>
    </row>
    <row r="10339" spans="1:7" x14ac:dyDescent="0.25">
      <c r="A10339" s="2">
        <v>10338</v>
      </c>
      <c r="B10339" s="3" t="s">
        <v>63</v>
      </c>
      <c r="C10339" s="4" t="str">
        <f t="shared" si="945"/>
        <v>Sóc Trăng</v>
      </c>
      <c r="D10339" s="3" t="s">
        <v>739</v>
      </c>
      <c r="E10339" s="4" t="str">
        <f t="shared" si="946"/>
        <v>Thành phố Sóc Trăng</v>
      </c>
      <c r="F10339" s="3" t="s">
        <v>11098</v>
      </c>
      <c r="G10339" s="4" t="str">
        <f>HYPERLINK("https://diaocthongthai.com/phuong-3-tp-soc-trang/","Phường 3")</f>
        <v>Phường 3</v>
      </c>
    </row>
    <row r="10340" spans="1:7" x14ac:dyDescent="0.25">
      <c r="A10340" s="2">
        <v>10339</v>
      </c>
      <c r="B10340" s="3" t="s">
        <v>63</v>
      </c>
      <c r="C10340" s="4" t="str">
        <f t="shared" si="945"/>
        <v>Sóc Trăng</v>
      </c>
      <c r="D10340" s="3" t="s">
        <v>739</v>
      </c>
      <c r="E10340" s="4" t="str">
        <f t="shared" si="946"/>
        <v>Thành phố Sóc Trăng</v>
      </c>
      <c r="F10340" s="3" t="s">
        <v>11099</v>
      </c>
      <c r="G10340" s="4" t="str">
        <f>HYPERLINK("https://diaocthongthai.com/phuong-9-tp-soc-trang/","Phường 9")</f>
        <v>Phường 9</v>
      </c>
    </row>
    <row r="10341" spans="1:7" x14ac:dyDescent="0.25">
      <c r="A10341" s="2">
        <v>10340</v>
      </c>
      <c r="B10341" s="3" t="s">
        <v>63</v>
      </c>
      <c r="C10341" s="4" t="str">
        <f t="shared" si="945"/>
        <v>Sóc Trăng</v>
      </c>
      <c r="D10341" s="3" t="s">
        <v>739</v>
      </c>
      <c r="E10341" s="4" t="str">
        <f t="shared" si="946"/>
        <v>Thành phố Sóc Trăng</v>
      </c>
      <c r="F10341" s="3" t="s">
        <v>11100</v>
      </c>
      <c r="G10341" s="4" t="str">
        <f>HYPERLINK("https://diaocthongthai.com/phuong-10-tp-soc-trang/","Phường 10")</f>
        <v>Phường 10</v>
      </c>
    </row>
    <row r="10342" spans="1:7" x14ac:dyDescent="0.25">
      <c r="A10342" s="2">
        <v>10341</v>
      </c>
      <c r="B10342" s="3" t="s">
        <v>63</v>
      </c>
      <c r="C10342" s="4" t="str">
        <f t="shared" si="945"/>
        <v>Sóc Trăng</v>
      </c>
      <c r="D10342" s="3" t="s">
        <v>740</v>
      </c>
      <c r="E10342" s="4" t="str">
        <f t="shared" ref="E10342:E10349" si="947">HYPERLINK("https://diaocthongthai.com/ban-do-huyen-chau-thanh-soc-trang/","Huyện Châu Thành")</f>
        <v>Huyện Châu Thành</v>
      </c>
      <c r="F10342" s="3" t="s">
        <v>11101</v>
      </c>
      <c r="G10342" s="4" t="str">
        <f>HYPERLINK("https://diaocthongthai.com/thi-tran-chau-thanh-chau-thanh-soc-trang/","Thị trấn Châu Thành")</f>
        <v>Thị trấn Châu Thành</v>
      </c>
    </row>
    <row r="10343" spans="1:7" x14ac:dyDescent="0.25">
      <c r="A10343" s="2">
        <v>10342</v>
      </c>
      <c r="B10343" s="3" t="s">
        <v>63</v>
      </c>
      <c r="C10343" s="4" t="str">
        <f t="shared" si="945"/>
        <v>Sóc Trăng</v>
      </c>
      <c r="D10343" s="3" t="s">
        <v>740</v>
      </c>
      <c r="E10343" s="4" t="str">
        <f t="shared" si="947"/>
        <v>Huyện Châu Thành</v>
      </c>
      <c r="F10343" s="3" t="s">
        <v>11102</v>
      </c>
      <c r="G10343" s="4" t="str">
        <f>HYPERLINK("https://diaocthongthai.com/xa-ho-dac-kien-chau-thanh-soc-trang/","Xã Hồ Đắc Kiện")</f>
        <v>Xã Hồ Đắc Kiện</v>
      </c>
    </row>
    <row r="10344" spans="1:7" x14ac:dyDescent="0.25">
      <c r="A10344" s="2">
        <v>10343</v>
      </c>
      <c r="B10344" s="3" t="s">
        <v>63</v>
      </c>
      <c r="C10344" s="4" t="str">
        <f t="shared" si="945"/>
        <v>Sóc Trăng</v>
      </c>
      <c r="D10344" s="3" t="s">
        <v>740</v>
      </c>
      <c r="E10344" s="4" t="str">
        <f t="shared" si="947"/>
        <v>Huyện Châu Thành</v>
      </c>
      <c r="F10344" s="3" t="s">
        <v>11103</v>
      </c>
      <c r="G10344" s="4" t="str">
        <f>HYPERLINK("https://diaocthongthai.com/xa-phu-tam-chau-thanh-soc-trang/","Xã Phú Tâm")</f>
        <v>Xã Phú Tâm</v>
      </c>
    </row>
    <row r="10345" spans="1:7" x14ac:dyDescent="0.25">
      <c r="A10345" s="2">
        <v>10344</v>
      </c>
      <c r="B10345" s="3" t="s">
        <v>63</v>
      </c>
      <c r="C10345" s="4" t="str">
        <f t="shared" si="945"/>
        <v>Sóc Trăng</v>
      </c>
      <c r="D10345" s="3" t="s">
        <v>740</v>
      </c>
      <c r="E10345" s="4" t="str">
        <f t="shared" si="947"/>
        <v>Huyện Châu Thành</v>
      </c>
      <c r="F10345" s="3" t="s">
        <v>11104</v>
      </c>
      <c r="G10345" s="4" t="str">
        <f>HYPERLINK("https://diaocthongthai.com/xa-thuan-hoa-chau-thanh-soc-trang/","Xã Thuận Hòa")</f>
        <v>Xã Thuận Hòa</v>
      </c>
    </row>
    <row r="10346" spans="1:7" x14ac:dyDescent="0.25">
      <c r="A10346" s="2">
        <v>10345</v>
      </c>
      <c r="B10346" s="3" t="s">
        <v>63</v>
      </c>
      <c r="C10346" s="4" t="str">
        <f t="shared" si="945"/>
        <v>Sóc Trăng</v>
      </c>
      <c r="D10346" s="3" t="s">
        <v>740</v>
      </c>
      <c r="E10346" s="4" t="str">
        <f t="shared" si="947"/>
        <v>Huyện Châu Thành</v>
      </c>
      <c r="F10346" s="3" t="s">
        <v>11105</v>
      </c>
      <c r="G10346" s="4" t="str">
        <f>HYPERLINK("https://diaocthongthai.com/xa-phu-tan-chau-thanh-soc-trang/","Xã Phú Tân")</f>
        <v>Xã Phú Tân</v>
      </c>
    </row>
    <row r="10347" spans="1:7" x14ac:dyDescent="0.25">
      <c r="A10347" s="2">
        <v>10346</v>
      </c>
      <c r="B10347" s="3" t="s">
        <v>63</v>
      </c>
      <c r="C10347" s="4" t="str">
        <f t="shared" si="945"/>
        <v>Sóc Trăng</v>
      </c>
      <c r="D10347" s="3" t="s">
        <v>740</v>
      </c>
      <c r="E10347" s="4" t="str">
        <f t="shared" si="947"/>
        <v>Huyện Châu Thành</v>
      </c>
      <c r="F10347" s="3" t="s">
        <v>11106</v>
      </c>
      <c r="G10347" s="4" t="str">
        <f>HYPERLINK("https://diaocthongthai.com/xa-thien-my-chau-thanh-soc-trang/","Xã Thiện Mỹ")</f>
        <v>Xã Thiện Mỹ</v>
      </c>
    </row>
    <row r="10348" spans="1:7" x14ac:dyDescent="0.25">
      <c r="A10348" s="2">
        <v>10347</v>
      </c>
      <c r="B10348" s="3" t="s">
        <v>63</v>
      </c>
      <c r="C10348" s="4" t="str">
        <f t="shared" si="945"/>
        <v>Sóc Trăng</v>
      </c>
      <c r="D10348" s="3" t="s">
        <v>740</v>
      </c>
      <c r="E10348" s="4" t="str">
        <f t="shared" si="947"/>
        <v>Huyện Châu Thành</v>
      </c>
      <c r="F10348" s="3" t="s">
        <v>11107</v>
      </c>
      <c r="G10348" s="4" t="str">
        <f>HYPERLINK("https://diaocthongthai.com/xa-an-hiep-chau-thanh-soc-trang/","Xã An Hiệp")</f>
        <v>Xã An Hiệp</v>
      </c>
    </row>
    <row r="10349" spans="1:7" x14ac:dyDescent="0.25">
      <c r="A10349" s="2">
        <v>10348</v>
      </c>
      <c r="B10349" s="3" t="s">
        <v>63</v>
      </c>
      <c r="C10349" s="4" t="str">
        <f t="shared" si="945"/>
        <v>Sóc Trăng</v>
      </c>
      <c r="D10349" s="3" t="s">
        <v>740</v>
      </c>
      <c r="E10349" s="4" t="str">
        <f t="shared" si="947"/>
        <v>Huyện Châu Thành</v>
      </c>
      <c r="F10349" s="3" t="s">
        <v>11108</v>
      </c>
      <c r="G10349" s="4" t="str">
        <f>HYPERLINK("https://diaocthongthai.com/xa-an-ninh-chau-thanh-soc-trang/","Xã An Ninh")</f>
        <v>Xã An Ninh</v>
      </c>
    </row>
    <row r="10350" spans="1:7" x14ac:dyDescent="0.25">
      <c r="A10350" s="2">
        <v>10349</v>
      </c>
      <c r="B10350" s="3" t="s">
        <v>63</v>
      </c>
      <c r="C10350" s="4" t="str">
        <f t="shared" si="945"/>
        <v>Sóc Trăng</v>
      </c>
      <c r="D10350" s="3" t="s">
        <v>741</v>
      </c>
      <c r="E10350" s="4" t="str">
        <f t="shared" ref="E10350:E10362" si="948">HYPERLINK("https://diaocthongthai.com/ban-do-huyen-ke-sach-soc-trang/","Huyện Kế Sách")</f>
        <v>Huyện Kế Sách</v>
      </c>
      <c r="F10350" s="3" t="s">
        <v>11109</v>
      </c>
      <c r="G10350" s="4" t="str">
        <f>HYPERLINK("https://diaocthongthai.com/thi-tran-ke-sach-ke-sach/","Thị trấn Kế Sách")</f>
        <v>Thị trấn Kế Sách</v>
      </c>
    </row>
    <row r="10351" spans="1:7" x14ac:dyDescent="0.25">
      <c r="A10351" s="2">
        <v>10350</v>
      </c>
      <c r="B10351" s="3" t="s">
        <v>63</v>
      </c>
      <c r="C10351" s="4" t="str">
        <f t="shared" si="945"/>
        <v>Sóc Trăng</v>
      </c>
      <c r="D10351" s="3" t="s">
        <v>741</v>
      </c>
      <c r="E10351" s="4" t="str">
        <f t="shared" si="948"/>
        <v>Huyện Kế Sách</v>
      </c>
      <c r="F10351" s="3" t="s">
        <v>11110</v>
      </c>
      <c r="G10351" s="4" t="str">
        <f>HYPERLINK("https://diaocthongthai.com/thi-tran-an-lac-thon-ke-sach/","Thị trấn An Lạc Thôn")</f>
        <v>Thị trấn An Lạc Thôn</v>
      </c>
    </row>
    <row r="10352" spans="1:7" x14ac:dyDescent="0.25">
      <c r="A10352" s="2">
        <v>10351</v>
      </c>
      <c r="B10352" s="3" t="s">
        <v>63</v>
      </c>
      <c r="C10352" s="4" t="str">
        <f t="shared" si="945"/>
        <v>Sóc Trăng</v>
      </c>
      <c r="D10352" s="3" t="s">
        <v>741</v>
      </c>
      <c r="E10352" s="4" t="str">
        <f t="shared" si="948"/>
        <v>Huyện Kế Sách</v>
      </c>
      <c r="F10352" s="3" t="s">
        <v>11111</v>
      </c>
      <c r="G10352" s="4" t="str">
        <f>HYPERLINK("https://diaocthongthai.com/xa-xuan-hoa-ke-sach/","Xã Xuân Hòa")</f>
        <v>Xã Xuân Hòa</v>
      </c>
    </row>
    <row r="10353" spans="1:7" x14ac:dyDescent="0.25">
      <c r="A10353" s="2">
        <v>10352</v>
      </c>
      <c r="B10353" s="3" t="s">
        <v>63</v>
      </c>
      <c r="C10353" s="4" t="str">
        <f t="shared" si="945"/>
        <v>Sóc Trăng</v>
      </c>
      <c r="D10353" s="3" t="s">
        <v>741</v>
      </c>
      <c r="E10353" s="4" t="str">
        <f t="shared" si="948"/>
        <v>Huyện Kế Sách</v>
      </c>
      <c r="F10353" s="3" t="s">
        <v>11112</v>
      </c>
      <c r="G10353" s="4" t="str">
        <f>HYPERLINK("https://diaocthongthai.com/xa-phong-nam-ke-sach/","Xã Phong Nẫm")</f>
        <v>Xã Phong Nẫm</v>
      </c>
    </row>
    <row r="10354" spans="1:7" x14ac:dyDescent="0.25">
      <c r="A10354" s="2">
        <v>10353</v>
      </c>
      <c r="B10354" s="3" t="s">
        <v>63</v>
      </c>
      <c r="C10354" s="4" t="str">
        <f t="shared" si="945"/>
        <v>Sóc Trăng</v>
      </c>
      <c r="D10354" s="3" t="s">
        <v>741</v>
      </c>
      <c r="E10354" s="4" t="str">
        <f t="shared" si="948"/>
        <v>Huyện Kế Sách</v>
      </c>
      <c r="F10354" s="3" t="s">
        <v>11113</v>
      </c>
      <c r="G10354" s="4" t="str">
        <f>HYPERLINK("https://diaocthongthai.com/xa-an-lac-tay-ke-sach/","Xã An Lạc Tây")</f>
        <v>Xã An Lạc Tây</v>
      </c>
    </row>
    <row r="10355" spans="1:7" x14ac:dyDescent="0.25">
      <c r="A10355" s="2">
        <v>10354</v>
      </c>
      <c r="B10355" s="3" t="s">
        <v>63</v>
      </c>
      <c r="C10355" s="4" t="str">
        <f t="shared" si="945"/>
        <v>Sóc Trăng</v>
      </c>
      <c r="D10355" s="3" t="s">
        <v>741</v>
      </c>
      <c r="E10355" s="4" t="str">
        <f t="shared" si="948"/>
        <v>Huyện Kế Sách</v>
      </c>
      <c r="F10355" s="3" t="s">
        <v>11114</v>
      </c>
      <c r="G10355" s="4" t="str">
        <f>HYPERLINK("https://diaocthongthai.com/xa-trinh-phu-ke-sach/","Xã Trinh Phú")</f>
        <v>Xã Trinh Phú</v>
      </c>
    </row>
    <row r="10356" spans="1:7" x14ac:dyDescent="0.25">
      <c r="A10356" s="2">
        <v>10355</v>
      </c>
      <c r="B10356" s="3" t="s">
        <v>63</v>
      </c>
      <c r="C10356" s="4" t="str">
        <f t="shared" si="945"/>
        <v>Sóc Trăng</v>
      </c>
      <c r="D10356" s="3" t="s">
        <v>741</v>
      </c>
      <c r="E10356" s="4" t="str">
        <f t="shared" si="948"/>
        <v>Huyện Kế Sách</v>
      </c>
      <c r="F10356" s="3" t="s">
        <v>11115</v>
      </c>
      <c r="G10356" s="4" t="str">
        <f>HYPERLINK("https://diaocthongthai.com/xa-ba-trinh-ke-sach/","Xã Ba Trinh")</f>
        <v>Xã Ba Trinh</v>
      </c>
    </row>
    <row r="10357" spans="1:7" x14ac:dyDescent="0.25">
      <c r="A10357" s="2">
        <v>10356</v>
      </c>
      <c r="B10357" s="3" t="s">
        <v>63</v>
      </c>
      <c r="C10357" s="4" t="str">
        <f t="shared" si="945"/>
        <v>Sóc Trăng</v>
      </c>
      <c r="D10357" s="3" t="s">
        <v>741</v>
      </c>
      <c r="E10357" s="4" t="str">
        <f t="shared" si="948"/>
        <v>Huyện Kế Sách</v>
      </c>
      <c r="F10357" s="3" t="s">
        <v>11116</v>
      </c>
      <c r="G10357" s="4" t="str">
        <f>HYPERLINK("https://diaocthongthai.com/xa-thoi-an-hoi-ke-sach/","Xã Thới An Hội")</f>
        <v>Xã Thới An Hội</v>
      </c>
    </row>
    <row r="10358" spans="1:7" x14ac:dyDescent="0.25">
      <c r="A10358" s="2">
        <v>10357</v>
      </c>
      <c r="B10358" s="3" t="s">
        <v>63</v>
      </c>
      <c r="C10358" s="4" t="str">
        <f t="shared" si="945"/>
        <v>Sóc Trăng</v>
      </c>
      <c r="D10358" s="3" t="s">
        <v>741</v>
      </c>
      <c r="E10358" s="4" t="str">
        <f t="shared" si="948"/>
        <v>Huyện Kế Sách</v>
      </c>
      <c r="F10358" s="3" t="s">
        <v>11117</v>
      </c>
      <c r="G10358" s="4" t="str">
        <f>HYPERLINK("https://diaocthongthai.com/xa-nhon-my-ke-sach/","Xã Nhơn Mỹ")</f>
        <v>Xã Nhơn Mỹ</v>
      </c>
    </row>
    <row r="10359" spans="1:7" x14ac:dyDescent="0.25">
      <c r="A10359" s="2">
        <v>10358</v>
      </c>
      <c r="B10359" s="3" t="s">
        <v>63</v>
      </c>
      <c r="C10359" s="4" t="str">
        <f t="shared" si="945"/>
        <v>Sóc Trăng</v>
      </c>
      <c r="D10359" s="3" t="s">
        <v>741</v>
      </c>
      <c r="E10359" s="4" t="str">
        <f t="shared" si="948"/>
        <v>Huyện Kế Sách</v>
      </c>
      <c r="F10359" s="3" t="s">
        <v>11118</v>
      </c>
      <c r="G10359" s="4" t="str">
        <f>HYPERLINK("https://diaocthongthai.com/xa-ke-thanh-ke-sach/","Xã Kế Thành")</f>
        <v>Xã Kế Thành</v>
      </c>
    </row>
    <row r="10360" spans="1:7" x14ac:dyDescent="0.25">
      <c r="A10360" s="2">
        <v>10359</v>
      </c>
      <c r="B10360" s="3" t="s">
        <v>63</v>
      </c>
      <c r="C10360" s="4" t="str">
        <f t="shared" si="945"/>
        <v>Sóc Trăng</v>
      </c>
      <c r="D10360" s="3" t="s">
        <v>741</v>
      </c>
      <c r="E10360" s="4" t="str">
        <f t="shared" si="948"/>
        <v>Huyện Kế Sách</v>
      </c>
      <c r="F10360" s="3" t="s">
        <v>11119</v>
      </c>
      <c r="G10360" s="4" t="str">
        <f>HYPERLINK("https://diaocthongthai.com/xa-ke-an-ke-sach/","Xã Kế An")</f>
        <v>Xã Kế An</v>
      </c>
    </row>
    <row r="10361" spans="1:7" x14ac:dyDescent="0.25">
      <c r="A10361" s="2">
        <v>10360</v>
      </c>
      <c r="B10361" s="3" t="s">
        <v>63</v>
      </c>
      <c r="C10361" s="4" t="str">
        <f t="shared" si="945"/>
        <v>Sóc Trăng</v>
      </c>
      <c r="D10361" s="3" t="s">
        <v>741</v>
      </c>
      <c r="E10361" s="4" t="str">
        <f t="shared" si="948"/>
        <v>Huyện Kế Sách</v>
      </c>
      <c r="F10361" s="3" t="s">
        <v>11120</v>
      </c>
      <c r="G10361" s="4" t="str">
        <f>HYPERLINK("https://diaocthongthai.com/xa-dai-hai-ke-sach/","Xã Đại Hải")</f>
        <v>Xã Đại Hải</v>
      </c>
    </row>
    <row r="10362" spans="1:7" x14ac:dyDescent="0.25">
      <c r="A10362" s="2">
        <v>10361</v>
      </c>
      <c r="B10362" s="3" t="s">
        <v>63</v>
      </c>
      <c r="C10362" s="4" t="str">
        <f t="shared" si="945"/>
        <v>Sóc Trăng</v>
      </c>
      <c r="D10362" s="3" t="s">
        <v>741</v>
      </c>
      <c r="E10362" s="4" t="str">
        <f t="shared" si="948"/>
        <v>Huyện Kế Sách</v>
      </c>
      <c r="F10362" s="3" t="s">
        <v>11121</v>
      </c>
      <c r="G10362" s="4" t="str">
        <f>HYPERLINK("https://diaocthongthai.com/xa-an-my-ke-sach/","Xã An Mỹ")</f>
        <v>Xã An Mỹ</v>
      </c>
    </row>
    <row r="10363" spans="1:7" x14ac:dyDescent="0.25">
      <c r="A10363" s="2">
        <v>10362</v>
      </c>
      <c r="B10363" s="3" t="s">
        <v>63</v>
      </c>
      <c r="C10363" s="4" t="str">
        <f t="shared" si="945"/>
        <v>Sóc Trăng</v>
      </c>
      <c r="D10363" s="3" t="s">
        <v>742</v>
      </c>
      <c r="E10363" s="4" t="str">
        <f t="shared" ref="E10363:E10371" si="949">HYPERLINK("https://diaocthongthai.com/ban-do-huyen-my-tu-soc-trang/","Huyện Mỹ Tú")</f>
        <v>Huyện Mỹ Tú</v>
      </c>
      <c r="F10363" s="3" t="s">
        <v>11122</v>
      </c>
      <c r="G10363" s="4" t="str">
        <f>HYPERLINK("https://diaocthongthai.com/thi-tran-huynh-huu-nghia-my-tu/","Thị trấn Huỳnh Hữu Nghĩa")</f>
        <v>Thị trấn Huỳnh Hữu Nghĩa</v>
      </c>
    </row>
    <row r="10364" spans="1:7" x14ac:dyDescent="0.25">
      <c r="A10364" s="2">
        <v>10363</v>
      </c>
      <c r="B10364" s="3" t="s">
        <v>63</v>
      </c>
      <c r="C10364" s="4" t="str">
        <f t="shared" ref="C10364:C10395" si="950">HYPERLINK("https://diaocthongthai.com/ban-do-soc-trang/","Sóc Trăng")</f>
        <v>Sóc Trăng</v>
      </c>
      <c r="D10364" s="3" t="s">
        <v>742</v>
      </c>
      <c r="E10364" s="4" t="str">
        <f t="shared" si="949"/>
        <v>Huyện Mỹ Tú</v>
      </c>
      <c r="F10364" s="3" t="s">
        <v>11123</v>
      </c>
      <c r="G10364" s="4" t="str">
        <f>HYPERLINK("https://diaocthongthai.com/xa-long-hung-my-tu/","Xã Long Hưng")</f>
        <v>Xã Long Hưng</v>
      </c>
    </row>
    <row r="10365" spans="1:7" x14ac:dyDescent="0.25">
      <c r="A10365" s="2">
        <v>10364</v>
      </c>
      <c r="B10365" s="3" t="s">
        <v>63</v>
      </c>
      <c r="C10365" s="4" t="str">
        <f t="shared" si="950"/>
        <v>Sóc Trăng</v>
      </c>
      <c r="D10365" s="3" t="s">
        <v>742</v>
      </c>
      <c r="E10365" s="4" t="str">
        <f t="shared" si="949"/>
        <v>Huyện Mỹ Tú</v>
      </c>
      <c r="F10365" s="3" t="s">
        <v>11124</v>
      </c>
      <c r="G10365" s="4" t="str">
        <f>HYPERLINK("https://diaocthongthai.com/xa-hung-phu-my-tu/","Xã Hưng Phú")</f>
        <v>Xã Hưng Phú</v>
      </c>
    </row>
    <row r="10366" spans="1:7" x14ac:dyDescent="0.25">
      <c r="A10366" s="2">
        <v>10365</v>
      </c>
      <c r="B10366" s="3" t="s">
        <v>63</v>
      </c>
      <c r="C10366" s="4" t="str">
        <f t="shared" si="950"/>
        <v>Sóc Trăng</v>
      </c>
      <c r="D10366" s="3" t="s">
        <v>742</v>
      </c>
      <c r="E10366" s="4" t="str">
        <f t="shared" si="949"/>
        <v>Huyện Mỹ Tú</v>
      </c>
      <c r="F10366" s="3" t="s">
        <v>11125</v>
      </c>
      <c r="G10366" s="4" t="str">
        <f>HYPERLINK("https://diaocthongthai.com/xa-my-huong-my-tu/","Xã Mỹ Hương")</f>
        <v>Xã Mỹ Hương</v>
      </c>
    </row>
    <row r="10367" spans="1:7" x14ac:dyDescent="0.25">
      <c r="A10367" s="2">
        <v>10366</v>
      </c>
      <c r="B10367" s="3" t="s">
        <v>63</v>
      </c>
      <c r="C10367" s="4" t="str">
        <f t="shared" si="950"/>
        <v>Sóc Trăng</v>
      </c>
      <c r="D10367" s="3" t="s">
        <v>742</v>
      </c>
      <c r="E10367" s="4" t="str">
        <f t="shared" si="949"/>
        <v>Huyện Mỹ Tú</v>
      </c>
      <c r="F10367" s="3" t="s">
        <v>11126</v>
      </c>
      <c r="G10367" s="4" t="str">
        <f>HYPERLINK("https://diaocthongthai.com/xa-my-tu-my-tu/","Xã Mỹ Tú")</f>
        <v>Xã Mỹ Tú</v>
      </c>
    </row>
    <row r="10368" spans="1:7" x14ac:dyDescent="0.25">
      <c r="A10368" s="2">
        <v>10367</v>
      </c>
      <c r="B10368" s="3" t="s">
        <v>63</v>
      </c>
      <c r="C10368" s="4" t="str">
        <f t="shared" si="950"/>
        <v>Sóc Trăng</v>
      </c>
      <c r="D10368" s="3" t="s">
        <v>742</v>
      </c>
      <c r="E10368" s="4" t="str">
        <f t="shared" si="949"/>
        <v>Huyện Mỹ Tú</v>
      </c>
      <c r="F10368" s="3" t="s">
        <v>11127</v>
      </c>
      <c r="G10368" s="4" t="str">
        <f>HYPERLINK("https://diaocthongthai.com/xa-my-phuoc-my-tu/","Xã Mỹ Phước")</f>
        <v>Xã Mỹ Phước</v>
      </c>
    </row>
    <row r="10369" spans="1:7" x14ac:dyDescent="0.25">
      <c r="A10369" s="2">
        <v>10368</v>
      </c>
      <c r="B10369" s="3" t="s">
        <v>63</v>
      </c>
      <c r="C10369" s="4" t="str">
        <f t="shared" si="950"/>
        <v>Sóc Trăng</v>
      </c>
      <c r="D10369" s="3" t="s">
        <v>742</v>
      </c>
      <c r="E10369" s="4" t="str">
        <f t="shared" si="949"/>
        <v>Huyện Mỹ Tú</v>
      </c>
      <c r="F10369" s="3" t="s">
        <v>11128</v>
      </c>
      <c r="G10369" s="4" t="str">
        <f>HYPERLINK("https://diaocthongthai.com/xa-thuan-hung-my-tu/","Xã Thuận Hưng")</f>
        <v>Xã Thuận Hưng</v>
      </c>
    </row>
    <row r="10370" spans="1:7" x14ac:dyDescent="0.25">
      <c r="A10370" s="2">
        <v>10369</v>
      </c>
      <c r="B10370" s="3" t="s">
        <v>63</v>
      </c>
      <c r="C10370" s="4" t="str">
        <f t="shared" si="950"/>
        <v>Sóc Trăng</v>
      </c>
      <c r="D10370" s="3" t="s">
        <v>742</v>
      </c>
      <c r="E10370" s="4" t="str">
        <f t="shared" si="949"/>
        <v>Huyện Mỹ Tú</v>
      </c>
      <c r="F10370" s="3" t="s">
        <v>11129</v>
      </c>
      <c r="G10370" s="4" t="str">
        <f>HYPERLINK("https://diaocthongthai.com/xa-my-thuan-my-tu/","Xã Mỹ Thuận")</f>
        <v>Xã Mỹ Thuận</v>
      </c>
    </row>
    <row r="10371" spans="1:7" x14ac:dyDescent="0.25">
      <c r="A10371" s="2">
        <v>10370</v>
      </c>
      <c r="B10371" s="3" t="s">
        <v>63</v>
      </c>
      <c r="C10371" s="4" t="str">
        <f t="shared" si="950"/>
        <v>Sóc Trăng</v>
      </c>
      <c r="D10371" s="3" t="s">
        <v>742</v>
      </c>
      <c r="E10371" s="4" t="str">
        <f t="shared" si="949"/>
        <v>Huyện Mỹ Tú</v>
      </c>
      <c r="F10371" s="3" t="s">
        <v>11130</v>
      </c>
      <c r="G10371" s="4" t="str">
        <f>HYPERLINK("https://diaocthongthai.com/xa-phu-my-my-tu/","Xã Phú Mỹ")</f>
        <v>Xã Phú Mỹ</v>
      </c>
    </row>
    <row r="10372" spans="1:7" x14ac:dyDescent="0.25">
      <c r="A10372" s="2">
        <v>10371</v>
      </c>
      <c r="B10372" s="3" t="s">
        <v>63</v>
      </c>
      <c r="C10372" s="4" t="str">
        <f t="shared" si="950"/>
        <v>Sóc Trăng</v>
      </c>
      <c r="D10372" s="3" t="s">
        <v>743</v>
      </c>
      <c r="E10372" s="4" t="str">
        <f t="shared" ref="E10372:E10379" si="951">HYPERLINK("https://diaocthongthai.com/ban-do-huyen-cu-lao-dung-soc-trang/","Huyện Cù Lao Dung")</f>
        <v>Huyện Cù Lao Dung</v>
      </c>
      <c r="F10372" s="3" t="s">
        <v>11131</v>
      </c>
      <c r="G10372" s="4" t="str">
        <f>HYPERLINK("https://diaocthongthai.com/thi-tran-cu-lao-dung-cu-lao-dung/","Thị trấn Cù Lao Dung")</f>
        <v>Thị trấn Cù Lao Dung</v>
      </c>
    </row>
    <row r="10373" spans="1:7" x14ac:dyDescent="0.25">
      <c r="A10373" s="2">
        <v>10372</v>
      </c>
      <c r="B10373" s="3" t="s">
        <v>63</v>
      </c>
      <c r="C10373" s="4" t="str">
        <f t="shared" si="950"/>
        <v>Sóc Trăng</v>
      </c>
      <c r="D10373" s="3" t="s">
        <v>743</v>
      </c>
      <c r="E10373" s="4" t="str">
        <f t="shared" si="951"/>
        <v>Huyện Cù Lao Dung</v>
      </c>
      <c r="F10373" s="3" t="s">
        <v>11132</v>
      </c>
      <c r="G10373" s="4" t="str">
        <f>HYPERLINK("https://diaocthongthai.com/xa-an-thanh-1-cu-lao-dung/","Xã An Thạnh 1")</f>
        <v>Xã An Thạnh 1</v>
      </c>
    </row>
    <row r="10374" spans="1:7" x14ac:dyDescent="0.25">
      <c r="A10374" s="2">
        <v>10373</v>
      </c>
      <c r="B10374" s="3" t="s">
        <v>63</v>
      </c>
      <c r="C10374" s="4" t="str">
        <f t="shared" si="950"/>
        <v>Sóc Trăng</v>
      </c>
      <c r="D10374" s="3" t="s">
        <v>743</v>
      </c>
      <c r="E10374" s="4" t="str">
        <f t="shared" si="951"/>
        <v>Huyện Cù Lao Dung</v>
      </c>
      <c r="F10374" s="3" t="s">
        <v>11133</v>
      </c>
      <c r="G10374" s="4" t="str">
        <f>HYPERLINK("https://diaocthongthai.com/xa-an-thanh-tay-cu-lao-dung/","Xã An Thạnh Tây")</f>
        <v>Xã An Thạnh Tây</v>
      </c>
    </row>
    <row r="10375" spans="1:7" x14ac:dyDescent="0.25">
      <c r="A10375" s="2">
        <v>10374</v>
      </c>
      <c r="B10375" s="3" t="s">
        <v>63</v>
      </c>
      <c r="C10375" s="4" t="str">
        <f t="shared" si="950"/>
        <v>Sóc Trăng</v>
      </c>
      <c r="D10375" s="3" t="s">
        <v>743</v>
      </c>
      <c r="E10375" s="4" t="str">
        <f t="shared" si="951"/>
        <v>Huyện Cù Lao Dung</v>
      </c>
      <c r="F10375" s="3" t="s">
        <v>11134</v>
      </c>
      <c r="G10375" s="4" t="str">
        <f>HYPERLINK("https://diaocthongthai.com/xa-an-thanh-dong-cu-lao-dung/","Xã An Thạnh Đông")</f>
        <v>Xã An Thạnh Đông</v>
      </c>
    </row>
    <row r="10376" spans="1:7" x14ac:dyDescent="0.25">
      <c r="A10376" s="2">
        <v>10375</v>
      </c>
      <c r="B10376" s="3" t="s">
        <v>63</v>
      </c>
      <c r="C10376" s="4" t="str">
        <f t="shared" si="950"/>
        <v>Sóc Trăng</v>
      </c>
      <c r="D10376" s="3" t="s">
        <v>743</v>
      </c>
      <c r="E10376" s="4" t="str">
        <f t="shared" si="951"/>
        <v>Huyện Cù Lao Dung</v>
      </c>
      <c r="F10376" s="3" t="s">
        <v>11135</v>
      </c>
      <c r="G10376" s="4" t="str">
        <f>HYPERLINK("https://diaocthongthai.com/xa-dai-an-1-cu-lao-dung/","Xã Đại Ân 1")</f>
        <v>Xã Đại Ân 1</v>
      </c>
    </row>
    <row r="10377" spans="1:7" x14ac:dyDescent="0.25">
      <c r="A10377" s="2">
        <v>10376</v>
      </c>
      <c r="B10377" s="3" t="s">
        <v>63</v>
      </c>
      <c r="C10377" s="4" t="str">
        <f t="shared" si="950"/>
        <v>Sóc Trăng</v>
      </c>
      <c r="D10377" s="3" t="s">
        <v>743</v>
      </c>
      <c r="E10377" s="4" t="str">
        <f t="shared" si="951"/>
        <v>Huyện Cù Lao Dung</v>
      </c>
      <c r="F10377" s="3" t="s">
        <v>11136</v>
      </c>
      <c r="G10377" s="4" t="str">
        <f>HYPERLINK("https://diaocthongthai.com/xa-an-thanh-2-cu-lao-dung/","Xã An Thạnh 2")</f>
        <v>Xã An Thạnh 2</v>
      </c>
    </row>
    <row r="10378" spans="1:7" x14ac:dyDescent="0.25">
      <c r="A10378" s="2">
        <v>10377</v>
      </c>
      <c r="B10378" s="3" t="s">
        <v>63</v>
      </c>
      <c r="C10378" s="4" t="str">
        <f t="shared" si="950"/>
        <v>Sóc Trăng</v>
      </c>
      <c r="D10378" s="3" t="s">
        <v>743</v>
      </c>
      <c r="E10378" s="4" t="str">
        <f t="shared" si="951"/>
        <v>Huyện Cù Lao Dung</v>
      </c>
      <c r="F10378" s="3" t="s">
        <v>11137</v>
      </c>
      <c r="G10378" s="4" t="str">
        <f>HYPERLINK("https://diaocthongthai.com/xa-an-thanh-3-cu-lao-dung/","Xã An Thạnh 3")</f>
        <v>Xã An Thạnh 3</v>
      </c>
    </row>
    <row r="10379" spans="1:7" x14ac:dyDescent="0.25">
      <c r="A10379" s="2">
        <v>10378</v>
      </c>
      <c r="B10379" s="3" t="s">
        <v>63</v>
      </c>
      <c r="C10379" s="4" t="str">
        <f t="shared" si="950"/>
        <v>Sóc Trăng</v>
      </c>
      <c r="D10379" s="3" t="s">
        <v>743</v>
      </c>
      <c r="E10379" s="4" t="str">
        <f t="shared" si="951"/>
        <v>Huyện Cù Lao Dung</v>
      </c>
      <c r="F10379" s="3" t="s">
        <v>11138</v>
      </c>
      <c r="G10379" s="4" t="str">
        <f>HYPERLINK("https://diaocthongthai.com/xa-an-thanh-nam-cu-lao-dung/","Xã An Thạnh Nam")</f>
        <v>Xã An Thạnh Nam</v>
      </c>
    </row>
    <row r="10380" spans="1:7" x14ac:dyDescent="0.25">
      <c r="A10380" s="2">
        <v>10379</v>
      </c>
      <c r="B10380" s="3" t="s">
        <v>63</v>
      </c>
      <c r="C10380" s="4" t="str">
        <f t="shared" si="950"/>
        <v>Sóc Trăng</v>
      </c>
      <c r="D10380" s="3" t="s">
        <v>744</v>
      </c>
      <c r="E10380" s="4" t="str">
        <f t="shared" ref="E10380:E10390" si="952">HYPERLINK("https://diaocthongthai.com/ban-do-huyen-long-phu-soc-trang/","Huyện Long Phú")</f>
        <v>Huyện Long Phú</v>
      </c>
      <c r="F10380" s="3" t="s">
        <v>11139</v>
      </c>
      <c r="G10380" s="4" t="str">
        <f>HYPERLINK("https://diaocthongthai.com/thi-tran-long-phu-long-phu/","Thị trấn Long Phú")</f>
        <v>Thị trấn Long Phú</v>
      </c>
    </row>
    <row r="10381" spans="1:7" x14ac:dyDescent="0.25">
      <c r="A10381" s="2">
        <v>10380</v>
      </c>
      <c r="B10381" s="3" t="s">
        <v>63</v>
      </c>
      <c r="C10381" s="4" t="str">
        <f t="shared" si="950"/>
        <v>Sóc Trăng</v>
      </c>
      <c r="D10381" s="3" t="s">
        <v>744</v>
      </c>
      <c r="E10381" s="4" t="str">
        <f t="shared" si="952"/>
        <v>Huyện Long Phú</v>
      </c>
      <c r="F10381" s="3" t="s">
        <v>11140</v>
      </c>
      <c r="G10381" s="4" t="str">
        <f>HYPERLINK("https://diaocthongthai.com/xa-song-phung-long-phu/","Xã Song Phụng")</f>
        <v>Xã Song Phụng</v>
      </c>
    </row>
    <row r="10382" spans="1:7" x14ac:dyDescent="0.25">
      <c r="A10382" s="2">
        <v>10381</v>
      </c>
      <c r="B10382" s="3" t="s">
        <v>63</v>
      </c>
      <c r="C10382" s="4" t="str">
        <f t="shared" si="950"/>
        <v>Sóc Trăng</v>
      </c>
      <c r="D10382" s="3" t="s">
        <v>744</v>
      </c>
      <c r="E10382" s="4" t="str">
        <f t="shared" si="952"/>
        <v>Huyện Long Phú</v>
      </c>
      <c r="F10382" s="3" t="s">
        <v>11141</v>
      </c>
      <c r="G10382" s="4" t="str">
        <f>HYPERLINK("https://diaocthongthai.com/thi-tran-dai-ngai-long-phu/","Thị trấn Đại Ngãi")</f>
        <v>Thị trấn Đại Ngãi</v>
      </c>
    </row>
    <row r="10383" spans="1:7" x14ac:dyDescent="0.25">
      <c r="A10383" s="2">
        <v>10382</v>
      </c>
      <c r="B10383" s="3" t="s">
        <v>63</v>
      </c>
      <c r="C10383" s="4" t="str">
        <f t="shared" si="950"/>
        <v>Sóc Trăng</v>
      </c>
      <c r="D10383" s="3" t="s">
        <v>744</v>
      </c>
      <c r="E10383" s="4" t="str">
        <f t="shared" si="952"/>
        <v>Huyện Long Phú</v>
      </c>
      <c r="F10383" s="3" t="s">
        <v>11142</v>
      </c>
      <c r="G10383" s="4" t="str">
        <f>HYPERLINK("https://diaocthongthai.com/xa-hau-thanh-long-phu/","Xã Hậu Thạnh")</f>
        <v>Xã Hậu Thạnh</v>
      </c>
    </row>
    <row r="10384" spans="1:7" x14ac:dyDescent="0.25">
      <c r="A10384" s="2">
        <v>10383</v>
      </c>
      <c r="B10384" s="3" t="s">
        <v>63</v>
      </c>
      <c r="C10384" s="4" t="str">
        <f t="shared" si="950"/>
        <v>Sóc Trăng</v>
      </c>
      <c r="D10384" s="3" t="s">
        <v>744</v>
      </c>
      <c r="E10384" s="4" t="str">
        <f t="shared" si="952"/>
        <v>Huyện Long Phú</v>
      </c>
      <c r="F10384" s="3" t="s">
        <v>11143</v>
      </c>
      <c r="G10384" s="4" t="str">
        <f>HYPERLINK("https://diaocthongthai.com/xa-long-duc-long-phu/","Xã Long Đức")</f>
        <v>Xã Long Đức</v>
      </c>
    </row>
    <row r="10385" spans="1:7" x14ac:dyDescent="0.25">
      <c r="A10385" s="2">
        <v>10384</v>
      </c>
      <c r="B10385" s="3" t="s">
        <v>63</v>
      </c>
      <c r="C10385" s="4" t="str">
        <f t="shared" si="950"/>
        <v>Sóc Trăng</v>
      </c>
      <c r="D10385" s="3" t="s">
        <v>744</v>
      </c>
      <c r="E10385" s="4" t="str">
        <f t="shared" si="952"/>
        <v>Huyện Long Phú</v>
      </c>
      <c r="F10385" s="3" t="s">
        <v>11144</v>
      </c>
      <c r="G10385" s="4" t="str">
        <f>HYPERLINK("https://diaocthongthai.com/xa-truong-khanh-long-phu/","Xã Trường Khánh")</f>
        <v>Xã Trường Khánh</v>
      </c>
    </row>
    <row r="10386" spans="1:7" x14ac:dyDescent="0.25">
      <c r="A10386" s="2">
        <v>10385</v>
      </c>
      <c r="B10386" s="3" t="s">
        <v>63</v>
      </c>
      <c r="C10386" s="4" t="str">
        <f t="shared" si="950"/>
        <v>Sóc Trăng</v>
      </c>
      <c r="D10386" s="3" t="s">
        <v>744</v>
      </c>
      <c r="E10386" s="4" t="str">
        <f t="shared" si="952"/>
        <v>Huyện Long Phú</v>
      </c>
      <c r="F10386" s="3" t="s">
        <v>11145</v>
      </c>
      <c r="G10386" s="4" t="str">
        <f>HYPERLINK("https://diaocthongthai.com/xa-phu-huu-long-phu/","Xã Phú Hữu")</f>
        <v>Xã Phú Hữu</v>
      </c>
    </row>
    <row r="10387" spans="1:7" x14ac:dyDescent="0.25">
      <c r="A10387" s="2">
        <v>10386</v>
      </c>
      <c r="B10387" s="3" t="s">
        <v>63</v>
      </c>
      <c r="C10387" s="4" t="str">
        <f t="shared" si="950"/>
        <v>Sóc Trăng</v>
      </c>
      <c r="D10387" s="3" t="s">
        <v>744</v>
      </c>
      <c r="E10387" s="4" t="str">
        <f t="shared" si="952"/>
        <v>Huyện Long Phú</v>
      </c>
      <c r="F10387" s="3" t="s">
        <v>11146</v>
      </c>
      <c r="G10387" s="4" t="str">
        <f>HYPERLINK("https://diaocthongthai.com/xa-tan-hung-long-phu/","Xã Tân Hưng")</f>
        <v>Xã Tân Hưng</v>
      </c>
    </row>
    <row r="10388" spans="1:7" x14ac:dyDescent="0.25">
      <c r="A10388" s="2">
        <v>10387</v>
      </c>
      <c r="B10388" s="3" t="s">
        <v>63</v>
      </c>
      <c r="C10388" s="4" t="str">
        <f t="shared" si="950"/>
        <v>Sóc Trăng</v>
      </c>
      <c r="D10388" s="3" t="s">
        <v>744</v>
      </c>
      <c r="E10388" s="4" t="str">
        <f t="shared" si="952"/>
        <v>Huyện Long Phú</v>
      </c>
      <c r="F10388" s="3" t="s">
        <v>11147</v>
      </c>
      <c r="G10388" s="4" t="str">
        <f>HYPERLINK("https://diaocthongthai.com/xa-chau-khanh-long-phu/","Xã Châu Khánh")</f>
        <v>Xã Châu Khánh</v>
      </c>
    </row>
    <row r="10389" spans="1:7" x14ac:dyDescent="0.25">
      <c r="A10389" s="2">
        <v>10388</v>
      </c>
      <c r="B10389" s="3" t="s">
        <v>63</v>
      </c>
      <c r="C10389" s="4" t="str">
        <f t="shared" si="950"/>
        <v>Sóc Trăng</v>
      </c>
      <c r="D10389" s="3" t="s">
        <v>744</v>
      </c>
      <c r="E10389" s="4" t="str">
        <f t="shared" si="952"/>
        <v>Huyện Long Phú</v>
      </c>
      <c r="F10389" s="3" t="s">
        <v>11148</v>
      </c>
      <c r="G10389" s="4" t="str">
        <f>HYPERLINK("https://diaocthongthai.com/xa-tan-thanh-long-phu/","Xã Tân Thạnh")</f>
        <v>Xã Tân Thạnh</v>
      </c>
    </row>
    <row r="10390" spans="1:7" x14ac:dyDescent="0.25">
      <c r="A10390" s="2">
        <v>10389</v>
      </c>
      <c r="B10390" s="3" t="s">
        <v>63</v>
      </c>
      <c r="C10390" s="4" t="str">
        <f t="shared" si="950"/>
        <v>Sóc Trăng</v>
      </c>
      <c r="D10390" s="3" t="s">
        <v>744</v>
      </c>
      <c r="E10390" s="4" t="str">
        <f t="shared" si="952"/>
        <v>Huyện Long Phú</v>
      </c>
      <c r="F10390" s="3" t="s">
        <v>11149</v>
      </c>
      <c r="G10390" s="4" t="str">
        <f>HYPERLINK("https://diaocthongthai.com/xa-long-phu-long-phu/","Xã Long Phú")</f>
        <v>Xã Long Phú</v>
      </c>
    </row>
    <row r="10391" spans="1:7" x14ac:dyDescent="0.25">
      <c r="A10391" s="2">
        <v>10390</v>
      </c>
      <c r="B10391" s="3" t="s">
        <v>63</v>
      </c>
      <c r="C10391" s="4" t="str">
        <f t="shared" si="950"/>
        <v>Sóc Trăng</v>
      </c>
      <c r="D10391" s="3" t="s">
        <v>745</v>
      </c>
      <c r="E10391" s="4" t="str">
        <f t="shared" ref="E10391:E10401" si="953">HYPERLINK("https://diaocthongthai.com/ban-do-huyen-my-xuyen-soc-trang/","Huyện Mỹ Xuyên")</f>
        <v>Huyện Mỹ Xuyên</v>
      </c>
      <c r="F10391" s="3" t="s">
        <v>11150</v>
      </c>
      <c r="G10391" s="4" t="str">
        <f>HYPERLINK("https://diaocthongthai.com/thi-tran-my-xuyen-my-xuyen/","Thị trấn Mỹ Xuyên")</f>
        <v>Thị trấn Mỹ Xuyên</v>
      </c>
    </row>
    <row r="10392" spans="1:7" x14ac:dyDescent="0.25">
      <c r="A10392" s="2">
        <v>10391</v>
      </c>
      <c r="B10392" s="3" t="s">
        <v>63</v>
      </c>
      <c r="C10392" s="4" t="str">
        <f t="shared" si="950"/>
        <v>Sóc Trăng</v>
      </c>
      <c r="D10392" s="3" t="s">
        <v>745</v>
      </c>
      <c r="E10392" s="4" t="str">
        <f t="shared" si="953"/>
        <v>Huyện Mỹ Xuyên</v>
      </c>
      <c r="F10392" s="3" t="s">
        <v>11151</v>
      </c>
      <c r="G10392" s="4" t="str">
        <f>HYPERLINK("https://diaocthongthai.com/xa-dai-tam-my-xuyen/","Xã Đại Tâm")</f>
        <v>Xã Đại Tâm</v>
      </c>
    </row>
    <row r="10393" spans="1:7" x14ac:dyDescent="0.25">
      <c r="A10393" s="2">
        <v>10392</v>
      </c>
      <c r="B10393" s="3" t="s">
        <v>63</v>
      </c>
      <c r="C10393" s="4" t="str">
        <f t="shared" si="950"/>
        <v>Sóc Trăng</v>
      </c>
      <c r="D10393" s="3" t="s">
        <v>745</v>
      </c>
      <c r="E10393" s="4" t="str">
        <f t="shared" si="953"/>
        <v>Huyện Mỹ Xuyên</v>
      </c>
      <c r="F10393" s="3" t="s">
        <v>11152</v>
      </c>
      <c r="G10393" s="4" t="str">
        <f>HYPERLINK("https://diaocthongthai.com/xa-tham-don-my-xuyen/","Xã Tham Đôn")</f>
        <v>Xã Tham Đôn</v>
      </c>
    </row>
    <row r="10394" spans="1:7" x14ac:dyDescent="0.25">
      <c r="A10394" s="2">
        <v>10393</v>
      </c>
      <c r="B10394" s="3" t="s">
        <v>63</v>
      </c>
      <c r="C10394" s="4" t="str">
        <f t="shared" si="950"/>
        <v>Sóc Trăng</v>
      </c>
      <c r="D10394" s="3" t="s">
        <v>745</v>
      </c>
      <c r="E10394" s="4" t="str">
        <f t="shared" si="953"/>
        <v>Huyện Mỹ Xuyên</v>
      </c>
      <c r="F10394" s="3" t="s">
        <v>11153</v>
      </c>
      <c r="G10394" s="4" t="str">
        <f>HYPERLINK("https://diaocthongthai.com/xa-thanh-phu-my-xuyen/","Xã Thạnh Phú")</f>
        <v>Xã Thạnh Phú</v>
      </c>
    </row>
    <row r="10395" spans="1:7" x14ac:dyDescent="0.25">
      <c r="A10395" s="2">
        <v>10394</v>
      </c>
      <c r="B10395" s="3" t="s">
        <v>63</v>
      </c>
      <c r="C10395" s="4" t="str">
        <f t="shared" si="950"/>
        <v>Sóc Trăng</v>
      </c>
      <c r="D10395" s="3" t="s">
        <v>745</v>
      </c>
      <c r="E10395" s="4" t="str">
        <f t="shared" si="953"/>
        <v>Huyện Mỹ Xuyên</v>
      </c>
      <c r="F10395" s="3" t="s">
        <v>11154</v>
      </c>
      <c r="G10395" s="4" t="str">
        <f>HYPERLINK("https://diaocthongthai.com/xa-ngoc-dong-my-xuyen/","Xã Ngọc Đông")</f>
        <v>Xã Ngọc Đông</v>
      </c>
    </row>
    <row r="10396" spans="1:7" x14ac:dyDescent="0.25">
      <c r="A10396" s="2">
        <v>10395</v>
      </c>
      <c r="B10396" s="3" t="s">
        <v>63</v>
      </c>
      <c r="C10396" s="4" t="str">
        <f t="shared" ref="C10396:C10427" si="954">HYPERLINK("https://diaocthongthai.com/ban-do-soc-trang/","Sóc Trăng")</f>
        <v>Sóc Trăng</v>
      </c>
      <c r="D10396" s="3" t="s">
        <v>745</v>
      </c>
      <c r="E10396" s="4" t="str">
        <f t="shared" si="953"/>
        <v>Huyện Mỹ Xuyên</v>
      </c>
      <c r="F10396" s="3" t="s">
        <v>11155</v>
      </c>
      <c r="G10396" s="4" t="str">
        <f>HYPERLINK("https://diaocthongthai.com/xa-thanh-quoi-my-xuyen/","Xã Thạnh Quới")</f>
        <v>Xã Thạnh Quới</v>
      </c>
    </row>
    <row r="10397" spans="1:7" x14ac:dyDescent="0.25">
      <c r="A10397" s="2">
        <v>10396</v>
      </c>
      <c r="B10397" s="3" t="s">
        <v>63</v>
      </c>
      <c r="C10397" s="4" t="str">
        <f t="shared" si="954"/>
        <v>Sóc Trăng</v>
      </c>
      <c r="D10397" s="3" t="s">
        <v>745</v>
      </c>
      <c r="E10397" s="4" t="str">
        <f t="shared" si="953"/>
        <v>Huyện Mỹ Xuyên</v>
      </c>
      <c r="F10397" s="3" t="s">
        <v>11156</v>
      </c>
      <c r="G10397" s="4" t="str">
        <f>HYPERLINK("https://diaocthongthai.com/xa-hoa-tu-1-my-xuyen/","Xã Hòa Tú 1")</f>
        <v>Xã Hòa Tú 1</v>
      </c>
    </row>
    <row r="10398" spans="1:7" x14ac:dyDescent="0.25">
      <c r="A10398" s="2">
        <v>10397</v>
      </c>
      <c r="B10398" s="3" t="s">
        <v>63</v>
      </c>
      <c r="C10398" s="4" t="str">
        <f t="shared" si="954"/>
        <v>Sóc Trăng</v>
      </c>
      <c r="D10398" s="3" t="s">
        <v>745</v>
      </c>
      <c r="E10398" s="4" t="str">
        <f t="shared" si="953"/>
        <v>Huyện Mỹ Xuyên</v>
      </c>
      <c r="F10398" s="3" t="s">
        <v>11157</v>
      </c>
      <c r="G10398" s="4" t="str">
        <f>HYPERLINK("https://diaocthongthai.com/xa-gia-hoa-1-my-xuyen/","Xã Gia Hòa 1")</f>
        <v>Xã Gia Hòa 1</v>
      </c>
    </row>
    <row r="10399" spans="1:7" x14ac:dyDescent="0.25">
      <c r="A10399" s="2">
        <v>10398</v>
      </c>
      <c r="B10399" s="3" t="s">
        <v>63</v>
      </c>
      <c r="C10399" s="4" t="str">
        <f t="shared" si="954"/>
        <v>Sóc Trăng</v>
      </c>
      <c r="D10399" s="3" t="s">
        <v>745</v>
      </c>
      <c r="E10399" s="4" t="str">
        <f t="shared" si="953"/>
        <v>Huyện Mỹ Xuyên</v>
      </c>
      <c r="F10399" s="3" t="s">
        <v>11158</v>
      </c>
      <c r="G10399" s="4" t="str">
        <f>HYPERLINK("https://diaocthongthai.com/xa-ngoc-to-my-xuyen/","Xã Ngọc Tố")</f>
        <v>Xã Ngọc Tố</v>
      </c>
    </row>
    <row r="10400" spans="1:7" x14ac:dyDescent="0.25">
      <c r="A10400" s="2">
        <v>10399</v>
      </c>
      <c r="B10400" s="3" t="s">
        <v>63</v>
      </c>
      <c r="C10400" s="4" t="str">
        <f t="shared" si="954"/>
        <v>Sóc Trăng</v>
      </c>
      <c r="D10400" s="3" t="s">
        <v>745</v>
      </c>
      <c r="E10400" s="4" t="str">
        <f t="shared" si="953"/>
        <v>Huyện Mỹ Xuyên</v>
      </c>
      <c r="F10400" s="3" t="s">
        <v>11159</v>
      </c>
      <c r="G10400" s="4" t="str">
        <f>HYPERLINK("https://diaocthongthai.com/xa-gia-hoa-2-my-xuyen/","Xã Gia Hòa 2")</f>
        <v>Xã Gia Hòa 2</v>
      </c>
    </row>
    <row r="10401" spans="1:7" x14ac:dyDescent="0.25">
      <c r="A10401" s="2">
        <v>10400</v>
      </c>
      <c r="B10401" s="3" t="s">
        <v>63</v>
      </c>
      <c r="C10401" s="4" t="str">
        <f t="shared" si="954"/>
        <v>Sóc Trăng</v>
      </c>
      <c r="D10401" s="3" t="s">
        <v>745</v>
      </c>
      <c r="E10401" s="4" t="str">
        <f t="shared" si="953"/>
        <v>Huyện Mỹ Xuyên</v>
      </c>
      <c r="F10401" s="3" t="s">
        <v>11160</v>
      </c>
      <c r="G10401" s="4" t="str">
        <f>HYPERLINK("https://diaocthongthai.com/xa-hoa-tu-2-my-xuyen/","Xã Hòa Tú II")</f>
        <v>Xã Hòa Tú II</v>
      </c>
    </row>
    <row r="10402" spans="1:7" x14ac:dyDescent="0.25">
      <c r="A10402" s="2">
        <v>10401</v>
      </c>
      <c r="B10402" s="3" t="s">
        <v>63</v>
      </c>
      <c r="C10402" s="4" t="str">
        <f t="shared" si="954"/>
        <v>Sóc Trăng</v>
      </c>
      <c r="D10402" s="3" t="s">
        <v>746</v>
      </c>
      <c r="E10402" s="4" t="str">
        <f t="shared" ref="E10402:E10409" si="955">HYPERLINK("https://diaocthongthai.com/ban-do-thi-xa-nga-nam-soc-trang/","Thị xã Ngã Năm")</f>
        <v>Thị xã Ngã Năm</v>
      </c>
      <c r="F10402" s="3" t="s">
        <v>11161</v>
      </c>
      <c r="G10402" s="4" t="str">
        <f>HYPERLINK("https://diaocthongthai.com/phuong-1-nga-nam/","Phường 1")</f>
        <v>Phường 1</v>
      </c>
    </row>
    <row r="10403" spans="1:7" x14ac:dyDescent="0.25">
      <c r="A10403" s="2">
        <v>10402</v>
      </c>
      <c r="B10403" s="3" t="s">
        <v>63</v>
      </c>
      <c r="C10403" s="4" t="str">
        <f t="shared" si="954"/>
        <v>Sóc Trăng</v>
      </c>
      <c r="D10403" s="3" t="s">
        <v>746</v>
      </c>
      <c r="E10403" s="4" t="str">
        <f t="shared" si="955"/>
        <v>Thị xã Ngã Năm</v>
      </c>
      <c r="F10403" s="3" t="s">
        <v>11162</v>
      </c>
      <c r="G10403" s="4" t="str">
        <f>HYPERLINK("https://diaocthongthai.com/phuong-2-nga-nam/","Phường 2")</f>
        <v>Phường 2</v>
      </c>
    </row>
    <row r="10404" spans="1:7" x14ac:dyDescent="0.25">
      <c r="A10404" s="2">
        <v>10403</v>
      </c>
      <c r="B10404" s="3" t="s">
        <v>63</v>
      </c>
      <c r="C10404" s="4" t="str">
        <f t="shared" si="954"/>
        <v>Sóc Trăng</v>
      </c>
      <c r="D10404" s="3" t="s">
        <v>746</v>
      </c>
      <c r="E10404" s="4" t="str">
        <f t="shared" si="955"/>
        <v>Thị xã Ngã Năm</v>
      </c>
      <c r="F10404" s="3" t="s">
        <v>11163</v>
      </c>
      <c r="G10404" s="4" t="str">
        <f>HYPERLINK("https://diaocthongthai.com/xa-vinh-quoi-nga-nam/","Xã Vĩnh Quới")</f>
        <v>Xã Vĩnh Quới</v>
      </c>
    </row>
    <row r="10405" spans="1:7" x14ac:dyDescent="0.25">
      <c r="A10405" s="2">
        <v>10404</v>
      </c>
      <c r="B10405" s="3" t="s">
        <v>63</v>
      </c>
      <c r="C10405" s="4" t="str">
        <f t="shared" si="954"/>
        <v>Sóc Trăng</v>
      </c>
      <c r="D10405" s="3" t="s">
        <v>746</v>
      </c>
      <c r="E10405" s="4" t="str">
        <f t="shared" si="955"/>
        <v>Thị xã Ngã Năm</v>
      </c>
      <c r="F10405" s="3" t="s">
        <v>11164</v>
      </c>
      <c r="G10405" s="4" t="str">
        <f>HYPERLINK("https://diaocthongthai.com/xa-tan-long-nga-nam/","Xã Tân Long")</f>
        <v>Xã Tân Long</v>
      </c>
    </row>
    <row r="10406" spans="1:7" x14ac:dyDescent="0.25">
      <c r="A10406" s="2">
        <v>10405</v>
      </c>
      <c r="B10406" s="3" t="s">
        <v>63</v>
      </c>
      <c r="C10406" s="4" t="str">
        <f t="shared" si="954"/>
        <v>Sóc Trăng</v>
      </c>
      <c r="D10406" s="3" t="s">
        <v>746</v>
      </c>
      <c r="E10406" s="4" t="str">
        <f t="shared" si="955"/>
        <v>Thị xã Ngã Năm</v>
      </c>
      <c r="F10406" s="3" t="s">
        <v>11165</v>
      </c>
      <c r="G10406" s="4" t="str">
        <f>HYPERLINK("https://diaocthongthai.com/xa-long-binh-nga-nam/","Xã Long Bình")</f>
        <v>Xã Long Bình</v>
      </c>
    </row>
    <row r="10407" spans="1:7" x14ac:dyDescent="0.25">
      <c r="A10407" s="2">
        <v>10406</v>
      </c>
      <c r="B10407" s="3" t="s">
        <v>63</v>
      </c>
      <c r="C10407" s="4" t="str">
        <f t="shared" si="954"/>
        <v>Sóc Trăng</v>
      </c>
      <c r="D10407" s="3" t="s">
        <v>746</v>
      </c>
      <c r="E10407" s="4" t="str">
        <f t="shared" si="955"/>
        <v>Thị xã Ngã Năm</v>
      </c>
      <c r="F10407" s="3" t="s">
        <v>11166</v>
      </c>
      <c r="G10407" s="4" t="str">
        <f>HYPERLINK("https://diaocthongthai.com/phuong-3-nga-nam/","Phường 3")</f>
        <v>Phường 3</v>
      </c>
    </row>
    <row r="10408" spans="1:7" x14ac:dyDescent="0.25">
      <c r="A10408" s="2">
        <v>10407</v>
      </c>
      <c r="B10408" s="3" t="s">
        <v>63</v>
      </c>
      <c r="C10408" s="4" t="str">
        <f t="shared" si="954"/>
        <v>Sóc Trăng</v>
      </c>
      <c r="D10408" s="3" t="s">
        <v>746</v>
      </c>
      <c r="E10408" s="4" t="str">
        <f t="shared" si="955"/>
        <v>Thị xã Ngã Năm</v>
      </c>
      <c r="F10408" s="3" t="s">
        <v>11167</v>
      </c>
      <c r="G10408" s="4" t="str">
        <f>HYPERLINK("https://diaocthongthai.com/xa-my-binh-nga-nam/","Xã Mỹ Bình")</f>
        <v>Xã Mỹ Bình</v>
      </c>
    </row>
    <row r="10409" spans="1:7" x14ac:dyDescent="0.25">
      <c r="A10409" s="2">
        <v>10408</v>
      </c>
      <c r="B10409" s="3" t="s">
        <v>63</v>
      </c>
      <c r="C10409" s="4" t="str">
        <f t="shared" si="954"/>
        <v>Sóc Trăng</v>
      </c>
      <c r="D10409" s="3" t="s">
        <v>746</v>
      </c>
      <c r="E10409" s="4" t="str">
        <f t="shared" si="955"/>
        <v>Thị xã Ngã Năm</v>
      </c>
      <c r="F10409" s="3" t="s">
        <v>11168</v>
      </c>
      <c r="G10409" s="4" t="str">
        <f>HYPERLINK("https://diaocthongthai.com/xa-my-quoi-nga-nam/","Xã Mỹ Quới")</f>
        <v>Xã Mỹ Quới</v>
      </c>
    </row>
    <row r="10410" spans="1:7" x14ac:dyDescent="0.25">
      <c r="A10410" s="2">
        <v>10409</v>
      </c>
      <c r="B10410" s="3" t="s">
        <v>63</v>
      </c>
      <c r="C10410" s="4" t="str">
        <f t="shared" si="954"/>
        <v>Sóc Trăng</v>
      </c>
      <c r="D10410" s="3" t="s">
        <v>747</v>
      </c>
      <c r="E10410" s="4" t="str">
        <f t="shared" ref="E10410:E10419" si="956">HYPERLINK("https://diaocthongthai.com/ban-do-huyen-thanh-tri-soc-trang/","Huyện Thạnh Trị")</f>
        <v>Huyện Thạnh Trị</v>
      </c>
      <c r="F10410" s="3" t="s">
        <v>11169</v>
      </c>
      <c r="G10410" s="4" t="str">
        <f>HYPERLINK("https://diaocthongthai.com/thi-tran-phu-loc-thanh-tri-soc-trang/","Thị trấn Phú Lộc")</f>
        <v>Thị trấn Phú Lộc</v>
      </c>
    </row>
    <row r="10411" spans="1:7" x14ac:dyDescent="0.25">
      <c r="A10411" s="2">
        <v>10410</v>
      </c>
      <c r="B10411" s="3" t="s">
        <v>63</v>
      </c>
      <c r="C10411" s="4" t="str">
        <f t="shared" si="954"/>
        <v>Sóc Trăng</v>
      </c>
      <c r="D10411" s="3" t="s">
        <v>747</v>
      </c>
      <c r="E10411" s="4" t="str">
        <f t="shared" si="956"/>
        <v>Huyện Thạnh Trị</v>
      </c>
      <c r="F10411" s="3" t="s">
        <v>11170</v>
      </c>
      <c r="G10411" s="4" t="str">
        <f>HYPERLINK("https://diaocthongthai.com/thi-tran-hung-loi-thanh-tri-soc-trang/","Thị trấn Hưng Lợi")</f>
        <v>Thị trấn Hưng Lợi</v>
      </c>
    </row>
    <row r="10412" spans="1:7" x14ac:dyDescent="0.25">
      <c r="A10412" s="2">
        <v>10411</v>
      </c>
      <c r="B10412" s="3" t="s">
        <v>63</v>
      </c>
      <c r="C10412" s="4" t="str">
        <f t="shared" si="954"/>
        <v>Sóc Trăng</v>
      </c>
      <c r="D10412" s="3" t="s">
        <v>747</v>
      </c>
      <c r="E10412" s="4" t="str">
        <f t="shared" si="956"/>
        <v>Huyện Thạnh Trị</v>
      </c>
      <c r="F10412" s="3" t="s">
        <v>11171</v>
      </c>
      <c r="G10412" s="4" t="str">
        <f>HYPERLINK("https://diaocthongthai.com/xa-lam-tan-thanh-tri-soc-trang/","Xã Lâm Tân")</f>
        <v>Xã Lâm Tân</v>
      </c>
    </row>
    <row r="10413" spans="1:7" x14ac:dyDescent="0.25">
      <c r="A10413" s="2">
        <v>10412</v>
      </c>
      <c r="B10413" s="3" t="s">
        <v>63</v>
      </c>
      <c r="C10413" s="4" t="str">
        <f t="shared" si="954"/>
        <v>Sóc Trăng</v>
      </c>
      <c r="D10413" s="3" t="s">
        <v>747</v>
      </c>
      <c r="E10413" s="4" t="str">
        <f t="shared" si="956"/>
        <v>Huyện Thạnh Trị</v>
      </c>
      <c r="F10413" s="3" t="s">
        <v>11172</v>
      </c>
      <c r="G10413" s="4" t="str">
        <f>HYPERLINK("https://diaocthongthai.com/xa-thanh-tan-thanh-tri-soc-trang/","Xã Thạnh Tân")</f>
        <v>Xã Thạnh Tân</v>
      </c>
    </row>
    <row r="10414" spans="1:7" x14ac:dyDescent="0.25">
      <c r="A10414" s="2">
        <v>10413</v>
      </c>
      <c r="B10414" s="3" t="s">
        <v>63</v>
      </c>
      <c r="C10414" s="4" t="str">
        <f t="shared" si="954"/>
        <v>Sóc Trăng</v>
      </c>
      <c r="D10414" s="3" t="s">
        <v>747</v>
      </c>
      <c r="E10414" s="4" t="str">
        <f t="shared" si="956"/>
        <v>Huyện Thạnh Trị</v>
      </c>
      <c r="F10414" s="3" t="s">
        <v>11173</v>
      </c>
      <c r="G10414" s="4" t="str">
        <f>HYPERLINK("https://diaocthongthai.com/xa-lam-kiet-thanh-tri-soc-trang/","Xã Lâm Kiết")</f>
        <v>Xã Lâm Kiết</v>
      </c>
    </row>
    <row r="10415" spans="1:7" x14ac:dyDescent="0.25">
      <c r="A10415" s="2">
        <v>10414</v>
      </c>
      <c r="B10415" s="3" t="s">
        <v>63</v>
      </c>
      <c r="C10415" s="4" t="str">
        <f t="shared" si="954"/>
        <v>Sóc Trăng</v>
      </c>
      <c r="D10415" s="3" t="s">
        <v>747</v>
      </c>
      <c r="E10415" s="4" t="str">
        <f t="shared" si="956"/>
        <v>Huyện Thạnh Trị</v>
      </c>
      <c r="F10415" s="3" t="s">
        <v>11174</v>
      </c>
      <c r="G10415" s="4" t="str">
        <f>HYPERLINK("https://diaocthongthai.com/xa-tuan-tuc-thanh-tri-soc-trang/","Xã Tuân Tức")</f>
        <v>Xã Tuân Tức</v>
      </c>
    </row>
    <row r="10416" spans="1:7" x14ac:dyDescent="0.25">
      <c r="A10416" s="2">
        <v>10415</v>
      </c>
      <c r="B10416" s="3" t="s">
        <v>63</v>
      </c>
      <c r="C10416" s="4" t="str">
        <f t="shared" si="954"/>
        <v>Sóc Trăng</v>
      </c>
      <c r="D10416" s="3" t="s">
        <v>747</v>
      </c>
      <c r="E10416" s="4" t="str">
        <f t="shared" si="956"/>
        <v>Huyện Thạnh Trị</v>
      </c>
      <c r="F10416" s="3" t="s">
        <v>11175</v>
      </c>
      <c r="G10416" s="4" t="str">
        <f>HYPERLINK("https://diaocthongthai.com/xa-vinh-thanh-thanh-tri-soc-trang/","Xã Vĩnh Thành")</f>
        <v>Xã Vĩnh Thành</v>
      </c>
    </row>
    <row r="10417" spans="1:7" x14ac:dyDescent="0.25">
      <c r="A10417" s="2">
        <v>10416</v>
      </c>
      <c r="B10417" s="3" t="s">
        <v>63</v>
      </c>
      <c r="C10417" s="4" t="str">
        <f t="shared" si="954"/>
        <v>Sóc Trăng</v>
      </c>
      <c r="D10417" s="3" t="s">
        <v>747</v>
      </c>
      <c r="E10417" s="4" t="str">
        <f t="shared" si="956"/>
        <v>Huyện Thạnh Trị</v>
      </c>
      <c r="F10417" s="3" t="s">
        <v>11176</v>
      </c>
      <c r="G10417" s="4" t="str">
        <f>HYPERLINK("https://diaocthongthai.com/xa-thanh-tri-thanh-tri-soc-trang/","Xã Thạnh Trị")</f>
        <v>Xã Thạnh Trị</v>
      </c>
    </row>
    <row r="10418" spans="1:7" x14ac:dyDescent="0.25">
      <c r="A10418" s="2">
        <v>10417</v>
      </c>
      <c r="B10418" s="3" t="s">
        <v>63</v>
      </c>
      <c r="C10418" s="4" t="str">
        <f t="shared" si="954"/>
        <v>Sóc Trăng</v>
      </c>
      <c r="D10418" s="3" t="s">
        <v>747</v>
      </c>
      <c r="E10418" s="4" t="str">
        <f t="shared" si="956"/>
        <v>Huyện Thạnh Trị</v>
      </c>
      <c r="F10418" s="3" t="s">
        <v>11177</v>
      </c>
      <c r="G10418" s="4" t="str">
        <f>HYPERLINK("https://diaocthongthai.com/xa-vinh-loi-thanh-tri-soc-trang/","Xã Vĩnh Lợi")</f>
        <v>Xã Vĩnh Lợi</v>
      </c>
    </row>
    <row r="10419" spans="1:7" x14ac:dyDescent="0.25">
      <c r="A10419" s="2">
        <v>10418</v>
      </c>
      <c r="B10419" s="3" t="s">
        <v>63</v>
      </c>
      <c r="C10419" s="4" t="str">
        <f t="shared" si="954"/>
        <v>Sóc Trăng</v>
      </c>
      <c r="D10419" s="3" t="s">
        <v>747</v>
      </c>
      <c r="E10419" s="4" t="str">
        <f t="shared" si="956"/>
        <v>Huyện Thạnh Trị</v>
      </c>
      <c r="F10419" s="3" t="s">
        <v>11178</v>
      </c>
      <c r="G10419" s="4" t="str">
        <f>HYPERLINK("https://diaocthongthai.com/xa-chau-hung-thanh-tri-soc-trang/","Xã Châu Hưng")</f>
        <v>Xã Châu Hưng</v>
      </c>
    </row>
    <row r="10420" spans="1:7" x14ac:dyDescent="0.25">
      <c r="A10420" s="2">
        <v>10419</v>
      </c>
      <c r="B10420" s="3" t="s">
        <v>63</v>
      </c>
      <c r="C10420" s="4" t="str">
        <f t="shared" si="954"/>
        <v>Sóc Trăng</v>
      </c>
      <c r="D10420" s="3" t="s">
        <v>748</v>
      </c>
      <c r="E10420" s="4" t="str">
        <f t="shared" ref="E10420:E10429" si="957">HYPERLINK("https://diaocthongthai.com/ban-do-thi-xa-vinh-chau-soc-trang/","Thị xã Vĩnh Châu")</f>
        <v>Thị xã Vĩnh Châu</v>
      </c>
      <c r="F10420" s="3" t="s">
        <v>11179</v>
      </c>
      <c r="G10420" s="4" t="str">
        <f>HYPERLINK("https://diaocthongthai.com/phuong-1-vinh-chau/","Phường 1")</f>
        <v>Phường 1</v>
      </c>
    </row>
    <row r="10421" spans="1:7" x14ac:dyDescent="0.25">
      <c r="A10421" s="2">
        <v>10420</v>
      </c>
      <c r="B10421" s="3" t="s">
        <v>63</v>
      </c>
      <c r="C10421" s="4" t="str">
        <f t="shared" si="954"/>
        <v>Sóc Trăng</v>
      </c>
      <c r="D10421" s="3" t="s">
        <v>748</v>
      </c>
      <c r="E10421" s="4" t="str">
        <f t="shared" si="957"/>
        <v>Thị xã Vĩnh Châu</v>
      </c>
      <c r="F10421" s="3" t="s">
        <v>11180</v>
      </c>
      <c r="G10421" s="4" t="str">
        <f>HYPERLINK("https://diaocthongthai.com/xa-hoa-dong-vinh-chau/","Xã Hòa Đông")</f>
        <v>Xã Hòa Đông</v>
      </c>
    </row>
    <row r="10422" spans="1:7" x14ac:dyDescent="0.25">
      <c r="A10422" s="2">
        <v>10421</v>
      </c>
      <c r="B10422" s="3" t="s">
        <v>63</v>
      </c>
      <c r="C10422" s="4" t="str">
        <f t="shared" si="954"/>
        <v>Sóc Trăng</v>
      </c>
      <c r="D10422" s="3" t="s">
        <v>748</v>
      </c>
      <c r="E10422" s="4" t="str">
        <f t="shared" si="957"/>
        <v>Thị xã Vĩnh Châu</v>
      </c>
      <c r="F10422" s="3" t="s">
        <v>11181</v>
      </c>
      <c r="G10422" s="4" t="str">
        <f>HYPERLINK("https://diaocthongthai.com/phuong-khanh-hoa-vinh-chau/","Phường Khánh Hòa")</f>
        <v>Phường Khánh Hòa</v>
      </c>
    </row>
    <row r="10423" spans="1:7" x14ac:dyDescent="0.25">
      <c r="A10423" s="2">
        <v>10422</v>
      </c>
      <c r="B10423" s="3" t="s">
        <v>63</v>
      </c>
      <c r="C10423" s="4" t="str">
        <f t="shared" si="954"/>
        <v>Sóc Trăng</v>
      </c>
      <c r="D10423" s="3" t="s">
        <v>748</v>
      </c>
      <c r="E10423" s="4" t="str">
        <f t="shared" si="957"/>
        <v>Thị xã Vĩnh Châu</v>
      </c>
      <c r="F10423" s="3" t="s">
        <v>11182</v>
      </c>
      <c r="G10423" s="4" t="str">
        <f>HYPERLINK("https://diaocthongthai.com/xa-vinh-hiep-vinh-chau/","Xã Vĩnh Hiệp")</f>
        <v>Xã Vĩnh Hiệp</v>
      </c>
    </row>
    <row r="10424" spans="1:7" x14ac:dyDescent="0.25">
      <c r="A10424" s="2">
        <v>10423</v>
      </c>
      <c r="B10424" s="3" t="s">
        <v>63</v>
      </c>
      <c r="C10424" s="4" t="str">
        <f t="shared" si="954"/>
        <v>Sóc Trăng</v>
      </c>
      <c r="D10424" s="3" t="s">
        <v>748</v>
      </c>
      <c r="E10424" s="4" t="str">
        <f t="shared" si="957"/>
        <v>Thị xã Vĩnh Châu</v>
      </c>
      <c r="F10424" s="3" t="s">
        <v>11183</v>
      </c>
      <c r="G10424" s="4" t="str">
        <f>HYPERLINK("https://diaocthongthai.com/xa-vinh-hai-vinh-chau/","Xã Vĩnh Hải")</f>
        <v>Xã Vĩnh Hải</v>
      </c>
    </row>
    <row r="10425" spans="1:7" x14ac:dyDescent="0.25">
      <c r="A10425" s="2">
        <v>10424</v>
      </c>
      <c r="B10425" s="3" t="s">
        <v>63</v>
      </c>
      <c r="C10425" s="4" t="str">
        <f t="shared" si="954"/>
        <v>Sóc Trăng</v>
      </c>
      <c r="D10425" s="3" t="s">
        <v>748</v>
      </c>
      <c r="E10425" s="4" t="str">
        <f t="shared" si="957"/>
        <v>Thị xã Vĩnh Châu</v>
      </c>
      <c r="F10425" s="3" t="s">
        <v>11184</v>
      </c>
      <c r="G10425" s="4" t="str">
        <f>HYPERLINK("https://diaocthongthai.com/xa-lac-hoa-vinh-chau/","Xã Lạc Hòa")</f>
        <v>Xã Lạc Hòa</v>
      </c>
    </row>
    <row r="10426" spans="1:7" x14ac:dyDescent="0.25">
      <c r="A10426" s="2">
        <v>10425</v>
      </c>
      <c r="B10426" s="3" t="s">
        <v>63</v>
      </c>
      <c r="C10426" s="4" t="str">
        <f t="shared" si="954"/>
        <v>Sóc Trăng</v>
      </c>
      <c r="D10426" s="3" t="s">
        <v>748</v>
      </c>
      <c r="E10426" s="4" t="str">
        <f t="shared" si="957"/>
        <v>Thị xã Vĩnh Châu</v>
      </c>
      <c r="F10426" s="3" t="s">
        <v>11185</v>
      </c>
      <c r="G10426" s="4" t="str">
        <f>HYPERLINK("https://diaocthongthai.com/phuong-2-vinh-chau/","Phường 2")</f>
        <v>Phường 2</v>
      </c>
    </row>
    <row r="10427" spans="1:7" x14ac:dyDescent="0.25">
      <c r="A10427" s="2">
        <v>10426</v>
      </c>
      <c r="B10427" s="3" t="s">
        <v>63</v>
      </c>
      <c r="C10427" s="4" t="str">
        <f t="shared" si="954"/>
        <v>Sóc Trăng</v>
      </c>
      <c r="D10427" s="3" t="s">
        <v>748</v>
      </c>
      <c r="E10427" s="4" t="str">
        <f t="shared" si="957"/>
        <v>Thị xã Vĩnh Châu</v>
      </c>
      <c r="F10427" s="3" t="s">
        <v>11186</v>
      </c>
      <c r="G10427" s="4" t="str">
        <f>HYPERLINK("https://diaocthongthai.com/phuong-vinh-phuoc-vinh-chau/","Phường Vĩnh Phước")</f>
        <v>Phường Vĩnh Phước</v>
      </c>
    </row>
    <row r="10428" spans="1:7" x14ac:dyDescent="0.25">
      <c r="A10428" s="2">
        <v>10427</v>
      </c>
      <c r="B10428" s="3" t="s">
        <v>63</v>
      </c>
      <c r="C10428" s="4" t="str">
        <f t="shared" ref="C10428:C10440" si="958">HYPERLINK("https://diaocthongthai.com/ban-do-soc-trang/","Sóc Trăng")</f>
        <v>Sóc Trăng</v>
      </c>
      <c r="D10428" s="3" t="s">
        <v>748</v>
      </c>
      <c r="E10428" s="4" t="str">
        <f t="shared" si="957"/>
        <v>Thị xã Vĩnh Châu</v>
      </c>
      <c r="F10428" s="3" t="s">
        <v>11187</v>
      </c>
      <c r="G10428" s="4" t="str">
        <f>HYPERLINK("https://diaocthongthai.com/xa-vinh-tan-vinh-chau/","Xã Vĩnh Tân")</f>
        <v>Xã Vĩnh Tân</v>
      </c>
    </row>
    <row r="10429" spans="1:7" x14ac:dyDescent="0.25">
      <c r="A10429" s="2">
        <v>10428</v>
      </c>
      <c r="B10429" s="3" t="s">
        <v>63</v>
      </c>
      <c r="C10429" s="4" t="str">
        <f t="shared" si="958"/>
        <v>Sóc Trăng</v>
      </c>
      <c r="D10429" s="3" t="s">
        <v>748</v>
      </c>
      <c r="E10429" s="4" t="str">
        <f t="shared" si="957"/>
        <v>Thị xã Vĩnh Châu</v>
      </c>
      <c r="F10429" s="3" t="s">
        <v>11188</v>
      </c>
      <c r="G10429" s="4" t="str">
        <f>HYPERLINK("https://diaocthongthai.com/xa-lai-hoa-vinh-chau/","Xã Lai Hòa")</f>
        <v>Xã Lai Hòa</v>
      </c>
    </row>
    <row r="10430" spans="1:7" x14ac:dyDescent="0.25">
      <c r="A10430" s="2">
        <v>10429</v>
      </c>
      <c r="B10430" s="3" t="s">
        <v>63</v>
      </c>
      <c r="C10430" s="4" t="str">
        <f t="shared" si="958"/>
        <v>Sóc Trăng</v>
      </c>
      <c r="D10430" s="3" t="s">
        <v>749</v>
      </c>
      <c r="E10430" s="4" t="str">
        <f t="shared" ref="E10430:E10440" si="959">HYPERLINK("https://diaocthongthai.com/ban-do-huyen-tran-de-soc-trang/","Huyện Trần Đề")</f>
        <v>Huyện Trần Đề</v>
      </c>
      <c r="F10430" s="3" t="s">
        <v>11189</v>
      </c>
      <c r="G10430" s="4" t="str">
        <f>HYPERLINK("https://diaocthongthai.com/xa-dai-an-2-tran-de/","Xã Đại Ân  2")</f>
        <v>Xã Đại Ân  2</v>
      </c>
    </row>
    <row r="10431" spans="1:7" x14ac:dyDescent="0.25">
      <c r="A10431" s="2">
        <v>10430</v>
      </c>
      <c r="B10431" s="3" t="s">
        <v>63</v>
      </c>
      <c r="C10431" s="4" t="str">
        <f t="shared" si="958"/>
        <v>Sóc Trăng</v>
      </c>
      <c r="D10431" s="3" t="s">
        <v>749</v>
      </c>
      <c r="E10431" s="4" t="str">
        <f t="shared" si="959"/>
        <v>Huyện Trần Đề</v>
      </c>
      <c r="F10431" s="3" t="s">
        <v>11190</v>
      </c>
      <c r="G10431" s="4" t="str">
        <f>HYPERLINK("https://diaocthongthai.com/thi-tran-tran-de-tran-de/","Thị trấn Trần Đề")</f>
        <v>Thị trấn Trần Đề</v>
      </c>
    </row>
    <row r="10432" spans="1:7" x14ac:dyDescent="0.25">
      <c r="A10432" s="2">
        <v>10431</v>
      </c>
      <c r="B10432" s="3" t="s">
        <v>63</v>
      </c>
      <c r="C10432" s="4" t="str">
        <f t="shared" si="958"/>
        <v>Sóc Trăng</v>
      </c>
      <c r="D10432" s="3" t="s">
        <v>749</v>
      </c>
      <c r="E10432" s="4" t="str">
        <f t="shared" si="959"/>
        <v>Huyện Trần Đề</v>
      </c>
      <c r="F10432" s="3" t="s">
        <v>11191</v>
      </c>
      <c r="G10432" s="4" t="str">
        <f>HYPERLINK("https://diaocthongthai.com/xa-lieu-tu-tran-de/","Xã Liêu Tú")</f>
        <v>Xã Liêu Tú</v>
      </c>
    </row>
    <row r="10433" spans="1:7" x14ac:dyDescent="0.25">
      <c r="A10433" s="2">
        <v>10432</v>
      </c>
      <c r="B10433" s="3" t="s">
        <v>63</v>
      </c>
      <c r="C10433" s="4" t="str">
        <f t="shared" si="958"/>
        <v>Sóc Trăng</v>
      </c>
      <c r="D10433" s="3" t="s">
        <v>749</v>
      </c>
      <c r="E10433" s="4" t="str">
        <f t="shared" si="959"/>
        <v>Huyện Trần Đề</v>
      </c>
      <c r="F10433" s="3" t="s">
        <v>11192</v>
      </c>
      <c r="G10433" s="4" t="str">
        <f>HYPERLINK("https://diaocthongthai.com/xa-lich-hoi-thuong-tran-de/","Xã Lịch Hội Thượng")</f>
        <v>Xã Lịch Hội Thượng</v>
      </c>
    </row>
    <row r="10434" spans="1:7" x14ac:dyDescent="0.25">
      <c r="A10434" s="2">
        <v>10433</v>
      </c>
      <c r="B10434" s="3" t="s">
        <v>63</v>
      </c>
      <c r="C10434" s="4" t="str">
        <f t="shared" si="958"/>
        <v>Sóc Trăng</v>
      </c>
      <c r="D10434" s="3" t="s">
        <v>749</v>
      </c>
      <c r="E10434" s="4" t="str">
        <f t="shared" si="959"/>
        <v>Huyện Trần Đề</v>
      </c>
      <c r="F10434" s="3" t="s">
        <v>11193</v>
      </c>
      <c r="G10434" s="4" t="str">
        <f>HYPERLINK("https://diaocthongthai.com/thi-tran-lich-hoi-thuong-tran-de/","Thị trấn Lịch Hội Thượng")</f>
        <v>Thị trấn Lịch Hội Thượng</v>
      </c>
    </row>
    <row r="10435" spans="1:7" x14ac:dyDescent="0.25">
      <c r="A10435" s="2">
        <v>10434</v>
      </c>
      <c r="B10435" s="3" t="s">
        <v>63</v>
      </c>
      <c r="C10435" s="4" t="str">
        <f t="shared" si="958"/>
        <v>Sóc Trăng</v>
      </c>
      <c r="D10435" s="3" t="s">
        <v>749</v>
      </c>
      <c r="E10435" s="4" t="str">
        <f t="shared" si="959"/>
        <v>Huyện Trần Đề</v>
      </c>
      <c r="F10435" s="3" t="s">
        <v>11194</v>
      </c>
      <c r="G10435" s="4" t="str">
        <f>HYPERLINK("https://diaocthongthai.com/xa-trung-binh-tran-de/","Xã Trung Bình")</f>
        <v>Xã Trung Bình</v>
      </c>
    </row>
    <row r="10436" spans="1:7" x14ac:dyDescent="0.25">
      <c r="A10436" s="2">
        <v>10435</v>
      </c>
      <c r="B10436" s="3" t="s">
        <v>63</v>
      </c>
      <c r="C10436" s="4" t="str">
        <f t="shared" si="958"/>
        <v>Sóc Trăng</v>
      </c>
      <c r="D10436" s="3" t="s">
        <v>749</v>
      </c>
      <c r="E10436" s="4" t="str">
        <f t="shared" si="959"/>
        <v>Huyện Trần Đề</v>
      </c>
      <c r="F10436" s="3" t="s">
        <v>11195</v>
      </c>
      <c r="G10436" s="4" t="str">
        <f>HYPERLINK("https://diaocthongthai.com/xa-tai-van-tran-de/","Xã Tài Văn")</f>
        <v>Xã Tài Văn</v>
      </c>
    </row>
    <row r="10437" spans="1:7" x14ac:dyDescent="0.25">
      <c r="A10437" s="2">
        <v>10436</v>
      </c>
      <c r="B10437" s="3" t="s">
        <v>63</v>
      </c>
      <c r="C10437" s="4" t="str">
        <f t="shared" si="958"/>
        <v>Sóc Trăng</v>
      </c>
      <c r="D10437" s="3" t="s">
        <v>749</v>
      </c>
      <c r="E10437" s="4" t="str">
        <f t="shared" si="959"/>
        <v>Huyện Trần Đề</v>
      </c>
      <c r="F10437" s="3" t="s">
        <v>11196</v>
      </c>
      <c r="G10437" s="4" t="str">
        <f>HYPERLINK("https://diaocthongthai.com/xa-vien-an-tran-de/","Xã Viên An")</f>
        <v>Xã Viên An</v>
      </c>
    </row>
    <row r="10438" spans="1:7" x14ac:dyDescent="0.25">
      <c r="A10438" s="2">
        <v>10437</v>
      </c>
      <c r="B10438" s="3" t="s">
        <v>63</v>
      </c>
      <c r="C10438" s="4" t="str">
        <f t="shared" si="958"/>
        <v>Sóc Trăng</v>
      </c>
      <c r="D10438" s="3" t="s">
        <v>749</v>
      </c>
      <c r="E10438" s="4" t="str">
        <f t="shared" si="959"/>
        <v>Huyện Trần Đề</v>
      </c>
      <c r="F10438" s="3" t="s">
        <v>11197</v>
      </c>
      <c r="G10438" s="4" t="str">
        <f>HYPERLINK("https://diaocthongthai.com/xa-thanh-thoi-an-tran-de/","Xã Thạnh Thới An")</f>
        <v>Xã Thạnh Thới An</v>
      </c>
    </row>
    <row r="10439" spans="1:7" x14ac:dyDescent="0.25">
      <c r="A10439" s="2">
        <v>10438</v>
      </c>
      <c r="B10439" s="3" t="s">
        <v>63</v>
      </c>
      <c r="C10439" s="4" t="str">
        <f t="shared" si="958"/>
        <v>Sóc Trăng</v>
      </c>
      <c r="D10439" s="3" t="s">
        <v>749</v>
      </c>
      <c r="E10439" s="4" t="str">
        <f t="shared" si="959"/>
        <v>Huyện Trần Đề</v>
      </c>
      <c r="F10439" s="3" t="s">
        <v>11198</v>
      </c>
      <c r="G10439" s="4" t="str">
        <f>HYPERLINK("https://diaocthongthai.com/xa-thanh-thoi-thuan-tran-de/","Xã Thạnh Thới Thuận")</f>
        <v>Xã Thạnh Thới Thuận</v>
      </c>
    </row>
    <row r="10440" spans="1:7" x14ac:dyDescent="0.25">
      <c r="A10440" s="2">
        <v>10439</v>
      </c>
      <c r="B10440" s="3" t="s">
        <v>63</v>
      </c>
      <c r="C10440" s="4" t="str">
        <f t="shared" si="958"/>
        <v>Sóc Trăng</v>
      </c>
      <c r="D10440" s="3" t="s">
        <v>749</v>
      </c>
      <c r="E10440" s="4" t="str">
        <f t="shared" si="959"/>
        <v>Huyện Trần Đề</v>
      </c>
      <c r="F10440" s="3" t="s">
        <v>11199</v>
      </c>
      <c r="G10440" s="4" t="str">
        <f>HYPERLINK("https://diaocthongthai.com/xa-vien-binh-tran-de/","Xã Viên Bình")</f>
        <v>Xã Viên Bình</v>
      </c>
    </row>
    <row r="10441" spans="1:7" x14ac:dyDescent="0.25">
      <c r="A10441" s="2">
        <v>10440</v>
      </c>
      <c r="B10441" s="3" t="s">
        <v>64</v>
      </c>
      <c r="C10441" s="4" t="str">
        <f t="shared" ref="C10441:C10472" si="960">HYPERLINK("https://diaocthongthai.com/ban-do-bac-lieu/","Bạc Liêu")</f>
        <v>Bạc Liêu</v>
      </c>
      <c r="D10441" s="3" t="s">
        <v>750</v>
      </c>
      <c r="E10441" s="4" t="str">
        <f t="shared" ref="E10441:E10450" si="961">HYPERLINK("https://diaocthongthai.com/ban-do-tp-bac-lieu-bac-lieu/","Thành phố Bạc Liêu")</f>
        <v>Thành phố Bạc Liêu</v>
      </c>
      <c r="F10441" s="3" t="s">
        <v>11200</v>
      </c>
      <c r="G10441" s="4" t="str">
        <f>HYPERLINK("https://diaocthongthai.com/phuong-2-tp-bac-lieu/","Phường 2")</f>
        <v>Phường 2</v>
      </c>
    </row>
    <row r="10442" spans="1:7" x14ac:dyDescent="0.25">
      <c r="A10442" s="2">
        <v>10441</v>
      </c>
      <c r="B10442" s="3" t="s">
        <v>64</v>
      </c>
      <c r="C10442" s="4" t="str">
        <f t="shared" si="960"/>
        <v>Bạc Liêu</v>
      </c>
      <c r="D10442" s="3" t="s">
        <v>750</v>
      </c>
      <c r="E10442" s="4" t="str">
        <f t="shared" si="961"/>
        <v>Thành phố Bạc Liêu</v>
      </c>
      <c r="F10442" s="3" t="s">
        <v>11201</v>
      </c>
      <c r="G10442" s="4" t="str">
        <f>HYPERLINK("https://diaocthongthai.com/phuong-3-tp-bac-lieu/","Phường 3")</f>
        <v>Phường 3</v>
      </c>
    </row>
    <row r="10443" spans="1:7" x14ac:dyDescent="0.25">
      <c r="A10443" s="2">
        <v>10442</v>
      </c>
      <c r="B10443" s="3" t="s">
        <v>64</v>
      </c>
      <c r="C10443" s="4" t="str">
        <f t="shared" si="960"/>
        <v>Bạc Liêu</v>
      </c>
      <c r="D10443" s="3" t="s">
        <v>750</v>
      </c>
      <c r="E10443" s="4" t="str">
        <f t="shared" si="961"/>
        <v>Thành phố Bạc Liêu</v>
      </c>
      <c r="F10443" s="3" t="s">
        <v>11202</v>
      </c>
      <c r="G10443" s="4" t="str">
        <f>HYPERLINK("https://diaocthongthai.com/phuong-5-tp-bac-lieu/","Phường 5")</f>
        <v>Phường 5</v>
      </c>
    </row>
    <row r="10444" spans="1:7" x14ac:dyDescent="0.25">
      <c r="A10444" s="2">
        <v>10443</v>
      </c>
      <c r="B10444" s="3" t="s">
        <v>64</v>
      </c>
      <c r="C10444" s="4" t="str">
        <f t="shared" si="960"/>
        <v>Bạc Liêu</v>
      </c>
      <c r="D10444" s="3" t="s">
        <v>750</v>
      </c>
      <c r="E10444" s="4" t="str">
        <f t="shared" si="961"/>
        <v>Thành phố Bạc Liêu</v>
      </c>
      <c r="F10444" s="3" t="s">
        <v>11203</v>
      </c>
      <c r="G10444" s="4" t="str">
        <f>HYPERLINK("https://diaocthongthai.com/phuong-7-tp-bac-lieu/","Phường 7")</f>
        <v>Phường 7</v>
      </c>
    </row>
    <row r="10445" spans="1:7" x14ac:dyDescent="0.25">
      <c r="A10445" s="2">
        <v>10444</v>
      </c>
      <c r="B10445" s="3" t="s">
        <v>64</v>
      </c>
      <c r="C10445" s="4" t="str">
        <f t="shared" si="960"/>
        <v>Bạc Liêu</v>
      </c>
      <c r="D10445" s="3" t="s">
        <v>750</v>
      </c>
      <c r="E10445" s="4" t="str">
        <f t="shared" si="961"/>
        <v>Thành phố Bạc Liêu</v>
      </c>
      <c r="F10445" s="3" t="s">
        <v>11204</v>
      </c>
      <c r="G10445" s="4" t="str">
        <f>HYPERLINK("https://diaocthongthai.com/phuong-1-tp-bac-lieu/","Phường 1")</f>
        <v>Phường 1</v>
      </c>
    </row>
    <row r="10446" spans="1:7" x14ac:dyDescent="0.25">
      <c r="A10446" s="2">
        <v>10445</v>
      </c>
      <c r="B10446" s="3" t="s">
        <v>64</v>
      </c>
      <c r="C10446" s="4" t="str">
        <f t="shared" si="960"/>
        <v>Bạc Liêu</v>
      </c>
      <c r="D10446" s="3" t="s">
        <v>750</v>
      </c>
      <c r="E10446" s="4" t="str">
        <f t="shared" si="961"/>
        <v>Thành phố Bạc Liêu</v>
      </c>
      <c r="F10446" s="3" t="s">
        <v>11205</v>
      </c>
      <c r="G10446" s="4" t="str">
        <f>HYPERLINK("https://diaocthongthai.com/phuong-8-tp-bac-lieu/","Phường 8")</f>
        <v>Phường 8</v>
      </c>
    </row>
    <row r="10447" spans="1:7" x14ac:dyDescent="0.25">
      <c r="A10447" s="2">
        <v>10446</v>
      </c>
      <c r="B10447" s="3" t="s">
        <v>64</v>
      </c>
      <c r="C10447" s="4" t="str">
        <f t="shared" si="960"/>
        <v>Bạc Liêu</v>
      </c>
      <c r="D10447" s="3" t="s">
        <v>750</v>
      </c>
      <c r="E10447" s="4" t="str">
        <f t="shared" si="961"/>
        <v>Thành phố Bạc Liêu</v>
      </c>
      <c r="F10447" s="3" t="s">
        <v>11206</v>
      </c>
      <c r="G10447" s="4" t="str">
        <f>HYPERLINK("https://diaocthongthai.com/phuong-nha-mat-tp-bac-lieu/","Phường Nhà Mát")</f>
        <v>Phường Nhà Mát</v>
      </c>
    </row>
    <row r="10448" spans="1:7" x14ac:dyDescent="0.25">
      <c r="A10448" s="2">
        <v>10447</v>
      </c>
      <c r="B10448" s="3" t="s">
        <v>64</v>
      </c>
      <c r="C10448" s="4" t="str">
        <f t="shared" si="960"/>
        <v>Bạc Liêu</v>
      </c>
      <c r="D10448" s="3" t="s">
        <v>750</v>
      </c>
      <c r="E10448" s="4" t="str">
        <f t="shared" si="961"/>
        <v>Thành phố Bạc Liêu</v>
      </c>
      <c r="F10448" s="3" t="s">
        <v>11207</v>
      </c>
      <c r="G10448" s="4" t="str">
        <f>HYPERLINK("https://diaocthongthai.com/xa-vinh-trach-tp-bac-lieu/","Xã Vĩnh Trạch")</f>
        <v>Xã Vĩnh Trạch</v>
      </c>
    </row>
    <row r="10449" spans="1:7" x14ac:dyDescent="0.25">
      <c r="A10449" s="2">
        <v>10448</v>
      </c>
      <c r="B10449" s="3" t="s">
        <v>64</v>
      </c>
      <c r="C10449" s="4" t="str">
        <f t="shared" si="960"/>
        <v>Bạc Liêu</v>
      </c>
      <c r="D10449" s="3" t="s">
        <v>750</v>
      </c>
      <c r="E10449" s="4" t="str">
        <f t="shared" si="961"/>
        <v>Thành phố Bạc Liêu</v>
      </c>
      <c r="F10449" s="3" t="s">
        <v>11208</v>
      </c>
      <c r="G10449" s="4" t="str">
        <f>HYPERLINK("https://diaocthongthai.com/xa-vinh-trach-dong-tp-bac-lieu/","Xã Vĩnh Trạch Đông")</f>
        <v>Xã Vĩnh Trạch Đông</v>
      </c>
    </row>
    <row r="10450" spans="1:7" x14ac:dyDescent="0.25">
      <c r="A10450" s="2">
        <v>10449</v>
      </c>
      <c r="B10450" s="3" t="s">
        <v>64</v>
      </c>
      <c r="C10450" s="4" t="str">
        <f t="shared" si="960"/>
        <v>Bạc Liêu</v>
      </c>
      <c r="D10450" s="3" t="s">
        <v>750</v>
      </c>
      <c r="E10450" s="4" t="str">
        <f t="shared" si="961"/>
        <v>Thành phố Bạc Liêu</v>
      </c>
      <c r="F10450" s="3" t="s">
        <v>11209</v>
      </c>
      <c r="G10450" s="4" t="str">
        <f>HYPERLINK("https://diaocthongthai.com/xa-hiep-thanh-tp-bac-lieu/","Xã Hiệp Thành")</f>
        <v>Xã Hiệp Thành</v>
      </c>
    </row>
    <row r="10451" spans="1:7" x14ac:dyDescent="0.25">
      <c r="A10451" s="2">
        <v>10450</v>
      </c>
      <c r="B10451" s="3" t="s">
        <v>64</v>
      </c>
      <c r="C10451" s="4" t="str">
        <f t="shared" si="960"/>
        <v>Bạc Liêu</v>
      </c>
      <c r="D10451" s="3" t="s">
        <v>751</v>
      </c>
      <c r="E10451" s="4" t="str">
        <f t="shared" ref="E10451:E10459" si="962">HYPERLINK("https://diaocthongthai.com/ban-do-huyen-hong-dan-bac-lieu/","Huyện Hồng Dân")</f>
        <v>Huyện Hồng Dân</v>
      </c>
      <c r="F10451" s="3" t="s">
        <v>11210</v>
      </c>
      <c r="G10451" s="4" t="str">
        <f>HYPERLINK("https://diaocthongthai.com/thi-tran-ngan-dua-hong-dan/","Thị trấn Ngan Dừa")</f>
        <v>Thị trấn Ngan Dừa</v>
      </c>
    </row>
    <row r="10452" spans="1:7" x14ac:dyDescent="0.25">
      <c r="A10452" s="2">
        <v>10451</v>
      </c>
      <c r="B10452" s="3" t="s">
        <v>64</v>
      </c>
      <c r="C10452" s="4" t="str">
        <f t="shared" si="960"/>
        <v>Bạc Liêu</v>
      </c>
      <c r="D10452" s="3" t="s">
        <v>751</v>
      </c>
      <c r="E10452" s="4" t="str">
        <f t="shared" si="962"/>
        <v>Huyện Hồng Dân</v>
      </c>
      <c r="F10452" s="3" t="s">
        <v>11211</v>
      </c>
      <c r="G10452" s="4" t="str">
        <f>HYPERLINK("https://diaocthongthai.com/xa-ninh-quoi-hong-dan/","Xã Ninh Quới")</f>
        <v>Xã Ninh Quới</v>
      </c>
    </row>
    <row r="10453" spans="1:7" x14ac:dyDescent="0.25">
      <c r="A10453" s="2">
        <v>10452</v>
      </c>
      <c r="B10453" s="3" t="s">
        <v>64</v>
      </c>
      <c r="C10453" s="4" t="str">
        <f t="shared" si="960"/>
        <v>Bạc Liêu</v>
      </c>
      <c r="D10453" s="3" t="s">
        <v>751</v>
      </c>
      <c r="E10453" s="4" t="str">
        <f t="shared" si="962"/>
        <v>Huyện Hồng Dân</v>
      </c>
      <c r="F10453" s="3" t="s">
        <v>11212</v>
      </c>
      <c r="G10453" s="4" t="str">
        <f>HYPERLINK("https://diaocthongthai.com/xa-ninh-quoi-a-hong-dan/","Xã Ninh Quới A")</f>
        <v>Xã Ninh Quới A</v>
      </c>
    </row>
    <row r="10454" spans="1:7" x14ac:dyDescent="0.25">
      <c r="A10454" s="2">
        <v>10453</v>
      </c>
      <c r="B10454" s="3" t="s">
        <v>64</v>
      </c>
      <c r="C10454" s="4" t="str">
        <f t="shared" si="960"/>
        <v>Bạc Liêu</v>
      </c>
      <c r="D10454" s="3" t="s">
        <v>751</v>
      </c>
      <c r="E10454" s="4" t="str">
        <f t="shared" si="962"/>
        <v>Huyện Hồng Dân</v>
      </c>
      <c r="F10454" s="3" t="s">
        <v>11213</v>
      </c>
      <c r="G10454" s="4" t="str">
        <f>HYPERLINK("https://diaocthongthai.com/xa-ninh-hoa-hong-dan/","Xã Ninh Hòa")</f>
        <v>Xã Ninh Hòa</v>
      </c>
    </row>
    <row r="10455" spans="1:7" x14ac:dyDescent="0.25">
      <c r="A10455" s="2">
        <v>10454</v>
      </c>
      <c r="B10455" s="3" t="s">
        <v>64</v>
      </c>
      <c r="C10455" s="4" t="str">
        <f t="shared" si="960"/>
        <v>Bạc Liêu</v>
      </c>
      <c r="D10455" s="3" t="s">
        <v>751</v>
      </c>
      <c r="E10455" s="4" t="str">
        <f t="shared" si="962"/>
        <v>Huyện Hồng Dân</v>
      </c>
      <c r="F10455" s="3" t="s">
        <v>11214</v>
      </c>
      <c r="G10455" s="4" t="str">
        <f>HYPERLINK("https://diaocthongthai.com/xa-loc-ninh-hong-dan/","Xã Lộc Ninh")</f>
        <v>Xã Lộc Ninh</v>
      </c>
    </row>
    <row r="10456" spans="1:7" x14ac:dyDescent="0.25">
      <c r="A10456" s="2">
        <v>10455</v>
      </c>
      <c r="B10456" s="3" t="s">
        <v>64</v>
      </c>
      <c r="C10456" s="4" t="str">
        <f t="shared" si="960"/>
        <v>Bạc Liêu</v>
      </c>
      <c r="D10456" s="3" t="s">
        <v>751</v>
      </c>
      <c r="E10456" s="4" t="str">
        <f t="shared" si="962"/>
        <v>Huyện Hồng Dân</v>
      </c>
      <c r="F10456" s="3" t="s">
        <v>11215</v>
      </c>
      <c r="G10456" s="4" t="str">
        <f>HYPERLINK("https://diaocthongthai.com/xa-vinh-loc-hong-dan/","Xã Vĩnh Lộc")</f>
        <v>Xã Vĩnh Lộc</v>
      </c>
    </row>
    <row r="10457" spans="1:7" x14ac:dyDescent="0.25">
      <c r="A10457" s="2">
        <v>10456</v>
      </c>
      <c r="B10457" s="3" t="s">
        <v>64</v>
      </c>
      <c r="C10457" s="4" t="str">
        <f t="shared" si="960"/>
        <v>Bạc Liêu</v>
      </c>
      <c r="D10457" s="3" t="s">
        <v>751</v>
      </c>
      <c r="E10457" s="4" t="str">
        <f t="shared" si="962"/>
        <v>Huyện Hồng Dân</v>
      </c>
      <c r="F10457" s="3" t="s">
        <v>11216</v>
      </c>
      <c r="G10457" s="4" t="str">
        <f>HYPERLINK("https://diaocthongthai.com/xa-vinh-loc-a-hong-dan/","Xã Vĩnh Lộc A")</f>
        <v>Xã Vĩnh Lộc A</v>
      </c>
    </row>
    <row r="10458" spans="1:7" x14ac:dyDescent="0.25">
      <c r="A10458" s="2">
        <v>10457</v>
      </c>
      <c r="B10458" s="3" t="s">
        <v>64</v>
      </c>
      <c r="C10458" s="4" t="str">
        <f t="shared" si="960"/>
        <v>Bạc Liêu</v>
      </c>
      <c r="D10458" s="3" t="s">
        <v>751</v>
      </c>
      <c r="E10458" s="4" t="str">
        <f t="shared" si="962"/>
        <v>Huyện Hồng Dân</v>
      </c>
      <c r="F10458" s="3" t="s">
        <v>11217</v>
      </c>
      <c r="G10458" s="4" t="str">
        <f>HYPERLINK("https://diaocthongthai.com/xa-ninh-thanh-loi-a-hong-dan/","Xã Ninh Thạnh Lợi A")</f>
        <v>Xã Ninh Thạnh Lợi A</v>
      </c>
    </row>
    <row r="10459" spans="1:7" x14ac:dyDescent="0.25">
      <c r="A10459" s="2">
        <v>10458</v>
      </c>
      <c r="B10459" s="3" t="s">
        <v>64</v>
      </c>
      <c r="C10459" s="4" t="str">
        <f t="shared" si="960"/>
        <v>Bạc Liêu</v>
      </c>
      <c r="D10459" s="3" t="s">
        <v>751</v>
      </c>
      <c r="E10459" s="4" t="str">
        <f t="shared" si="962"/>
        <v>Huyện Hồng Dân</v>
      </c>
      <c r="F10459" s="3" t="s">
        <v>11218</v>
      </c>
      <c r="G10459" s="4" t="str">
        <f>HYPERLINK("https://diaocthongthai.com/xa-ninh-thanh-loi-hong-dan/","Xã Ninh Thạnh Lợi")</f>
        <v>Xã Ninh Thạnh Lợi</v>
      </c>
    </row>
    <row r="10460" spans="1:7" x14ac:dyDescent="0.25">
      <c r="A10460" s="2">
        <v>10459</v>
      </c>
      <c r="B10460" s="3" t="s">
        <v>64</v>
      </c>
      <c r="C10460" s="4" t="str">
        <f t="shared" si="960"/>
        <v>Bạc Liêu</v>
      </c>
      <c r="D10460" s="3" t="s">
        <v>752</v>
      </c>
      <c r="E10460" s="4" t="str">
        <f t="shared" ref="E10460:E10467" si="963">HYPERLINK("https://diaocthongthai.com/ban-do-huyen-phuoc-long-bac-lieu/","Huyện Phước Long")</f>
        <v>Huyện Phước Long</v>
      </c>
      <c r="F10460" s="3" t="s">
        <v>11219</v>
      </c>
      <c r="G10460" s="4" t="str">
        <f>HYPERLINK("https://diaocthongthai.com/thi-tran-phuoc-long-phuoc-long-bac-lieu/","Thị trấn Phước Long")</f>
        <v>Thị trấn Phước Long</v>
      </c>
    </row>
    <row r="10461" spans="1:7" x14ac:dyDescent="0.25">
      <c r="A10461" s="2">
        <v>10460</v>
      </c>
      <c r="B10461" s="3" t="s">
        <v>64</v>
      </c>
      <c r="C10461" s="4" t="str">
        <f t="shared" si="960"/>
        <v>Bạc Liêu</v>
      </c>
      <c r="D10461" s="3" t="s">
        <v>752</v>
      </c>
      <c r="E10461" s="4" t="str">
        <f t="shared" si="963"/>
        <v>Huyện Phước Long</v>
      </c>
      <c r="F10461" s="3" t="s">
        <v>11220</v>
      </c>
      <c r="G10461" s="4" t="str">
        <f>HYPERLINK("https://diaocthongthai.com/xa-vinh-phu-dong-phuoc-long-bac-lieu/","Xã Vĩnh Phú Đông")</f>
        <v>Xã Vĩnh Phú Đông</v>
      </c>
    </row>
    <row r="10462" spans="1:7" x14ac:dyDescent="0.25">
      <c r="A10462" s="2">
        <v>10461</v>
      </c>
      <c r="B10462" s="3" t="s">
        <v>64</v>
      </c>
      <c r="C10462" s="4" t="str">
        <f t="shared" si="960"/>
        <v>Bạc Liêu</v>
      </c>
      <c r="D10462" s="3" t="s">
        <v>752</v>
      </c>
      <c r="E10462" s="4" t="str">
        <f t="shared" si="963"/>
        <v>Huyện Phước Long</v>
      </c>
      <c r="F10462" s="3" t="s">
        <v>11221</v>
      </c>
      <c r="G10462" s="4" t="str">
        <f>HYPERLINK("https://diaocthongthai.com/xa-vinh-phu-tay-phuoc-long-bac-lieu/","Xã Vĩnh Phú Tây")</f>
        <v>Xã Vĩnh Phú Tây</v>
      </c>
    </row>
    <row r="10463" spans="1:7" x14ac:dyDescent="0.25">
      <c r="A10463" s="2">
        <v>10462</v>
      </c>
      <c r="B10463" s="3" t="s">
        <v>64</v>
      </c>
      <c r="C10463" s="4" t="str">
        <f t="shared" si="960"/>
        <v>Bạc Liêu</v>
      </c>
      <c r="D10463" s="3" t="s">
        <v>752</v>
      </c>
      <c r="E10463" s="4" t="str">
        <f t="shared" si="963"/>
        <v>Huyện Phước Long</v>
      </c>
      <c r="F10463" s="3" t="s">
        <v>11222</v>
      </c>
      <c r="G10463" s="4" t="str">
        <f>HYPERLINK("https://diaocthongthai.com/xa-phuoc-long-phuoc-long-bac-lieu/","Xã Phước Long")</f>
        <v>Xã Phước Long</v>
      </c>
    </row>
    <row r="10464" spans="1:7" x14ac:dyDescent="0.25">
      <c r="A10464" s="2">
        <v>10463</v>
      </c>
      <c r="B10464" s="3" t="s">
        <v>64</v>
      </c>
      <c r="C10464" s="4" t="str">
        <f t="shared" si="960"/>
        <v>Bạc Liêu</v>
      </c>
      <c r="D10464" s="3" t="s">
        <v>752</v>
      </c>
      <c r="E10464" s="4" t="str">
        <f t="shared" si="963"/>
        <v>Huyện Phước Long</v>
      </c>
      <c r="F10464" s="3" t="s">
        <v>11223</v>
      </c>
      <c r="G10464" s="4" t="str">
        <f>HYPERLINK("https://diaocthongthai.com/xa-hung-phu-phuoc-long-bac-lieu/","Xã Hưng Phú")</f>
        <v>Xã Hưng Phú</v>
      </c>
    </row>
    <row r="10465" spans="1:7" x14ac:dyDescent="0.25">
      <c r="A10465" s="2">
        <v>10464</v>
      </c>
      <c r="B10465" s="3" t="s">
        <v>64</v>
      </c>
      <c r="C10465" s="4" t="str">
        <f t="shared" si="960"/>
        <v>Bạc Liêu</v>
      </c>
      <c r="D10465" s="3" t="s">
        <v>752</v>
      </c>
      <c r="E10465" s="4" t="str">
        <f t="shared" si="963"/>
        <v>Huyện Phước Long</v>
      </c>
      <c r="F10465" s="3" t="s">
        <v>11224</v>
      </c>
      <c r="G10465" s="4" t="str">
        <f>HYPERLINK("https://diaocthongthai.com/xa-vinh-thanh-phuoc-long-bac-lieu/","Xã Vĩnh Thanh")</f>
        <v>Xã Vĩnh Thanh</v>
      </c>
    </row>
    <row r="10466" spans="1:7" x14ac:dyDescent="0.25">
      <c r="A10466" s="2">
        <v>10465</v>
      </c>
      <c r="B10466" s="3" t="s">
        <v>64</v>
      </c>
      <c r="C10466" s="4" t="str">
        <f t="shared" si="960"/>
        <v>Bạc Liêu</v>
      </c>
      <c r="D10466" s="3" t="s">
        <v>752</v>
      </c>
      <c r="E10466" s="4" t="str">
        <f t="shared" si="963"/>
        <v>Huyện Phước Long</v>
      </c>
      <c r="F10466" s="3" t="s">
        <v>11225</v>
      </c>
      <c r="G10466" s="4" t="str">
        <f>HYPERLINK("https://diaocthongthai.com/xa-phong-thanh-tay-a-phuoc-long-bac-lieu/","Xã Phong Thạnh Tây A")</f>
        <v>Xã Phong Thạnh Tây A</v>
      </c>
    </row>
    <row r="10467" spans="1:7" x14ac:dyDescent="0.25">
      <c r="A10467" s="2">
        <v>10466</v>
      </c>
      <c r="B10467" s="3" t="s">
        <v>64</v>
      </c>
      <c r="C10467" s="4" t="str">
        <f t="shared" si="960"/>
        <v>Bạc Liêu</v>
      </c>
      <c r="D10467" s="3" t="s">
        <v>752</v>
      </c>
      <c r="E10467" s="4" t="str">
        <f t="shared" si="963"/>
        <v>Huyện Phước Long</v>
      </c>
      <c r="F10467" s="3" t="s">
        <v>11226</v>
      </c>
      <c r="G10467" s="4" t="str">
        <f>HYPERLINK("https://diaocthongthai.com/xa-phong-thanh-tay-b-phuoc-long-bac-lieu/","Xã Phong Thạnh Tây B")</f>
        <v>Xã Phong Thạnh Tây B</v>
      </c>
    </row>
    <row r="10468" spans="1:7" x14ac:dyDescent="0.25">
      <c r="A10468" s="2">
        <v>10467</v>
      </c>
      <c r="B10468" s="3" t="s">
        <v>64</v>
      </c>
      <c r="C10468" s="4" t="str">
        <f t="shared" si="960"/>
        <v>Bạc Liêu</v>
      </c>
      <c r="D10468" s="3" t="s">
        <v>753</v>
      </c>
      <c r="E10468" s="4" t="str">
        <f t="shared" ref="E10468:E10475" si="964">HYPERLINK("https://diaocthongthai.com/ban-do-huyen-vinh-loi-bac-lieu/","Huyện Vĩnh Lợi")</f>
        <v>Huyện Vĩnh Lợi</v>
      </c>
      <c r="F10468" s="3" t="s">
        <v>11227</v>
      </c>
      <c r="G10468" s="4" t="str">
        <f>HYPERLINK("https://diaocthongthai.com/xa-vinh-hung-vinh-loi/","Xã Vĩnh Hưng")</f>
        <v>Xã Vĩnh Hưng</v>
      </c>
    </row>
    <row r="10469" spans="1:7" x14ac:dyDescent="0.25">
      <c r="A10469" s="2">
        <v>10468</v>
      </c>
      <c r="B10469" s="3" t="s">
        <v>64</v>
      </c>
      <c r="C10469" s="4" t="str">
        <f t="shared" si="960"/>
        <v>Bạc Liêu</v>
      </c>
      <c r="D10469" s="3" t="s">
        <v>753</v>
      </c>
      <c r="E10469" s="4" t="str">
        <f t="shared" si="964"/>
        <v>Huyện Vĩnh Lợi</v>
      </c>
      <c r="F10469" s="3" t="s">
        <v>11228</v>
      </c>
      <c r="G10469" s="4" t="str">
        <f>HYPERLINK("https://diaocthongthai.com/xa-vinh-hung-a-vinh-loi/","Xã Vĩnh Hưng A")</f>
        <v>Xã Vĩnh Hưng A</v>
      </c>
    </row>
    <row r="10470" spans="1:7" x14ac:dyDescent="0.25">
      <c r="A10470" s="2">
        <v>10469</v>
      </c>
      <c r="B10470" s="3" t="s">
        <v>64</v>
      </c>
      <c r="C10470" s="4" t="str">
        <f t="shared" si="960"/>
        <v>Bạc Liêu</v>
      </c>
      <c r="D10470" s="3" t="s">
        <v>753</v>
      </c>
      <c r="E10470" s="4" t="str">
        <f t="shared" si="964"/>
        <v>Huyện Vĩnh Lợi</v>
      </c>
      <c r="F10470" s="3" t="s">
        <v>11229</v>
      </c>
      <c r="G10470" s="4" t="str">
        <f>HYPERLINK("https://diaocthongthai.com/thi-tran-chau-hung-vinh-loi/","Thị trấn Châu Hưng")</f>
        <v>Thị trấn Châu Hưng</v>
      </c>
    </row>
    <row r="10471" spans="1:7" x14ac:dyDescent="0.25">
      <c r="A10471" s="2">
        <v>10470</v>
      </c>
      <c r="B10471" s="3" t="s">
        <v>64</v>
      </c>
      <c r="C10471" s="4" t="str">
        <f t="shared" si="960"/>
        <v>Bạc Liêu</v>
      </c>
      <c r="D10471" s="3" t="s">
        <v>753</v>
      </c>
      <c r="E10471" s="4" t="str">
        <f t="shared" si="964"/>
        <v>Huyện Vĩnh Lợi</v>
      </c>
      <c r="F10471" s="3" t="s">
        <v>11230</v>
      </c>
      <c r="G10471" s="4" t="str">
        <f>HYPERLINK("https://diaocthongthai.com/xa-chau-hung-a-vinh-loi/","Xã Châu Hưng A")</f>
        <v>Xã Châu Hưng A</v>
      </c>
    </row>
    <row r="10472" spans="1:7" x14ac:dyDescent="0.25">
      <c r="A10472" s="2">
        <v>10471</v>
      </c>
      <c r="B10472" s="3" t="s">
        <v>64</v>
      </c>
      <c r="C10472" s="4" t="str">
        <f t="shared" si="960"/>
        <v>Bạc Liêu</v>
      </c>
      <c r="D10472" s="3" t="s">
        <v>753</v>
      </c>
      <c r="E10472" s="4" t="str">
        <f t="shared" si="964"/>
        <v>Huyện Vĩnh Lợi</v>
      </c>
      <c r="F10472" s="3" t="s">
        <v>11231</v>
      </c>
      <c r="G10472" s="4" t="str">
        <f>HYPERLINK("https://diaocthongthai.com/xa-hung-thanh-vinh-loi/","Xã Hưng Thành")</f>
        <v>Xã Hưng Thành</v>
      </c>
    </row>
    <row r="10473" spans="1:7" x14ac:dyDescent="0.25">
      <c r="A10473" s="2">
        <v>10472</v>
      </c>
      <c r="B10473" s="3" t="s">
        <v>64</v>
      </c>
      <c r="C10473" s="4" t="str">
        <f t="shared" ref="C10473:C10504" si="965">HYPERLINK("https://diaocthongthai.com/ban-do-bac-lieu/","Bạc Liêu")</f>
        <v>Bạc Liêu</v>
      </c>
      <c r="D10473" s="3" t="s">
        <v>753</v>
      </c>
      <c r="E10473" s="4" t="str">
        <f t="shared" si="964"/>
        <v>Huyện Vĩnh Lợi</v>
      </c>
      <c r="F10473" s="3" t="s">
        <v>11232</v>
      </c>
      <c r="G10473" s="4" t="str">
        <f>HYPERLINK("https://diaocthongthai.com/xa-hung-hoi-vinh-loi/","Xã Hưng Hội")</f>
        <v>Xã Hưng Hội</v>
      </c>
    </row>
    <row r="10474" spans="1:7" x14ac:dyDescent="0.25">
      <c r="A10474" s="2">
        <v>10473</v>
      </c>
      <c r="B10474" s="3" t="s">
        <v>64</v>
      </c>
      <c r="C10474" s="4" t="str">
        <f t="shared" si="965"/>
        <v>Bạc Liêu</v>
      </c>
      <c r="D10474" s="3" t="s">
        <v>753</v>
      </c>
      <c r="E10474" s="4" t="str">
        <f t="shared" si="964"/>
        <v>Huyện Vĩnh Lợi</v>
      </c>
      <c r="F10474" s="3" t="s">
        <v>11233</v>
      </c>
      <c r="G10474" s="4" t="str">
        <f>HYPERLINK("https://diaocthongthai.com/xa-chau-thoi-vinh-loi/","Xã Châu Thới")</f>
        <v>Xã Châu Thới</v>
      </c>
    </row>
    <row r="10475" spans="1:7" x14ac:dyDescent="0.25">
      <c r="A10475" s="2">
        <v>10474</v>
      </c>
      <c r="B10475" s="3" t="s">
        <v>64</v>
      </c>
      <c r="C10475" s="4" t="str">
        <f t="shared" si="965"/>
        <v>Bạc Liêu</v>
      </c>
      <c r="D10475" s="3" t="s">
        <v>753</v>
      </c>
      <c r="E10475" s="4" t="str">
        <f t="shared" si="964"/>
        <v>Huyện Vĩnh Lợi</v>
      </c>
      <c r="F10475" s="3" t="s">
        <v>11234</v>
      </c>
      <c r="G10475" s="4" t="str">
        <f>HYPERLINK("https://diaocthongthai.com/xa-long-thanh-vinh-loi/","Xã Long Thạnh")</f>
        <v>Xã Long Thạnh</v>
      </c>
    </row>
    <row r="10476" spans="1:7" x14ac:dyDescent="0.25">
      <c r="A10476" s="2">
        <v>10475</v>
      </c>
      <c r="B10476" s="3" t="s">
        <v>64</v>
      </c>
      <c r="C10476" s="4" t="str">
        <f t="shared" si="965"/>
        <v>Bạc Liêu</v>
      </c>
      <c r="D10476" s="3" t="s">
        <v>754</v>
      </c>
      <c r="E10476" s="4" t="str">
        <f t="shared" ref="E10476:E10485" si="966">HYPERLINK("https://diaocthongthai.com/ban-do-thi-xa-gia-rai-bac-lieu/","Thị xã Giá Rai")</f>
        <v>Thị xã Giá Rai</v>
      </c>
      <c r="F10476" s="3" t="s">
        <v>11235</v>
      </c>
      <c r="G10476" s="4" t="str">
        <f>HYPERLINK("https://diaocthongthai.com/phuong-1-gia-rai/","Phường 1")</f>
        <v>Phường 1</v>
      </c>
    </row>
    <row r="10477" spans="1:7" x14ac:dyDescent="0.25">
      <c r="A10477" s="2">
        <v>10476</v>
      </c>
      <c r="B10477" s="3" t="s">
        <v>64</v>
      </c>
      <c r="C10477" s="4" t="str">
        <f t="shared" si="965"/>
        <v>Bạc Liêu</v>
      </c>
      <c r="D10477" s="3" t="s">
        <v>754</v>
      </c>
      <c r="E10477" s="4" t="str">
        <f t="shared" si="966"/>
        <v>Thị xã Giá Rai</v>
      </c>
      <c r="F10477" s="3" t="s">
        <v>11236</v>
      </c>
      <c r="G10477" s="4" t="str">
        <f>HYPERLINK("https://diaocthongthai.com/phuong-ho-phong-gia-rai/","Phường Hộ Phòng")</f>
        <v>Phường Hộ Phòng</v>
      </c>
    </row>
    <row r="10478" spans="1:7" x14ac:dyDescent="0.25">
      <c r="A10478" s="2">
        <v>10477</v>
      </c>
      <c r="B10478" s="3" t="s">
        <v>64</v>
      </c>
      <c r="C10478" s="4" t="str">
        <f t="shared" si="965"/>
        <v>Bạc Liêu</v>
      </c>
      <c r="D10478" s="3" t="s">
        <v>754</v>
      </c>
      <c r="E10478" s="4" t="str">
        <f t="shared" si="966"/>
        <v>Thị xã Giá Rai</v>
      </c>
      <c r="F10478" s="3" t="s">
        <v>11237</v>
      </c>
      <c r="G10478" s="4" t="str">
        <f>HYPERLINK("https://diaocthongthai.com/xa-phong-thanh-dong-gia-rai/","Xã Phong Thạnh Đông")</f>
        <v>Xã Phong Thạnh Đông</v>
      </c>
    </row>
    <row r="10479" spans="1:7" x14ac:dyDescent="0.25">
      <c r="A10479" s="2">
        <v>10478</v>
      </c>
      <c r="B10479" s="3" t="s">
        <v>64</v>
      </c>
      <c r="C10479" s="4" t="str">
        <f t="shared" si="965"/>
        <v>Bạc Liêu</v>
      </c>
      <c r="D10479" s="3" t="s">
        <v>754</v>
      </c>
      <c r="E10479" s="4" t="str">
        <f t="shared" si="966"/>
        <v>Thị xã Giá Rai</v>
      </c>
      <c r="F10479" s="3" t="s">
        <v>11238</v>
      </c>
      <c r="G10479" s="4" t="str">
        <f>HYPERLINK("https://diaocthongthai.com/phuong-lang-tron-gia-rai/","Phường Láng Tròn")</f>
        <v>Phường Láng Tròn</v>
      </c>
    </row>
    <row r="10480" spans="1:7" x14ac:dyDescent="0.25">
      <c r="A10480" s="2">
        <v>10479</v>
      </c>
      <c r="B10480" s="3" t="s">
        <v>64</v>
      </c>
      <c r="C10480" s="4" t="str">
        <f t="shared" si="965"/>
        <v>Bạc Liêu</v>
      </c>
      <c r="D10480" s="3" t="s">
        <v>754</v>
      </c>
      <c r="E10480" s="4" t="str">
        <f t="shared" si="966"/>
        <v>Thị xã Giá Rai</v>
      </c>
      <c r="F10480" s="3" t="s">
        <v>11239</v>
      </c>
      <c r="G10480" s="4" t="str">
        <f>HYPERLINK("https://diaocthongthai.com/xa-phong-tan-gia-rai/","Xã Phong Tân")</f>
        <v>Xã Phong Tân</v>
      </c>
    </row>
    <row r="10481" spans="1:7" x14ac:dyDescent="0.25">
      <c r="A10481" s="2">
        <v>10480</v>
      </c>
      <c r="B10481" s="3" t="s">
        <v>64</v>
      </c>
      <c r="C10481" s="4" t="str">
        <f t="shared" si="965"/>
        <v>Bạc Liêu</v>
      </c>
      <c r="D10481" s="3" t="s">
        <v>754</v>
      </c>
      <c r="E10481" s="4" t="str">
        <f t="shared" si="966"/>
        <v>Thị xã Giá Rai</v>
      </c>
      <c r="F10481" s="3" t="s">
        <v>11240</v>
      </c>
      <c r="G10481" s="4" t="str">
        <f>HYPERLINK("https://diaocthongthai.com/xa-tan-phong-gia-rai/","Xã Tân Phong")</f>
        <v>Xã Tân Phong</v>
      </c>
    </row>
    <row r="10482" spans="1:7" x14ac:dyDescent="0.25">
      <c r="A10482" s="2">
        <v>10481</v>
      </c>
      <c r="B10482" s="3" t="s">
        <v>64</v>
      </c>
      <c r="C10482" s="4" t="str">
        <f t="shared" si="965"/>
        <v>Bạc Liêu</v>
      </c>
      <c r="D10482" s="3" t="s">
        <v>754</v>
      </c>
      <c r="E10482" s="4" t="str">
        <f t="shared" si="966"/>
        <v>Thị xã Giá Rai</v>
      </c>
      <c r="F10482" s="3" t="s">
        <v>11241</v>
      </c>
      <c r="G10482" s="4" t="str">
        <f>HYPERLINK("https://diaocthongthai.com/xa-phong-thanh-gia-rai/","Xã Phong Thạnh")</f>
        <v>Xã Phong Thạnh</v>
      </c>
    </row>
    <row r="10483" spans="1:7" x14ac:dyDescent="0.25">
      <c r="A10483" s="2">
        <v>10482</v>
      </c>
      <c r="B10483" s="3" t="s">
        <v>64</v>
      </c>
      <c r="C10483" s="4" t="str">
        <f t="shared" si="965"/>
        <v>Bạc Liêu</v>
      </c>
      <c r="D10483" s="3" t="s">
        <v>754</v>
      </c>
      <c r="E10483" s="4" t="str">
        <f t="shared" si="966"/>
        <v>Thị xã Giá Rai</v>
      </c>
      <c r="F10483" s="3" t="s">
        <v>11242</v>
      </c>
      <c r="G10483" s="4" t="str">
        <f>HYPERLINK("https://diaocthongthai.com/xa-phong-thanh-a-gia-rai/","Xã Phong Thạnh A")</f>
        <v>Xã Phong Thạnh A</v>
      </c>
    </row>
    <row r="10484" spans="1:7" x14ac:dyDescent="0.25">
      <c r="A10484" s="2">
        <v>10483</v>
      </c>
      <c r="B10484" s="3" t="s">
        <v>64</v>
      </c>
      <c r="C10484" s="4" t="str">
        <f t="shared" si="965"/>
        <v>Bạc Liêu</v>
      </c>
      <c r="D10484" s="3" t="s">
        <v>754</v>
      </c>
      <c r="E10484" s="4" t="str">
        <f t="shared" si="966"/>
        <v>Thị xã Giá Rai</v>
      </c>
      <c r="F10484" s="3" t="s">
        <v>11243</v>
      </c>
      <c r="G10484" s="4" t="str">
        <f>HYPERLINK("https://diaocthongthai.com/xa-phong-thanh-tay-gia-rai/","Xã Phong Thạnh Tây")</f>
        <v>Xã Phong Thạnh Tây</v>
      </c>
    </row>
    <row r="10485" spans="1:7" x14ac:dyDescent="0.25">
      <c r="A10485" s="2">
        <v>10484</v>
      </c>
      <c r="B10485" s="3" t="s">
        <v>64</v>
      </c>
      <c r="C10485" s="4" t="str">
        <f t="shared" si="965"/>
        <v>Bạc Liêu</v>
      </c>
      <c r="D10485" s="3" t="s">
        <v>754</v>
      </c>
      <c r="E10485" s="4" t="str">
        <f t="shared" si="966"/>
        <v>Thị xã Giá Rai</v>
      </c>
      <c r="F10485" s="3" t="s">
        <v>11244</v>
      </c>
      <c r="G10485" s="4" t="str">
        <f>HYPERLINK("https://diaocthongthai.com/xa-tan-thanh-gia-rai/","Xã Tân Thạnh")</f>
        <v>Xã Tân Thạnh</v>
      </c>
    </row>
    <row r="10486" spans="1:7" x14ac:dyDescent="0.25">
      <c r="A10486" s="2">
        <v>10485</v>
      </c>
      <c r="B10486" s="3" t="s">
        <v>64</v>
      </c>
      <c r="C10486" s="4" t="str">
        <f t="shared" si="965"/>
        <v>Bạc Liêu</v>
      </c>
      <c r="D10486" s="3" t="s">
        <v>755</v>
      </c>
      <c r="E10486" s="4" t="str">
        <f t="shared" ref="E10486:E10496" si="967">HYPERLINK("https://diaocthongthai.com/ban-do-huyen-dong-hai-bac-lieu/","Huyện Đông Hải")</f>
        <v>Huyện Đông Hải</v>
      </c>
      <c r="F10486" s="3" t="s">
        <v>11245</v>
      </c>
      <c r="G10486" s="4" t="str">
        <f>HYPERLINK("https://diaocthongthai.com/thi-tran-ganh-hao-dong-hai/","Thị trấn Gành Hào")</f>
        <v>Thị trấn Gành Hào</v>
      </c>
    </row>
    <row r="10487" spans="1:7" x14ac:dyDescent="0.25">
      <c r="A10487" s="2">
        <v>10486</v>
      </c>
      <c r="B10487" s="3" t="s">
        <v>64</v>
      </c>
      <c r="C10487" s="4" t="str">
        <f t="shared" si="965"/>
        <v>Bạc Liêu</v>
      </c>
      <c r="D10487" s="3" t="s">
        <v>755</v>
      </c>
      <c r="E10487" s="4" t="str">
        <f t="shared" si="967"/>
        <v>Huyện Đông Hải</v>
      </c>
      <c r="F10487" s="3" t="s">
        <v>11246</v>
      </c>
      <c r="G10487" s="4" t="str">
        <f>HYPERLINK("https://diaocthongthai.com/xa-long-dien-dong-dong-hai/","Xã Long Điền Đông")</f>
        <v>Xã Long Điền Đông</v>
      </c>
    </row>
    <row r="10488" spans="1:7" x14ac:dyDescent="0.25">
      <c r="A10488" s="2">
        <v>10487</v>
      </c>
      <c r="B10488" s="3" t="s">
        <v>64</v>
      </c>
      <c r="C10488" s="4" t="str">
        <f t="shared" si="965"/>
        <v>Bạc Liêu</v>
      </c>
      <c r="D10488" s="3" t="s">
        <v>755</v>
      </c>
      <c r="E10488" s="4" t="str">
        <f t="shared" si="967"/>
        <v>Huyện Đông Hải</v>
      </c>
      <c r="F10488" s="3" t="s">
        <v>11247</v>
      </c>
      <c r="G10488" s="4" t="str">
        <f>HYPERLINK("https://diaocthongthai.com/xa-long-dien-dong-a-dong-hai/","Xã Long Điền Đông A")</f>
        <v>Xã Long Điền Đông A</v>
      </c>
    </row>
    <row r="10489" spans="1:7" x14ac:dyDescent="0.25">
      <c r="A10489" s="2">
        <v>10488</v>
      </c>
      <c r="B10489" s="3" t="s">
        <v>64</v>
      </c>
      <c r="C10489" s="4" t="str">
        <f t="shared" si="965"/>
        <v>Bạc Liêu</v>
      </c>
      <c r="D10489" s="3" t="s">
        <v>755</v>
      </c>
      <c r="E10489" s="4" t="str">
        <f t="shared" si="967"/>
        <v>Huyện Đông Hải</v>
      </c>
      <c r="F10489" s="3" t="s">
        <v>11248</v>
      </c>
      <c r="G10489" s="4" t="str">
        <f>HYPERLINK("https://diaocthongthai.com/xa-long-dien-dong-hai/","Xã Long Điền")</f>
        <v>Xã Long Điền</v>
      </c>
    </row>
    <row r="10490" spans="1:7" x14ac:dyDescent="0.25">
      <c r="A10490" s="2">
        <v>10489</v>
      </c>
      <c r="B10490" s="3" t="s">
        <v>64</v>
      </c>
      <c r="C10490" s="4" t="str">
        <f t="shared" si="965"/>
        <v>Bạc Liêu</v>
      </c>
      <c r="D10490" s="3" t="s">
        <v>755</v>
      </c>
      <c r="E10490" s="4" t="str">
        <f t="shared" si="967"/>
        <v>Huyện Đông Hải</v>
      </c>
      <c r="F10490" s="3" t="s">
        <v>11249</v>
      </c>
      <c r="G10490" s="4" t="str">
        <f>HYPERLINK("https://diaocthongthai.com/xa-long-dien-tay-dong-hai/","Xã Long Điền Tây")</f>
        <v>Xã Long Điền Tây</v>
      </c>
    </row>
    <row r="10491" spans="1:7" x14ac:dyDescent="0.25">
      <c r="A10491" s="2">
        <v>10490</v>
      </c>
      <c r="B10491" s="3" t="s">
        <v>64</v>
      </c>
      <c r="C10491" s="4" t="str">
        <f t="shared" si="965"/>
        <v>Bạc Liêu</v>
      </c>
      <c r="D10491" s="3" t="s">
        <v>755</v>
      </c>
      <c r="E10491" s="4" t="str">
        <f t="shared" si="967"/>
        <v>Huyện Đông Hải</v>
      </c>
      <c r="F10491" s="3" t="s">
        <v>11250</v>
      </c>
      <c r="G10491" s="4" t="str">
        <f>HYPERLINK("https://diaocthongthai.com/xa-dien-hai-dong-hai/","Xã Điền Hải")</f>
        <v>Xã Điền Hải</v>
      </c>
    </row>
    <row r="10492" spans="1:7" x14ac:dyDescent="0.25">
      <c r="A10492" s="2">
        <v>10491</v>
      </c>
      <c r="B10492" s="3" t="s">
        <v>64</v>
      </c>
      <c r="C10492" s="4" t="str">
        <f t="shared" si="965"/>
        <v>Bạc Liêu</v>
      </c>
      <c r="D10492" s="3" t="s">
        <v>755</v>
      </c>
      <c r="E10492" s="4" t="str">
        <f t="shared" si="967"/>
        <v>Huyện Đông Hải</v>
      </c>
      <c r="F10492" s="3" t="s">
        <v>11251</v>
      </c>
      <c r="G10492" s="4" t="str">
        <f>HYPERLINK("https://diaocthongthai.com/xa-an-trach-dong-hai/","Xã An Trạch")</f>
        <v>Xã An Trạch</v>
      </c>
    </row>
    <row r="10493" spans="1:7" x14ac:dyDescent="0.25">
      <c r="A10493" s="2">
        <v>10492</v>
      </c>
      <c r="B10493" s="3" t="s">
        <v>64</v>
      </c>
      <c r="C10493" s="4" t="str">
        <f t="shared" si="965"/>
        <v>Bạc Liêu</v>
      </c>
      <c r="D10493" s="3" t="s">
        <v>755</v>
      </c>
      <c r="E10493" s="4" t="str">
        <f t="shared" si="967"/>
        <v>Huyện Đông Hải</v>
      </c>
      <c r="F10493" s="3" t="s">
        <v>11252</v>
      </c>
      <c r="G10493" s="4" t="str">
        <f>HYPERLINK("https://diaocthongthai.com/xa-an-trach-a-dong-hai/","Xã An Trạch A")</f>
        <v>Xã An Trạch A</v>
      </c>
    </row>
    <row r="10494" spans="1:7" x14ac:dyDescent="0.25">
      <c r="A10494" s="2">
        <v>10493</v>
      </c>
      <c r="B10494" s="3" t="s">
        <v>64</v>
      </c>
      <c r="C10494" s="4" t="str">
        <f t="shared" si="965"/>
        <v>Bạc Liêu</v>
      </c>
      <c r="D10494" s="3" t="s">
        <v>755</v>
      </c>
      <c r="E10494" s="4" t="str">
        <f t="shared" si="967"/>
        <v>Huyện Đông Hải</v>
      </c>
      <c r="F10494" s="3" t="s">
        <v>11253</v>
      </c>
      <c r="G10494" s="4" t="str">
        <f>HYPERLINK("https://diaocthongthai.com/xa-an-phuc-dong-hai/","Xã An Phúc")</f>
        <v>Xã An Phúc</v>
      </c>
    </row>
    <row r="10495" spans="1:7" x14ac:dyDescent="0.25">
      <c r="A10495" s="2">
        <v>10494</v>
      </c>
      <c r="B10495" s="3" t="s">
        <v>64</v>
      </c>
      <c r="C10495" s="4" t="str">
        <f t="shared" si="965"/>
        <v>Bạc Liêu</v>
      </c>
      <c r="D10495" s="3" t="s">
        <v>755</v>
      </c>
      <c r="E10495" s="4" t="str">
        <f t="shared" si="967"/>
        <v>Huyện Đông Hải</v>
      </c>
      <c r="F10495" s="3" t="s">
        <v>11254</v>
      </c>
      <c r="G10495" s="4" t="str">
        <f>HYPERLINK("https://diaocthongthai.com/xa-dinh-thanh-dong-hai/","Xã Định Thành")</f>
        <v>Xã Định Thành</v>
      </c>
    </row>
    <row r="10496" spans="1:7" x14ac:dyDescent="0.25">
      <c r="A10496" s="2">
        <v>10495</v>
      </c>
      <c r="B10496" s="3" t="s">
        <v>64</v>
      </c>
      <c r="C10496" s="4" t="str">
        <f t="shared" si="965"/>
        <v>Bạc Liêu</v>
      </c>
      <c r="D10496" s="3" t="s">
        <v>755</v>
      </c>
      <c r="E10496" s="4" t="str">
        <f t="shared" si="967"/>
        <v>Huyện Đông Hải</v>
      </c>
      <c r="F10496" s="3" t="s">
        <v>11255</v>
      </c>
      <c r="G10496" s="4" t="str">
        <f>HYPERLINK("https://diaocthongthai.com/xa-dinh-thanh-a-dong-hai/","Xã Định Thành A")</f>
        <v>Xã Định Thành A</v>
      </c>
    </row>
    <row r="10497" spans="1:7" x14ac:dyDescent="0.25">
      <c r="A10497" s="2">
        <v>10496</v>
      </c>
      <c r="B10497" s="3" t="s">
        <v>64</v>
      </c>
      <c r="C10497" s="4" t="str">
        <f t="shared" si="965"/>
        <v>Bạc Liêu</v>
      </c>
      <c r="D10497" s="3" t="s">
        <v>756</v>
      </c>
      <c r="E10497" s="4" t="str">
        <f t="shared" ref="E10497:E10504" si="968">HYPERLINK("https://diaocthongthai.com/ban-do-huyen-hoa-binh-bac-lieu/","Huyện Hoà Bình")</f>
        <v>Huyện Hoà Bình</v>
      </c>
      <c r="F10497" s="3" t="s">
        <v>11256</v>
      </c>
      <c r="G10497" s="4" t="str">
        <f>HYPERLINK("https://diaocthongthai.com/thi-tran-hoa-binh-hoa-binh/","Thị trấn Hòa Bình")</f>
        <v>Thị trấn Hòa Bình</v>
      </c>
    </row>
    <row r="10498" spans="1:7" x14ac:dyDescent="0.25">
      <c r="A10498" s="2">
        <v>10497</v>
      </c>
      <c r="B10498" s="3" t="s">
        <v>64</v>
      </c>
      <c r="C10498" s="4" t="str">
        <f t="shared" si="965"/>
        <v>Bạc Liêu</v>
      </c>
      <c r="D10498" s="3" t="s">
        <v>756</v>
      </c>
      <c r="E10498" s="4" t="str">
        <f t="shared" si="968"/>
        <v>Huyện Hoà Bình</v>
      </c>
      <c r="F10498" s="3" t="s">
        <v>11257</v>
      </c>
      <c r="G10498" s="4" t="str">
        <f>HYPERLINK("https://diaocthongthai.com/xa-minh-dieu-hoa-binh/","Xã Minh Diệu")</f>
        <v>Xã Minh Diệu</v>
      </c>
    </row>
    <row r="10499" spans="1:7" x14ac:dyDescent="0.25">
      <c r="A10499" s="2">
        <v>10498</v>
      </c>
      <c r="B10499" s="3" t="s">
        <v>64</v>
      </c>
      <c r="C10499" s="4" t="str">
        <f t="shared" si="965"/>
        <v>Bạc Liêu</v>
      </c>
      <c r="D10499" s="3" t="s">
        <v>756</v>
      </c>
      <c r="E10499" s="4" t="str">
        <f t="shared" si="968"/>
        <v>Huyện Hoà Bình</v>
      </c>
      <c r="F10499" s="3" t="s">
        <v>11258</v>
      </c>
      <c r="G10499" s="4" t="str">
        <f>HYPERLINK("https://diaocthongthai.com/xa-vinh-binh-hoa-binh/","Xã Vĩnh Bình")</f>
        <v>Xã Vĩnh Bình</v>
      </c>
    </row>
    <row r="10500" spans="1:7" x14ac:dyDescent="0.25">
      <c r="A10500" s="2">
        <v>10499</v>
      </c>
      <c r="B10500" s="3" t="s">
        <v>64</v>
      </c>
      <c r="C10500" s="4" t="str">
        <f t="shared" si="965"/>
        <v>Bạc Liêu</v>
      </c>
      <c r="D10500" s="3" t="s">
        <v>756</v>
      </c>
      <c r="E10500" s="4" t="str">
        <f t="shared" si="968"/>
        <v>Huyện Hoà Bình</v>
      </c>
      <c r="F10500" s="3" t="s">
        <v>11259</v>
      </c>
      <c r="G10500" s="4" t="str">
        <f>HYPERLINK("https://diaocthongthai.com/xa-vinh-my-b-hoa-binh/","Xã Vĩnh Mỹ B")</f>
        <v>Xã Vĩnh Mỹ B</v>
      </c>
    </row>
    <row r="10501" spans="1:7" x14ac:dyDescent="0.25">
      <c r="A10501" s="2">
        <v>10500</v>
      </c>
      <c r="B10501" s="3" t="s">
        <v>64</v>
      </c>
      <c r="C10501" s="4" t="str">
        <f t="shared" si="965"/>
        <v>Bạc Liêu</v>
      </c>
      <c r="D10501" s="3" t="s">
        <v>756</v>
      </c>
      <c r="E10501" s="4" t="str">
        <f t="shared" si="968"/>
        <v>Huyện Hoà Bình</v>
      </c>
      <c r="F10501" s="3" t="s">
        <v>11260</v>
      </c>
      <c r="G10501" s="4" t="str">
        <f>HYPERLINK("https://diaocthongthai.com/xa-vinh-hau-hoa-binh/","Xã Vĩnh Hậu")</f>
        <v>Xã Vĩnh Hậu</v>
      </c>
    </row>
    <row r="10502" spans="1:7" x14ac:dyDescent="0.25">
      <c r="A10502" s="2">
        <v>10501</v>
      </c>
      <c r="B10502" s="3" t="s">
        <v>64</v>
      </c>
      <c r="C10502" s="4" t="str">
        <f t="shared" si="965"/>
        <v>Bạc Liêu</v>
      </c>
      <c r="D10502" s="3" t="s">
        <v>756</v>
      </c>
      <c r="E10502" s="4" t="str">
        <f t="shared" si="968"/>
        <v>Huyện Hoà Bình</v>
      </c>
      <c r="F10502" s="3" t="s">
        <v>11261</v>
      </c>
      <c r="G10502" s="4" t="str">
        <f>HYPERLINK("https://diaocthongthai.com/xa-vinh-hau-a-hoa-binh/","Xã Vĩnh Hậu A")</f>
        <v>Xã Vĩnh Hậu A</v>
      </c>
    </row>
    <row r="10503" spans="1:7" x14ac:dyDescent="0.25">
      <c r="A10503" s="2">
        <v>10502</v>
      </c>
      <c r="B10503" s="3" t="s">
        <v>64</v>
      </c>
      <c r="C10503" s="4" t="str">
        <f t="shared" si="965"/>
        <v>Bạc Liêu</v>
      </c>
      <c r="D10503" s="3" t="s">
        <v>756</v>
      </c>
      <c r="E10503" s="4" t="str">
        <f t="shared" si="968"/>
        <v>Huyện Hoà Bình</v>
      </c>
      <c r="F10503" s="3" t="s">
        <v>11262</v>
      </c>
      <c r="G10503" s="4" t="str">
        <f>HYPERLINK("https://diaocthongthai.com/xa-vinh-my-a-hoa-binh/","Xã Vĩnh Mỹ A")</f>
        <v>Xã Vĩnh Mỹ A</v>
      </c>
    </row>
    <row r="10504" spans="1:7" x14ac:dyDescent="0.25">
      <c r="A10504" s="2">
        <v>10503</v>
      </c>
      <c r="B10504" s="3" t="s">
        <v>64</v>
      </c>
      <c r="C10504" s="4" t="str">
        <f t="shared" si="965"/>
        <v>Bạc Liêu</v>
      </c>
      <c r="D10504" s="3" t="s">
        <v>756</v>
      </c>
      <c r="E10504" s="4" t="str">
        <f t="shared" si="968"/>
        <v>Huyện Hoà Bình</v>
      </c>
      <c r="F10504" s="3" t="s">
        <v>11263</v>
      </c>
      <c r="G10504" s="4" t="str">
        <f>HYPERLINK("https://diaocthongthai.com/xa-vinh-thinh-hoa-binh/","Xã Vĩnh Thịnh")</f>
        <v>Xã Vĩnh Thịnh</v>
      </c>
    </row>
    <row r="10505" spans="1:7" x14ac:dyDescent="0.25">
      <c r="A10505" s="2">
        <v>10504</v>
      </c>
      <c r="B10505" s="3" t="s">
        <v>65</v>
      </c>
      <c r="C10505" s="4" t="str">
        <f t="shared" ref="C10505:C10536" si="969">HYPERLINK("https://diaocthongthai.com/ban-do-ca-mau/","Cà Mau")</f>
        <v>Cà Mau</v>
      </c>
      <c r="D10505" s="3" t="s">
        <v>757</v>
      </c>
      <c r="E10505" s="4" t="str">
        <f t="shared" ref="E10505:E10521" si="970">HYPERLINK("https://diaocthongthai.com/ban-do-tp-ca-mau-ca-mau/","Thành phố Cà Mau")</f>
        <v>Thành phố Cà Mau</v>
      </c>
      <c r="F10505" s="3" t="s">
        <v>11264</v>
      </c>
      <c r="G10505" s="4" t="str">
        <f>HYPERLINK("https://diaocthongthai.com/phuong-9-tp-ca-mau/","Phường 9")</f>
        <v>Phường 9</v>
      </c>
    </row>
    <row r="10506" spans="1:7" x14ac:dyDescent="0.25">
      <c r="A10506" s="2">
        <v>10505</v>
      </c>
      <c r="B10506" s="3" t="s">
        <v>65</v>
      </c>
      <c r="C10506" s="4" t="str">
        <f t="shared" si="969"/>
        <v>Cà Mau</v>
      </c>
      <c r="D10506" s="3" t="s">
        <v>757</v>
      </c>
      <c r="E10506" s="4" t="str">
        <f t="shared" si="970"/>
        <v>Thành phố Cà Mau</v>
      </c>
      <c r="F10506" s="3" t="s">
        <v>11265</v>
      </c>
      <c r="G10506" s="4" t="str">
        <f>HYPERLINK("https://diaocthongthai.com/phuong-4-tp-ca-mau/","Phường 4")</f>
        <v>Phường 4</v>
      </c>
    </row>
    <row r="10507" spans="1:7" x14ac:dyDescent="0.25">
      <c r="A10507" s="2">
        <v>10506</v>
      </c>
      <c r="B10507" s="3" t="s">
        <v>65</v>
      </c>
      <c r="C10507" s="4" t="str">
        <f t="shared" si="969"/>
        <v>Cà Mau</v>
      </c>
      <c r="D10507" s="3" t="s">
        <v>757</v>
      </c>
      <c r="E10507" s="4" t="str">
        <f t="shared" si="970"/>
        <v>Thành phố Cà Mau</v>
      </c>
      <c r="F10507" s="3" t="s">
        <v>11266</v>
      </c>
      <c r="G10507" s="4" t="str">
        <f>HYPERLINK("https://diaocthongthai.com/phuong-1-tp-ca-mau/","Phường 1")</f>
        <v>Phường 1</v>
      </c>
    </row>
    <row r="10508" spans="1:7" x14ac:dyDescent="0.25">
      <c r="A10508" s="2">
        <v>10507</v>
      </c>
      <c r="B10508" s="3" t="s">
        <v>65</v>
      </c>
      <c r="C10508" s="4" t="str">
        <f t="shared" si="969"/>
        <v>Cà Mau</v>
      </c>
      <c r="D10508" s="3" t="s">
        <v>757</v>
      </c>
      <c r="E10508" s="4" t="str">
        <f t="shared" si="970"/>
        <v>Thành phố Cà Mau</v>
      </c>
      <c r="F10508" s="3" t="s">
        <v>11267</v>
      </c>
      <c r="G10508" s="4" t="str">
        <f>HYPERLINK("https://diaocthongthai.com/phuong-5-tp-ca-mau/","Phường 5")</f>
        <v>Phường 5</v>
      </c>
    </row>
    <row r="10509" spans="1:7" x14ac:dyDescent="0.25">
      <c r="A10509" s="2">
        <v>10508</v>
      </c>
      <c r="B10509" s="3" t="s">
        <v>65</v>
      </c>
      <c r="C10509" s="4" t="str">
        <f t="shared" si="969"/>
        <v>Cà Mau</v>
      </c>
      <c r="D10509" s="3" t="s">
        <v>757</v>
      </c>
      <c r="E10509" s="4" t="str">
        <f t="shared" si="970"/>
        <v>Thành phố Cà Mau</v>
      </c>
      <c r="F10509" s="3" t="s">
        <v>11268</v>
      </c>
      <c r="G10509" s="4" t="str">
        <f>HYPERLINK("https://diaocthongthai.com/phuong-2-tp-ca-mau/","Phường 2")</f>
        <v>Phường 2</v>
      </c>
    </row>
    <row r="10510" spans="1:7" x14ac:dyDescent="0.25">
      <c r="A10510" s="2">
        <v>10509</v>
      </c>
      <c r="B10510" s="3" t="s">
        <v>65</v>
      </c>
      <c r="C10510" s="4" t="str">
        <f t="shared" si="969"/>
        <v>Cà Mau</v>
      </c>
      <c r="D10510" s="3" t="s">
        <v>757</v>
      </c>
      <c r="E10510" s="4" t="str">
        <f t="shared" si="970"/>
        <v>Thành phố Cà Mau</v>
      </c>
      <c r="F10510" s="3" t="s">
        <v>11269</v>
      </c>
      <c r="G10510" s="4" t="str">
        <f>HYPERLINK("https://diaocthongthai.com/phuong-8-tp-ca-mau/","Phường 8")</f>
        <v>Phường 8</v>
      </c>
    </row>
    <row r="10511" spans="1:7" x14ac:dyDescent="0.25">
      <c r="A10511" s="2">
        <v>10510</v>
      </c>
      <c r="B10511" s="3" t="s">
        <v>65</v>
      </c>
      <c r="C10511" s="4" t="str">
        <f t="shared" si="969"/>
        <v>Cà Mau</v>
      </c>
      <c r="D10511" s="3" t="s">
        <v>757</v>
      </c>
      <c r="E10511" s="4" t="str">
        <f t="shared" si="970"/>
        <v>Thành phố Cà Mau</v>
      </c>
      <c r="F10511" s="3" t="s">
        <v>11270</v>
      </c>
      <c r="G10511" s="4" t="str">
        <f>HYPERLINK("https://diaocthongthai.com/phuong-6-tp-ca-mau/","Phường 6")</f>
        <v>Phường 6</v>
      </c>
    </row>
    <row r="10512" spans="1:7" x14ac:dyDescent="0.25">
      <c r="A10512" s="2">
        <v>10511</v>
      </c>
      <c r="B10512" s="3" t="s">
        <v>65</v>
      </c>
      <c r="C10512" s="4" t="str">
        <f t="shared" si="969"/>
        <v>Cà Mau</v>
      </c>
      <c r="D10512" s="3" t="s">
        <v>757</v>
      </c>
      <c r="E10512" s="4" t="str">
        <f t="shared" si="970"/>
        <v>Thành phố Cà Mau</v>
      </c>
      <c r="F10512" s="3" t="s">
        <v>11271</v>
      </c>
      <c r="G10512" s="4" t="str">
        <f>HYPERLINK("https://diaocthongthai.com/phuong-7-tp-ca-mau/","Phường 7")</f>
        <v>Phường 7</v>
      </c>
    </row>
    <row r="10513" spans="1:7" x14ac:dyDescent="0.25">
      <c r="A10513" s="2">
        <v>10512</v>
      </c>
      <c r="B10513" s="3" t="s">
        <v>65</v>
      </c>
      <c r="C10513" s="4" t="str">
        <f t="shared" si="969"/>
        <v>Cà Mau</v>
      </c>
      <c r="D10513" s="3" t="s">
        <v>757</v>
      </c>
      <c r="E10513" s="4" t="str">
        <f t="shared" si="970"/>
        <v>Thành phố Cà Mau</v>
      </c>
      <c r="F10513" s="3" t="s">
        <v>11272</v>
      </c>
      <c r="G10513" s="4" t="str">
        <f>HYPERLINK("https://diaocthongthai.com/phuong-tan-xuyen-tp-ca-mau/","Phường Tân Xuyên")</f>
        <v>Phường Tân Xuyên</v>
      </c>
    </row>
    <row r="10514" spans="1:7" x14ac:dyDescent="0.25">
      <c r="A10514" s="2">
        <v>10513</v>
      </c>
      <c r="B10514" s="3" t="s">
        <v>65</v>
      </c>
      <c r="C10514" s="4" t="str">
        <f t="shared" si="969"/>
        <v>Cà Mau</v>
      </c>
      <c r="D10514" s="3" t="s">
        <v>757</v>
      </c>
      <c r="E10514" s="4" t="str">
        <f t="shared" si="970"/>
        <v>Thành phố Cà Mau</v>
      </c>
      <c r="F10514" s="3" t="s">
        <v>11273</v>
      </c>
      <c r="G10514" s="4" t="str">
        <f>HYPERLINK("https://diaocthongthai.com/xa-an-xuyen-tp-ca-mau/","Xã An Xuyên")</f>
        <v>Xã An Xuyên</v>
      </c>
    </row>
    <row r="10515" spans="1:7" x14ac:dyDescent="0.25">
      <c r="A10515" s="2">
        <v>10514</v>
      </c>
      <c r="B10515" s="3" t="s">
        <v>65</v>
      </c>
      <c r="C10515" s="4" t="str">
        <f t="shared" si="969"/>
        <v>Cà Mau</v>
      </c>
      <c r="D10515" s="3" t="s">
        <v>757</v>
      </c>
      <c r="E10515" s="4" t="str">
        <f t="shared" si="970"/>
        <v>Thành phố Cà Mau</v>
      </c>
      <c r="F10515" s="3" t="s">
        <v>11274</v>
      </c>
      <c r="G10515" s="4" t="str">
        <f>HYPERLINK("https://diaocthongthai.com/phuong-tan-thanh-tp-ca-mau/","Phường Tân Thành")</f>
        <v>Phường Tân Thành</v>
      </c>
    </row>
    <row r="10516" spans="1:7" x14ac:dyDescent="0.25">
      <c r="A10516" s="2">
        <v>10515</v>
      </c>
      <c r="B10516" s="3" t="s">
        <v>65</v>
      </c>
      <c r="C10516" s="4" t="str">
        <f t="shared" si="969"/>
        <v>Cà Mau</v>
      </c>
      <c r="D10516" s="3" t="s">
        <v>757</v>
      </c>
      <c r="E10516" s="4" t="str">
        <f t="shared" si="970"/>
        <v>Thành phố Cà Mau</v>
      </c>
      <c r="F10516" s="3" t="s">
        <v>11275</v>
      </c>
      <c r="G10516" s="4" t="str">
        <f>HYPERLINK("https://diaocthongthai.com/xa-tan-thanh-tp-ca-mau/","Xã Tân Thành")</f>
        <v>Xã Tân Thành</v>
      </c>
    </row>
    <row r="10517" spans="1:7" x14ac:dyDescent="0.25">
      <c r="A10517" s="2">
        <v>10516</v>
      </c>
      <c r="B10517" s="3" t="s">
        <v>65</v>
      </c>
      <c r="C10517" s="4" t="str">
        <f t="shared" si="969"/>
        <v>Cà Mau</v>
      </c>
      <c r="D10517" s="3" t="s">
        <v>757</v>
      </c>
      <c r="E10517" s="4" t="str">
        <f t="shared" si="970"/>
        <v>Thành phố Cà Mau</v>
      </c>
      <c r="F10517" s="3" t="s">
        <v>11276</v>
      </c>
      <c r="G10517" s="4" t="str">
        <f>HYPERLINK("https://diaocthongthai.com/xa-tac-van-tp-ca-mau/","Xã Tắc Vân")</f>
        <v>Xã Tắc Vân</v>
      </c>
    </row>
    <row r="10518" spans="1:7" x14ac:dyDescent="0.25">
      <c r="A10518" s="2">
        <v>10517</v>
      </c>
      <c r="B10518" s="3" t="s">
        <v>65</v>
      </c>
      <c r="C10518" s="4" t="str">
        <f t="shared" si="969"/>
        <v>Cà Mau</v>
      </c>
      <c r="D10518" s="3" t="s">
        <v>757</v>
      </c>
      <c r="E10518" s="4" t="str">
        <f t="shared" si="970"/>
        <v>Thành phố Cà Mau</v>
      </c>
      <c r="F10518" s="3" t="s">
        <v>11277</v>
      </c>
      <c r="G10518" s="4" t="str">
        <f>HYPERLINK("https://diaocthongthai.com/xa-ly-van-lam-tp-ca-mau/","Xã Lý Văn Lâm")</f>
        <v>Xã Lý Văn Lâm</v>
      </c>
    </row>
    <row r="10519" spans="1:7" x14ac:dyDescent="0.25">
      <c r="A10519" s="2">
        <v>10518</v>
      </c>
      <c r="B10519" s="3" t="s">
        <v>65</v>
      </c>
      <c r="C10519" s="4" t="str">
        <f t="shared" si="969"/>
        <v>Cà Mau</v>
      </c>
      <c r="D10519" s="3" t="s">
        <v>757</v>
      </c>
      <c r="E10519" s="4" t="str">
        <f t="shared" si="970"/>
        <v>Thành phố Cà Mau</v>
      </c>
      <c r="F10519" s="3" t="s">
        <v>11278</v>
      </c>
      <c r="G10519" s="4" t="str">
        <f>HYPERLINK("https://diaocthongthai.com/xa-dinh-binh-tp-ca-mau/","Xã Định Bình")</f>
        <v>Xã Định Bình</v>
      </c>
    </row>
    <row r="10520" spans="1:7" x14ac:dyDescent="0.25">
      <c r="A10520" s="2">
        <v>10519</v>
      </c>
      <c r="B10520" s="3" t="s">
        <v>65</v>
      </c>
      <c r="C10520" s="4" t="str">
        <f t="shared" si="969"/>
        <v>Cà Mau</v>
      </c>
      <c r="D10520" s="3" t="s">
        <v>757</v>
      </c>
      <c r="E10520" s="4" t="str">
        <f t="shared" si="970"/>
        <v>Thành phố Cà Mau</v>
      </c>
      <c r="F10520" s="3" t="s">
        <v>11279</v>
      </c>
      <c r="G10520" s="4" t="str">
        <f>HYPERLINK("https://diaocthongthai.com/xa-hoa-thanh-tp-ca-mau/","Xã Hòa Thành")</f>
        <v>Xã Hòa Thành</v>
      </c>
    </row>
    <row r="10521" spans="1:7" x14ac:dyDescent="0.25">
      <c r="A10521" s="2">
        <v>10520</v>
      </c>
      <c r="B10521" s="3" t="s">
        <v>65</v>
      </c>
      <c r="C10521" s="4" t="str">
        <f t="shared" si="969"/>
        <v>Cà Mau</v>
      </c>
      <c r="D10521" s="3" t="s">
        <v>757</v>
      </c>
      <c r="E10521" s="4" t="str">
        <f t="shared" si="970"/>
        <v>Thành phố Cà Mau</v>
      </c>
      <c r="F10521" s="3" t="s">
        <v>11280</v>
      </c>
      <c r="G10521" s="4" t="str">
        <f>HYPERLINK("https://diaocthongthai.com/xa-hoa-tan-tp-ca-mau/","Xã Hòa Tân")</f>
        <v>Xã Hòa Tân</v>
      </c>
    </row>
    <row r="10522" spans="1:7" x14ac:dyDescent="0.25">
      <c r="A10522" s="2">
        <v>10521</v>
      </c>
      <c r="B10522" s="3" t="s">
        <v>65</v>
      </c>
      <c r="C10522" s="4" t="str">
        <f t="shared" si="969"/>
        <v>Cà Mau</v>
      </c>
      <c r="D10522" s="3" t="s">
        <v>758</v>
      </c>
      <c r="E10522" s="4" t="str">
        <f t="shared" ref="E10522:E10529" si="971">HYPERLINK("https://diaocthongthai.com/ban-do-huyen-u-minh-ca-mau/","Huyện U Minh")</f>
        <v>Huyện U Minh</v>
      </c>
      <c r="F10522" s="3" t="s">
        <v>11281</v>
      </c>
      <c r="G10522" s="4" t="str">
        <f>HYPERLINK("https://diaocthongthai.com/thi-tran-u-minh-u-minh/","Thị trấn U Minh")</f>
        <v>Thị trấn U Minh</v>
      </c>
    </row>
    <row r="10523" spans="1:7" x14ac:dyDescent="0.25">
      <c r="A10523" s="2">
        <v>10522</v>
      </c>
      <c r="B10523" s="3" t="s">
        <v>65</v>
      </c>
      <c r="C10523" s="4" t="str">
        <f t="shared" si="969"/>
        <v>Cà Mau</v>
      </c>
      <c r="D10523" s="3" t="s">
        <v>758</v>
      </c>
      <c r="E10523" s="4" t="str">
        <f t="shared" si="971"/>
        <v>Huyện U Minh</v>
      </c>
      <c r="F10523" s="3" t="s">
        <v>11282</v>
      </c>
      <c r="G10523" s="4" t="str">
        <f>HYPERLINK("https://diaocthongthai.com/xa-khanh-hoa-u-minh/","Xã Khánh Hòa")</f>
        <v>Xã Khánh Hòa</v>
      </c>
    </row>
    <row r="10524" spans="1:7" x14ac:dyDescent="0.25">
      <c r="A10524" s="2">
        <v>10523</v>
      </c>
      <c r="B10524" s="3" t="s">
        <v>65</v>
      </c>
      <c r="C10524" s="4" t="str">
        <f t="shared" si="969"/>
        <v>Cà Mau</v>
      </c>
      <c r="D10524" s="3" t="s">
        <v>758</v>
      </c>
      <c r="E10524" s="4" t="str">
        <f t="shared" si="971"/>
        <v>Huyện U Minh</v>
      </c>
      <c r="F10524" s="3" t="s">
        <v>11283</v>
      </c>
      <c r="G10524" s="4" t="str">
        <f>HYPERLINK("https://diaocthongthai.com/xa-khanh-thuan-u-minh/","Xã Khánh Thuận")</f>
        <v>Xã Khánh Thuận</v>
      </c>
    </row>
    <row r="10525" spans="1:7" x14ac:dyDescent="0.25">
      <c r="A10525" s="2">
        <v>10524</v>
      </c>
      <c r="B10525" s="3" t="s">
        <v>65</v>
      </c>
      <c r="C10525" s="4" t="str">
        <f t="shared" si="969"/>
        <v>Cà Mau</v>
      </c>
      <c r="D10525" s="3" t="s">
        <v>758</v>
      </c>
      <c r="E10525" s="4" t="str">
        <f t="shared" si="971"/>
        <v>Huyện U Minh</v>
      </c>
      <c r="F10525" s="3" t="s">
        <v>11284</v>
      </c>
      <c r="G10525" s="4" t="str">
        <f>HYPERLINK("https://diaocthongthai.com/xa-khanh-tien-u-minh/","Xã Khánh Tiến")</f>
        <v>Xã Khánh Tiến</v>
      </c>
    </row>
    <row r="10526" spans="1:7" x14ac:dyDescent="0.25">
      <c r="A10526" s="2">
        <v>10525</v>
      </c>
      <c r="B10526" s="3" t="s">
        <v>65</v>
      </c>
      <c r="C10526" s="4" t="str">
        <f t="shared" si="969"/>
        <v>Cà Mau</v>
      </c>
      <c r="D10526" s="3" t="s">
        <v>758</v>
      </c>
      <c r="E10526" s="4" t="str">
        <f t="shared" si="971"/>
        <v>Huyện U Minh</v>
      </c>
      <c r="F10526" s="3" t="s">
        <v>11285</v>
      </c>
      <c r="G10526" s="4" t="str">
        <f>HYPERLINK("https://diaocthongthai.com/xa-nguyen-phich-u-minh/","Xã Nguyễn Phích")</f>
        <v>Xã Nguyễn Phích</v>
      </c>
    </row>
    <row r="10527" spans="1:7" x14ac:dyDescent="0.25">
      <c r="A10527" s="2">
        <v>10526</v>
      </c>
      <c r="B10527" s="3" t="s">
        <v>65</v>
      </c>
      <c r="C10527" s="4" t="str">
        <f t="shared" si="969"/>
        <v>Cà Mau</v>
      </c>
      <c r="D10527" s="3" t="s">
        <v>758</v>
      </c>
      <c r="E10527" s="4" t="str">
        <f t="shared" si="971"/>
        <v>Huyện U Minh</v>
      </c>
      <c r="F10527" s="3" t="s">
        <v>11286</v>
      </c>
      <c r="G10527" s="4" t="str">
        <f>HYPERLINK("https://diaocthongthai.com/xa-khanh-lam-u-minh/","Xã Khánh Lâm")</f>
        <v>Xã Khánh Lâm</v>
      </c>
    </row>
    <row r="10528" spans="1:7" x14ac:dyDescent="0.25">
      <c r="A10528" s="2">
        <v>10527</v>
      </c>
      <c r="B10528" s="3" t="s">
        <v>65</v>
      </c>
      <c r="C10528" s="4" t="str">
        <f t="shared" si="969"/>
        <v>Cà Mau</v>
      </c>
      <c r="D10528" s="3" t="s">
        <v>758</v>
      </c>
      <c r="E10528" s="4" t="str">
        <f t="shared" si="971"/>
        <v>Huyện U Minh</v>
      </c>
      <c r="F10528" s="3" t="s">
        <v>11287</v>
      </c>
      <c r="G10528" s="4" t="str">
        <f>HYPERLINK("https://diaocthongthai.com/xa-khanh-an-u-minh/","Xã Khánh An")</f>
        <v>Xã Khánh An</v>
      </c>
    </row>
    <row r="10529" spans="1:7" x14ac:dyDescent="0.25">
      <c r="A10529" s="2">
        <v>10528</v>
      </c>
      <c r="B10529" s="3" t="s">
        <v>65</v>
      </c>
      <c r="C10529" s="4" t="str">
        <f t="shared" si="969"/>
        <v>Cà Mau</v>
      </c>
      <c r="D10529" s="3" t="s">
        <v>758</v>
      </c>
      <c r="E10529" s="4" t="str">
        <f t="shared" si="971"/>
        <v>Huyện U Minh</v>
      </c>
      <c r="F10529" s="3" t="s">
        <v>11288</v>
      </c>
      <c r="G10529" s="4" t="str">
        <f>HYPERLINK("https://diaocthongthai.com/xa-khanh-hoi-u-minh/","Xã Khánh Hội")</f>
        <v>Xã Khánh Hội</v>
      </c>
    </row>
    <row r="10530" spans="1:7" x14ac:dyDescent="0.25">
      <c r="A10530" s="2">
        <v>10529</v>
      </c>
      <c r="B10530" s="3" t="s">
        <v>65</v>
      </c>
      <c r="C10530" s="4" t="str">
        <f t="shared" si="969"/>
        <v>Cà Mau</v>
      </c>
      <c r="D10530" s="3" t="s">
        <v>759</v>
      </c>
      <c r="E10530" s="4" t="str">
        <f t="shared" ref="E10530:E10541" si="972">HYPERLINK("https://diaocthongthai.com/ban-do-huyen-thoi-binh-ca-mau/","Huyện Thới Bình")</f>
        <v>Huyện Thới Bình</v>
      </c>
      <c r="F10530" s="3" t="s">
        <v>11289</v>
      </c>
      <c r="G10530" s="4" t="str">
        <f>HYPERLINK("https://diaocthongthai.com/thi-tran-thoi-binh-thoi-binh/","Thị trấn Thới Bình")</f>
        <v>Thị trấn Thới Bình</v>
      </c>
    </row>
    <row r="10531" spans="1:7" x14ac:dyDescent="0.25">
      <c r="A10531" s="2">
        <v>10530</v>
      </c>
      <c r="B10531" s="3" t="s">
        <v>65</v>
      </c>
      <c r="C10531" s="4" t="str">
        <f t="shared" si="969"/>
        <v>Cà Mau</v>
      </c>
      <c r="D10531" s="3" t="s">
        <v>759</v>
      </c>
      <c r="E10531" s="4" t="str">
        <f t="shared" si="972"/>
        <v>Huyện Thới Bình</v>
      </c>
      <c r="F10531" s="3" t="s">
        <v>11290</v>
      </c>
      <c r="G10531" s="4" t="str">
        <f>HYPERLINK("https://diaocthongthai.com/xa-bien-bach-thoi-binh/","Xã Biển Bạch")</f>
        <v>Xã Biển Bạch</v>
      </c>
    </row>
    <row r="10532" spans="1:7" x14ac:dyDescent="0.25">
      <c r="A10532" s="2">
        <v>10531</v>
      </c>
      <c r="B10532" s="3" t="s">
        <v>65</v>
      </c>
      <c r="C10532" s="4" t="str">
        <f t="shared" si="969"/>
        <v>Cà Mau</v>
      </c>
      <c r="D10532" s="3" t="s">
        <v>759</v>
      </c>
      <c r="E10532" s="4" t="str">
        <f t="shared" si="972"/>
        <v>Huyện Thới Bình</v>
      </c>
      <c r="F10532" s="3" t="s">
        <v>11291</v>
      </c>
      <c r="G10532" s="4" t="str">
        <f>HYPERLINK("https://diaocthongthai.com/xa-tan-bang-thoi-binh/","Xã Tân Bằng")</f>
        <v>Xã Tân Bằng</v>
      </c>
    </row>
    <row r="10533" spans="1:7" x14ac:dyDescent="0.25">
      <c r="A10533" s="2">
        <v>10532</v>
      </c>
      <c r="B10533" s="3" t="s">
        <v>65</v>
      </c>
      <c r="C10533" s="4" t="str">
        <f t="shared" si="969"/>
        <v>Cà Mau</v>
      </c>
      <c r="D10533" s="3" t="s">
        <v>759</v>
      </c>
      <c r="E10533" s="4" t="str">
        <f t="shared" si="972"/>
        <v>Huyện Thới Bình</v>
      </c>
      <c r="F10533" s="3" t="s">
        <v>11292</v>
      </c>
      <c r="G10533" s="4" t="str">
        <f>HYPERLINK("https://diaocthongthai.com/xa-tri-phai-thoi-binh/","Xã Trí Phải")</f>
        <v>Xã Trí Phải</v>
      </c>
    </row>
    <row r="10534" spans="1:7" x14ac:dyDescent="0.25">
      <c r="A10534" s="2">
        <v>10533</v>
      </c>
      <c r="B10534" s="3" t="s">
        <v>65</v>
      </c>
      <c r="C10534" s="4" t="str">
        <f t="shared" si="969"/>
        <v>Cà Mau</v>
      </c>
      <c r="D10534" s="3" t="s">
        <v>759</v>
      </c>
      <c r="E10534" s="4" t="str">
        <f t="shared" si="972"/>
        <v>Huyện Thới Bình</v>
      </c>
      <c r="F10534" s="3" t="s">
        <v>11293</v>
      </c>
      <c r="G10534" s="4" t="str">
        <f>HYPERLINK("https://diaocthongthai.com/xa-tri-luc-thoi-binh/","Xã Trí Lực")</f>
        <v>Xã Trí Lực</v>
      </c>
    </row>
    <row r="10535" spans="1:7" x14ac:dyDescent="0.25">
      <c r="A10535" s="2">
        <v>10534</v>
      </c>
      <c r="B10535" s="3" t="s">
        <v>65</v>
      </c>
      <c r="C10535" s="4" t="str">
        <f t="shared" si="969"/>
        <v>Cà Mau</v>
      </c>
      <c r="D10535" s="3" t="s">
        <v>759</v>
      </c>
      <c r="E10535" s="4" t="str">
        <f t="shared" si="972"/>
        <v>Huyện Thới Bình</v>
      </c>
      <c r="F10535" s="3" t="s">
        <v>11294</v>
      </c>
      <c r="G10535" s="4" t="str">
        <f>HYPERLINK("https://diaocthongthai.com/xa-bien-bach-dong-thoi-binh/","Xã Biển Bạch Đông")</f>
        <v>Xã Biển Bạch Đông</v>
      </c>
    </row>
    <row r="10536" spans="1:7" x14ac:dyDescent="0.25">
      <c r="A10536" s="2">
        <v>10535</v>
      </c>
      <c r="B10536" s="3" t="s">
        <v>65</v>
      </c>
      <c r="C10536" s="4" t="str">
        <f t="shared" si="969"/>
        <v>Cà Mau</v>
      </c>
      <c r="D10536" s="3" t="s">
        <v>759</v>
      </c>
      <c r="E10536" s="4" t="str">
        <f t="shared" si="972"/>
        <v>Huyện Thới Bình</v>
      </c>
      <c r="F10536" s="3" t="s">
        <v>11295</v>
      </c>
      <c r="G10536" s="4" t="str">
        <f>HYPERLINK("https://diaocthongthai.com/xa-thoi-binh-thoi-binh/","Xã Thới Bình")</f>
        <v>Xã Thới Bình</v>
      </c>
    </row>
    <row r="10537" spans="1:7" x14ac:dyDescent="0.25">
      <c r="A10537" s="2">
        <v>10536</v>
      </c>
      <c r="B10537" s="3" t="s">
        <v>65</v>
      </c>
      <c r="C10537" s="4" t="str">
        <f t="shared" ref="C10537:C10568" si="973">HYPERLINK("https://diaocthongthai.com/ban-do-ca-mau/","Cà Mau")</f>
        <v>Cà Mau</v>
      </c>
      <c r="D10537" s="3" t="s">
        <v>759</v>
      </c>
      <c r="E10537" s="4" t="str">
        <f t="shared" si="972"/>
        <v>Huyện Thới Bình</v>
      </c>
      <c r="F10537" s="3" t="s">
        <v>11296</v>
      </c>
      <c r="G10537" s="4" t="str">
        <f>HYPERLINK("https://diaocthongthai.com/xa-tan-phu-thoi-binh/","Xã Tân Phú")</f>
        <v>Xã Tân Phú</v>
      </c>
    </row>
    <row r="10538" spans="1:7" x14ac:dyDescent="0.25">
      <c r="A10538" s="2">
        <v>10537</v>
      </c>
      <c r="B10538" s="3" t="s">
        <v>65</v>
      </c>
      <c r="C10538" s="4" t="str">
        <f t="shared" si="973"/>
        <v>Cà Mau</v>
      </c>
      <c r="D10538" s="3" t="s">
        <v>759</v>
      </c>
      <c r="E10538" s="4" t="str">
        <f t="shared" si="972"/>
        <v>Huyện Thới Bình</v>
      </c>
      <c r="F10538" s="3" t="s">
        <v>11297</v>
      </c>
      <c r="G10538" s="4" t="str">
        <f>HYPERLINK("https://diaocthongthai.com/xa-tan-loc-bac-thoi-binh/","Xã Tân Lộc Bắc")</f>
        <v>Xã Tân Lộc Bắc</v>
      </c>
    </row>
    <row r="10539" spans="1:7" x14ac:dyDescent="0.25">
      <c r="A10539" s="2">
        <v>10538</v>
      </c>
      <c r="B10539" s="3" t="s">
        <v>65</v>
      </c>
      <c r="C10539" s="4" t="str">
        <f t="shared" si="973"/>
        <v>Cà Mau</v>
      </c>
      <c r="D10539" s="3" t="s">
        <v>759</v>
      </c>
      <c r="E10539" s="4" t="str">
        <f t="shared" si="972"/>
        <v>Huyện Thới Bình</v>
      </c>
      <c r="F10539" s="3" t="s">
        <v>11298</v>
      </c>
      <c r="G10539" s="4" t="str">
        <f>HYPERLINK("https://diaocthongthai.com/xa-tan-loc-thoi-binh/","Xã Tân Lộc")</f>
        <v>Xã Tân Lộc</v>
      </c>
    </row>
    <row r="10540" spans="1:7" x14ac:dyDescent="0.25">
      <c r="A10540" s="2">
        <v>10539</v>
      </c>
      <c r="B10540" s="3" t="s">
        <v>65</v>
      </c>
      <c r="C10540" s="4" t="str">
        <f t="shared" si="973"/>
        <v>Cà Mau</v>
      </c>
      <c r="D10540" s="3" t="s">
        <v>759</v>
      </c>
      <c r="E10540" s="4" t="str">
        <f t="shared" si="972"/>
        <v>Huyện Thới Bình</v>
      </c>
      <c r="F10540" s="3" t="s">
        <v>11299</v>
      </c>
      <c r="G10540" s="4" t="str">
        <f>HYPERLINK("https://diaocthongthai.com/xa-tan-loc-dong-thoi-binh/","Xã Tân Lộc Đông")</f>
        <v>Xã Tân Lộc Đông</v>
      </c>
    </row>
    <row r="10541" spans="1:7" x14ac:dyDescent="0.25">
      <c r="A10541" s="2">
        <v>10540</v>
      </c>
      <c r="B10541" s="3" t="s">
        <v>65</v>
      </c>
      <c r="C10541" s="4" t="str">
        <f t="shared" si="973"/>
        <v>Cà Mau</v>
      </c>
      <c r="D10541" s="3" t="s">
        <v>759</v>
      </c>
      <c r="E10541" s="4" t="str">
        <f t="shared" si="972"/>
        <v>Huyện Thới Bình</v>
      </c>
      <c r="F10541" s="3" t="s">
        <v>11300</v>
      </c>
      <c r="G10541" s="4" t="str">
        <f>HYPERLINK("https://diaocthongthai.com/xa-ho-thi-ky-thoi-binh/","Xã Hồ Thị Kỷ")</f>
        <v>Xã Hồ Thị Kỷ</v>
      </c>
    </row>
    <row r="10542" spans="1:7" x14ac:dyDescent="0.25">
      <c r="A10542" s="2">
        <v>10541</v>
      </c>
      <c r="B10542" s="3" t="s">
        <v>65</v>
      </c>
      <c r="C10542" s="4" t="str">
        <f t="shared" si="973"/>
        <v>Cà Mau</v>
      </c>
      <c r="D10542" s="3" t="s">
        <v>760</v>
      </c>
      <c r="E10542" s="4" t="str">
        <f t="shared" ref="E10542:E10554" si="974">HYPERLINK("https://diaocthongthai.com/ban-do-huyen-tran-van-thoi-ca-mau/","Huyện Trần Văn Thời")</f>
        <v>Huyện Trần Văn Thời</v>
      </c>
      <c r="F10542" s="3" t="s">
        <v>11301</v>
      </c>
      <c r="G10542" s="4" t="str">
        <f>HYPERLINK("https://diaocthongthai.com/thi-tran-tran-van-thoi-tran-van-thoi/","Thị trấn Trần Văn Thời")</f>
        <v>Thị trấn Trần Văn Thời</v>
      </c>
    </row>
    <row r="10543" spans="1:7" x14ac:dyDescent="0.25">
      <c r="A10543" s="2">
        <v>10542</v>
      </c>
      <c r="B10543" s="3" t="s">
        <v>65</v>
      </c>
      <c r="C10543" s="4" t="str">
        <f t="shared" si="973"/>
        <v>Cà Mau</v>
      </c>
      <c r="D10543" s="3" t="s">
        <v>760</v>
      </c>
      <c r="E10543" s="4" t="str">
        <f t="shared" si="974"/>
        <v>Huyện Trần Văn Thời</v>
      </c>
      <c r="F10543" s="3" t="s">
        <v>11302</v>
      </c>
      <c r="G10543" s="4" t="str">
        <f>HYPERLINK("https://diaocthongthai.com/thi-tran-song-doc-tran-van-thoi/","Thị trấn Sông Đốc")</f>
        <v>Thị trấn Sông Đốc</v>
      </c>
    </row>
    <row r="10544" spans="1:7" x14ac:dyDescent="0.25">
      <c r="A10544" s="2">
        <v>10543</v>
      </c>
      <c r="B10544" s="3" t="s">
        <v>65</v>
      </c>
      <c r="C10544" s="4" t="str">
        <f t="shared" si="973"/>
        <v>Cà Mau</v>
      </c>
      <c r="D10544" s="3" t="s">
        <v>760</v>
      </c>
      <c r="E10544" s="4" t="str">
        <f t="shared" si="974"/>
        <v>Huyện Trần Văn Thời</v>
      </c>
      <c r="F10544" s="3" t="s">
        <v>11303</v>
      </c>
      <c r="G10544" s="4" t="str">
        <f>HYPERLINK("https://diaocthongthai.com/xa-khanh-binh-tay-bac-tran-van-thoi/","Xã Khánh Bình Tây Bắc")</f>
        <v>Xã Khánh Bình Tây Bắc</v>
      </c>
    </row>
    <row r="10545" spans="1:7" x14ac:dyDescent="0.25">
      <c r="A10545" s="2">
        <v>10544</v>
      </c>
      <c r="B10545" s="3" t="s">
        <v>65</v>
      </c>
      <c r="C10545" s="4" t="str">
        <f t="shared" si="973"/>
        <v>Cà Mau</v>
      </c>
      <c r="D10545" s="3" t="s">
        <v>760</v>
      </c>
      <c r="E10545" s="4" t="str">
        <f t="shared" si="974"/>
        <v>Huyện Trần Văn Thời</v>
      </c>
      <c r="F10545" s="3" t="s">
        <v>11304</v>
      </c>
      <c r="G10545" s="4" t="str">
        <f>HYPERLINK("https://diaocthongthai.com/xa-khanh-binh-tay-tran-van-thoi/","Xã Khánh Bình Tây")</f>
        <v>Xã Khánh Bình Tây</v>
      </c>
    </row>
    <row r="10546" spans="1:7" x14ac:dyDescent="0.25">
      <c r="A10546" s="2">
        <v>10545</v>
      </c>
      <c r="B10546" s="3" t="s">
        <v>65</v>
      </c>
      <c r="C10546" s="4" t="str">
        <f t="shared" si="973"/>
        <v>Cà Mau</v>
      </c>
      <c r="D10546" s="3" t="s">
        <v>760</v>
      </c>
      <c r="E10546" s="4" t="str">
        <f t="shared" si="974"/>
        <v>Huyện Trần Văn Thời</v>
      </c>
      <c r="F10546" s="3" t="s">
        <v>11305</v>
      </c>
      <c r="G10546" s="4" t="str">
        <f>HYPERLINK("https://diaocthongthai.com/xa-tran-hoi-tran-van-thoi/","Xã Trần Hợi")</f>
        <v>Xã Trần Hợi</v>
      </c>
    </row>
    <row r="10547" spans="1:7" x14ac:dyDescent="0.25">
      <c r="A10547" s="2">
        <v>10546</v>
      </c>
      <c r="B10547" s="3" t="s">
        <v>65</v>
      </c>
      <c r="C10547" s="4" t="str">
        <f t="shared" si="973"/>
        <v>Cà Mau</v>
      </c>
      <c r="D10547" s="3" t="s">
        <v>760</v>
      </c>
      <c r="E10547" s="4" t="str">
        <f t="shared" si="974"/>
        <v>Huyện Trần Văn Thời</v>
      </c>
      <c r="F10547" s="3" t="s">
        <v>11306</v>
      </c>
      <c r="G10547" s="4" t="str">
        <f>HYPERLINK("https://diaocthongthai.com/xa-khanh-loc-tran-van-thoi/","Xã Khánh Lộc")</f>
        <v>Xã Khánh Lộc</v>
      </c>
    </row>
    <row r="10548" spans="1:7" x14ac:dyDescent="0.25">
      <c r="A10548" s="2">
        <v>10547</v>
      </c>
      <c r="B10548" s="3" t="s">
        <v>65</v>
      </c>
      <c r="C10548" s="4" t="str">
        <f t="shared" si="973"/>
        <v>Cà Mau</v>
      </c>
      <c r="D10548" s="3" t="s">
        <v>760</v>
      </c>
      <c r="E10548" s="4" t="str">
        <f t="shared" si="974"/>
        <v>Huyện Trần Văn Thời</v>
      </c>
      <c r="F10548" s="3" t="s">
        <v>11307</v>
      </c>
      <c r="G10548" s="4" t="str">
        <f>HYPERLINK("https://diaocthongthai.com/xa-khanh-binh-tran-van-thoi/","Xã Khánh Bình")</f>
        <v>Xã Khánh Bình</v>
      </c>
    </row>
    <row r="10549" spans="1:7" x14ac:dyDescent="0.25">
      <c r="A10549" s="2">
        <v>10548</v>
      </c>
      <c r="B10549" s="3" t="s">
        <v>65</v>
      </c>
      <c r="C10549" s="4" t="str">
        <f t="shared" si="973"/>
        <v>Cà Mau</v>
      </c>
      <c r="D10549" s="3" t="s">
        <v>760</v>
      </c>
      <c r="E10549" s="4" t="str">
        <f t="shared" si="974"/>
        <v>Huyện Trần Văn Thời</v>
      </c>
      <c r="F10549" s="3" t="s">
        <v>11308</v>
      </c>
      <c r="G10549" s="4" t="str">
        <f>HYPERLINK("https://diaocthongthai.com/xa-khanh-hung-tran-van-thoi/","Xã Khánh Hưng")</f>
        <v>Xã Khánh Hưng</v>
      </c>
    </row>
    <row r="10550" spans="1:7" x14ac:dyDescent="0.25">
      <c r="A10550" s="2">
        <v>10549</v>
      </c>
      <c r="B10550" s="3" t="s">
        <v>65</v>
      </c>
      <c r="C10550" s="4" t="str">
        <f t="shared" si="973"/>
        <v>Cà Mau</v>
      </c>
      <c r="D10550" s="3" t="s">
        <v>760</v>
      </c>
      <c r="E10550" s="4" t="str">
        <f t="shared" si="974"/>
        <v>Huyện Trần Văn Thời</v>
      </c>
      <c r="F10550" s="3" t="s">
        <v>11309</v>
      </c>
      <c r="G10550" s="4" t="str">
        <f>HYPERLINK("https://diaocthongthai.com/xa-khanh-binh-dong-tran-van-thoi/","Xã Khánh Bình Đông")</f>
        <v>Xã Khánh Bình Đông</v>
      </c>
    </row>
    <row r="10551" spans="1:7" x14ac:dyDescent="0.25">
      <c r="A10551" s="2">
        <v>10550</v>
      </c>
      <c r="B10551" s="3" t="s">
        <v>65</v>
      </c>
      <c r="C10551" s="4" t="str">
        <f t="shared" si="973"/>
        <v>Cà Mau</v>
      </c>
      <c r="D10551" s="3" t="s">
        <v>760</v>
      </c>
      <c r="E10551" s="4" t="str">
        <f t="shared" si="974"/>
        <v>Huyện Trần Văn Thời</v>
      </c>
      <c r="F10551" s="3" t="s">
        <v>11310</v>
      </c>
      <c r="G10551" s="4" t="str">
        <f>HYPERLINK("https://diaocthongthai.com/xa-khanh-hai-tran-van-thoi/","Xã Khánh Hải")</f>
        <v>Xã Khánh Hải</v>
      </c>
    </row>
    <row r="10552" spans="1:7" x14ac:dyDescent="0.25">
      <c r="A10552" s="2">
        <v>10551</v>
      </c>
      <c r="B10552" s="3" t="s">
        <v>65</v>
      </c>
      <c r="C10552" s="4" t="str">
        <f t="shared" si="973"/>
        <v>Cà Mau</v>
      </c>
      <c r="D10552" s="3" t="s">
        <v>760</v>
      </c>
      <c r="E10552" s="4" t="str">
        <f t="shared" si="974"/>
        <v>Huyện Trần Văn Thời</v>
      </c>
      <c r="F10552" s="3" t="s">
        <v>11311</v>
      </c>
      <c r="G10552" s="4" t="str">
        <f>HYPERLINK("https://diaocthongthai.com/xa-loi-an-tran-van-thoi/","Xã Lợi An")</f>
        <v>Xã Lợi An</v>
      </c>
    </row>
    <row r="10553" spans="1:7" x14ac:dyDescent="0.25">
      <c r="A10553" s="2">
        <v>10552</v>
      </c>
      <c r="B10553" s="3" t="s">
        <v>65</v>
      </c>
      <c r="C10553" s="4" t="str">
        <f t="shared" si="973"/>
        <v>Cà Mau</v>
      </c>
      <c r="D10553" s="3" t="s">
        <v>760</v>
      </c>
      <c r="E10553" s="4" t="str">
        <f t="shared" si="974"/>
        <v>Huyện Trần Văn Thời</v>
      </c>
      <c r="F10553" s="3" t="s">
        <v>11312</v>
      </c>
      <c r="G10553" s="4" t="str">
        <f>HYPERLINK("https://diaocthongthai.com/xa-phong-dien-tran-van-thoi/","Xã Phong Điền")</f>
        <v>Xã Phong Điền</v>
      </c>
    </row>
    <row r="10554" spans="1:7" x14ac:dyDescent="0.25">
      <c r="A10554" s="2">
        <v>10553</v>
      </c>
      <c r="B10554" s="3" t="s">
        <v>65</v>
      </c>
      <c r="C10554" s="4" t="str">
        <f t="shared" si="973"/>
        <v>Cà Mau</v>
      </c>
      <c r="D10554" s="3" t="s">
        <v>760</v>
      </c>
      <c r="E10554" s="4" t="str">
        <f t="shared" si="974"/>
        <v>Huyện Trần Văn Thời</v>
      </c>
      <c r="F10554" s="3" t="s">
        <v>11313</v>
      </c>
      <c r="G10554" s="4" t="str">
        <f>HYPERLINK("https://diaocthongthai.com/xa-phong-lac-tran-van-thoi/","Xã Phong Lạc")</f>
        <v>Xã Phong Lạc</v>
      </c>
    </row>
    <row r="10555" spans="1:7" x14ac:dyDescent="0.25">
      <c r="A10555" s="2">
        <v>10554</v>
      </c>
      <c r="B10555" s="3" t="s">
        <v>65</v>
      </c>
      <c r="C10555" s="4" t="str">
        <f t="shared" si="973"/>
        <v>Cà Mau</v>
      </c>
      <c r="D10555" s="3" t="s">
        <v>761</v>
      </c>
      <c r="E10555" s="4" t="str">
        <f t="shared" ref="E10555:E10565" si="975">HYPERLINK("https://diaocthongthai.com/ban-do-huyen-cai-nuoc-ca-mau/","Huyện Cái Nước")</f>
        <v>Huyện Cái Nước</v>
      </c>
      <c r="F10555" s="3" t="s">
        <v>11314</v>
      </c>
      <c r="G10555" s="4" t="str">
        <f>HYPERLINK("https://diaocthongthai.com/thi-tran-cai-nuoc-cai-nuoc/","Thị trấn Cái Nước")</f>
        <v>Thị trấn Cái Nước</v>
      </c>
    </row>
    <row r="10556" spans="1:7" x14ac:dyDescent="0.25">
      <c r="A10556" s="2">
        <v>10555</v>
      </c>
      <c r="B10556" s="3" t="s">
        <v>65</v>
      </c>
      <c r="C10556" s="4" t="str">
        <f t="shared" si="973"/>
        <v>Cà Mau</v>
      </c>
      <c r="D10556" s="3" t="s">
        <v>761</v>
      </c>
      <c r="E10556" s="4" t="str">
        <f t="shared" si="975"/>
        <v>Huyện Cái Nước</v>
      </c>
      <c r="F10556" s="3" t="s">
        <v>11315</v>
      </c>
      <c r="G10556" s="4" t="str">
        <f>HYPERLINK("https://diaocthongthai.com/xa-thanh-phu-cai-nuoc/","Xã Thạnh Phú")</f>
        <v>Xã Thạnh Phú</v>
      </c>
    </row>
    <row r="10557" spans="1:7" x14ac:dyDescent="0.25">
      <c r="A10557" s="2">
        <v>10556</v>
      </c>
      <c r="B10557" s="3" t="s">
        <v>65</v>
      </c>
      <c r="C10557" s="4" t="str">
        <f t="shared" si="973"/>
        <v>Cà Mau</v>
      </c>
      <c r="D10557" s="3" t="s">
        <v>761</v>
      </c>
      <c r="E10557" s="4" t="str">
        <f t="shared" si="975"/>
        <v>Huyện Cái Nước</v>
      </c>
      <c r="F10557" s="3" t="s">
        <v>11316</v>
      </c>
      <c r="G10557" s="4" t="str">
        <f>HYPERLINK("https://diaocthongthai.com/xa-luong-the-tran-cai-nuoc/","Xã Lương Thế Trân")</f>
        <v>Xã Lương Thế Trân</v>
      </c>
    </row>
    <row r="10558" spans="1:7" x14ac:dyDescent="0.25">
      <c r="A10558" s="2">
        <v>10557</v>
      </c>
      <c r="B10558" s="3" t="s">
        <v>65</v>
      </c>
      <c r="C10558" s="4" t="str">
        <f t="shared" si="973"/>
        <v>Cà Mau</v>
      </c>
      <c r="D10558" s="3" t="s">
        <v>761</v>
      </c>
      <c r="E10558" s="4" t="str">
        <f t="shared" si="975"/>
        <v>Huyện Cái Nước</v>
      </c>
      <c r="F10558" s="3" t="s">
        <v>11317</v>
      </c>
      <c r="G10558" s="4" t="str">
        <f>HYPERLINK("https://diaocthongthai.com/xa-phu-hung-cai-nuoc/","Xã Phú Hưng")</f>
        <v>Xã Phú Hưng</v>
      </c>
    </row>
    <row r="10559" spans="1:7" x14ac:dyDescent="0.25">
      <c r="A10559" s="2">
        <v>10558</v>
      </c>
      <c r="B10559" s="3" t="s">
        <v>65</v>
      </c>
      <c r="C10559" s="4" t="str">
        <f t="shared" si="973"/>
        <v>Cà Mau</v>
      </c>
      <c r="D10559" s="3" t="s">
        <v>761</v>
      </c>
      <c r="E10559" s="4" t="str">
        <f t="shared" si="975"/>
        <v>Huyện Cái Nước</v>
      </c>
      <c r="F10559" s="3" t="s">
        <v>11318</v>
      </c>
      <c r="G10559" s="4" t="str">
        <f>HYPERLINK("https://diaocthongthai.com/xa-tan-hung-cai-nuoc/","Xã Tân Hưng")</f>
        <v>Xã Tân Hưng</v>
      </c>
    </row>
    <row r="10560" spans="1:7" x14ac:dyDescent="0.25">
      <c r="A10560" s="2">
        <v>10559</v>
      </c>
      <c r="B10560" s="3" t="s">
        <v>65</v>
      </c>
      <c r="C10560" s="4" t="str">
        <f t="shared" si="973"/>
        <v>Cà Mau</v>
      </c>
      <c r="D10560" s="3" t="s">
        <v>761</v>
      </c>
      <c r="E10560" s="4" t="str">
        <f t="shared" si="975"/>
        <v>Huyện Cái Nước</v>
      </c>
      <c r="F10560" s="3" t="s">
        <v>11319</v>
      </c>
      <c r="G10560" s="4" t="str">
        <f>HYPERLINK("https://diaocthongthai.com/xa-hung-my-cai-nuoc/","Xã Hưng Mỹ")</f>
        <v>Xã Hưng Mỹ</v>
      </c>
    </row>
    <row r="10561" spans="1:7" x14ac:dyDescent="0.25">
      <c r="A10561" s="2">
        <v>10560</v>
      </c>
      <c r="B10561" s="3" t="s">
        <v>65</v>
      </c>
      <c r="C10561" s="4" t="str">
        <f t="shared" si="973"/>
        <v>Cà Mau</v>
      </c>
      <c r="D10561" s="3" t="s">
        <v>761</v>
      </c>
      <c r="E10561" s="4" t="str">
        <f t="shared" si="975"/>
        <v>Huyện Cái Nước</v>
      </c>
      <c r="F10561" s="3" t="s">
        <v>11320</v>
      </c>
      <c r="G10561" s="4" t="str">
        <f>HYPERLINK("https://diaocthongthai.com/xa-hoa-my-cai-nuoc/","Xã Hoà Mỹ")</f>
        <v>Xã Hoà Mỹ</v>
      </c>
    </row>
    <row r="10562" spans="1:7" x14ac:dyDescent="0.25">
      <c r="A10562" s="2">
        <v>10561</v>
      </c>
      <c r="B10562" s="3" t="s">
        <v>65</v>
      </c>
      <c r="C10562" s="4" t="str">
        <f t="shared" si="973"/>
        <v>Cà Mau</v>
      </c>
      <c r="D10562" s="3" t="s">
        <v>761</v>
      </c>
      <c r="E10562" s="4" t="str">
        <f t="shared" si="975"/>
        <v>Huyện Cái Nước</v>
      </c>
      <c r="F10562" s="3" t="s">
        <v>11321</v>
      </c>
      <c r="G10562" s="4" t="str">
        <f>HYPERLINK("https://diaocthongthai.com/xa-dong-hung-cai-nuoc/","Xã Đông Hưng")</f>
        <v>Xã Đông Hưng</v>
      </c>
    </row>
    <row r="10563" spans="1:7" x14ac:dyDescent="0.25">
      <c r="A10563" s="2">
        <v>10562</v>
      </c>
      <c r="B10563" s="3" t="s">
        <v>65</v>
      </c>
      <c r="C10563" s="4" t="str">
        <f t="shared" si="973"/>
        <v>Cà Mau</v>
      </c>
      <c r="D10563" s="3" t="s">
        <v>761</v>
      </c>
      <c r="E10563" s="4" t="str">
        <f t="shared" si="975"/>
        <v>Huyện Cái Nước</v>
      </c>
      <c r="F10563" s="3" t="s">
        <v>11322</v>
      </c>
      <c r="G10563" s="4" t="str">
        <f>HYPERLINK("https://diaocthongthai.com/xa-dong-thoi-cai-nuoc/","Xã Đông Thới")</f>
        <v>Xã Đông Thới</v>
      </c>
    </row>
    <row r="10564" spans="1:7" x14ac:dyDescent="0.25">
      <c r="A10564" s="2">
        <v>10563</v>
      </c>
      <c r="B10564" s="3" t="s">
        <v>65</v>
      </c>
      <c r="C10564" s="4" t="str">
        <f t="shared" si="973"/>
        <v>Cà Mau</v>
      </c>
      <c r="D10564" s="3" t="s">
        <v>761</v>
      </c>
      <c r="E10564" s="4" t="str">
        <f t="shared" si="975"/>
        <v>Huyện Cái Nước</v>
      </c>
      <c r="F10564" s="3" t="s">
        <v>11323</v>
      </c>
      <c r="G10564" s="4" t="str">
        <f>HYPERLINK("https://diaocthongthai.com/xa-tan-hung-dong-cai-nuoc/","Xã Tân Hưng Đông")</f>
        <v>Xã Tân Hưng Đông</v>
      </c>
    </row>
    <row r="10565" spans="1:7" x14ac:dyDescent="0.25">
      <c r="A10565" s="2">
        <v>10564</v>
      </c>
      <c r="B10565" s="3" t="s">
        <v>65</v>
      </c>
      <c r="C10565" s="4" t="str">
        <f t="shared" si="973"/>
        <v>Cà Mau</v>
      </c>
      <c r="D10565" s="3" t="s">
        <v>761</v>
      </c>
      <c r="E10565" s="4" t="str">
        <f t="shared" si="975"/>
        <v>Huyện Cái Nước</v>
      </c>
      <c r="F10565" s="3" t="s">
        <v>11324</v>
      </c>
      <c r="G10565" s="4" t="str">
        <f>HYPERLINK("https://diaocthongthai.com/xa-tran-thoi-cai-nuoc/","Xã Trần Thới")</f>
        <v>Xã Trần Thới</v>
      </c>
    </row>
    <row r="10566" spans="1:7" x14ac:dyDescent="0.25">
      <c r="A10566" s="2">
        <v>10565</v>
      </c>
      <c r="B10566" s="3" t="s">
        <v>65</v>
      </c>
      <c r="C10566" s="4" t="str">
        <f t="shared" si="973"/>
        <v>Cà Mau</v>
      </c>
      <c r="D10566" s="3" t="s">
        <v>762</v>
      </c>
      <c r="E10566" s="4" t="str">
        <f t="shared" ref="E10566:E10581" si="976">HYPERLINK("https://diaocthongthai.com/ban-do-huyen-dam-doi-ca-mau/","Huyện Đầm Dơi")</f>
        <v>Huyện Đầm Dơi</v>
      </c>
      <c r="F10566" s="3" t="s">
        <v>11325</v>
      </c>
      <c r="G10566" s="4" t="str">
        <f>HYPERLINK("https://diaocthongthai.com/thi-tran-dam-doi-dam-doi/","Thị trấn Đầm Dơi")</f>
        <v>Thị trấn Đầm Dơi</v>
      </c>
    </row>
    <row r="10567" spans="1:7" x14ac:dyDescent="0.25">
      <c r="A10567" s="2">
        <v>10566</v>
      </c>
      <c r="B10567" s="3" t="s">
        <v>65</v>
      </c>
      <c r="C10567" s="4" t="str">
        <f t="shared" si="973"/>
        <v>Cà Mau</v>
      </c>
      <c r="D10567" s="3" t="s">
        <v>762</v>
      </c>
      <c r="E10567" s="4" t="str">
        <f t="shared" si="976"/>
        <v>Huyện Đầm Dơi</v>
      </c>
      <c r="F10567" s="3" t="s">
        <v>11326</v>
      </c>
      <c r="G10567" s="4" t="str">
        <f>HYPERLINK("https://diaocthongthai.com/xa-ta-an-khuong-dam-doi/","Xã Tạ An Khương")</f>
        <v>Xã Tạ An Khương</v>
      </c>
    </row>
    <row r="10568" spans="1:7" x14ac:dyDescent="0.25">
      <c r="A10568" s="2">
        <v>10567</v>
      </c>
      <c r="B10568" s="3" t="s">
        <v>65</v>
      </c>
      <c r="C10568" s="4" t="str">
        <f t="shared" si="973"/>
        <v>Cà Mau</v>
      </c>
      <c r="D10568" s="3" t="s">
        <v>762</v>
      </c>
      <c r="E10568" s="4" t="str">
        <f t="shared" si="976"/>
        <v>Huyện Đầm Dơi</v>
      </c>
      <c r="F10568" s="3" t="s">
        <v>11327</v>
      </c>
      <c r="G10568" s="4" t="str">
        <f>HYPERLINK("https://diaocthongthai.com/xa-ta-an-khuong-dong-dam-doi/","Xã Tạ An Khương  Đông")</f>
        <v>Xã Tạ An Khương  Đông</v>
      </c>
    </row>
    <row r="10569" spans="1:7" x14ac:dyDescent="0.25">
      <c r="A10569" s="2">
        <v>10568</v>
      </c>
      <c r="B10569" s="3" t="s">
        <v>65</v>
      </c>
      <c r="C10569" s="4" t="str">
        <f t="shared" ref="C10569:C10605" si="977">HYPERLINK("https://diaocthongthai.com/ban-do-ca-mau/","Cà Mau")</f>
        <v>Cà Mau</v>
      </c>
      <c r="D10569" s="3" t="s">
        <v>762</v>
      </c>
      <c r="E10569" s="4" t="str">
        <f t="shared" si="976"/>
        <v>Huyện Đầm Dơi</v>
      </c>
      <c r="F10569" s="3" t="s">
        <v>11328</v>
      </c>
      <c r="G10569" s="4" t="str">
        <f>HYPERLINK("https://diaocthongthai.com/xa-tran-phan-dam-doi/","Xã Trần Phán")</f>
        <v>Xã Trần Phán</v>
      </c>
    </row>
    <row r="10570" spans="1:7" x14ac:dyDescent="0.25">
      <c r="A10570" s="2">
        <v>10569</v>
      </c>
      <c r="B10570" s="3" t="s">
        <v>65</v>
      </c>
      <c r="C10570" s="4" t="str">
        <f t="shared" si="977"/>
        <v>Cà Mau</v>
      </c>
      <c r="D10570" s="3" t="s">
        <v>762</v>
      </c>
      <c r="E10570" s="4" t="str">
        <f t="shared" si="976"/>
        <v>Huyện Đầm Dơi</v>
      </c>
      <c r="F10570" s="3" t="s">
        <v>11329</v>
      </c>
      <c r="G10570" s="4" t="str">
        <f>HYPERLINK("https://diaocthongthai.com/xa-tan-trung-dam-doi/","Xã Tân Trung")</f>
        <v>Xã Tân Trung</v>
      </c>
    </row>
    <row r="10571" spans="1:7" x14ac:dyDescent="0.25">
      <c r="A10571" s="2">
        <v>10570</v>
      </c>
      <c r="B10571" s="3" t="s">
        <v>65</v>
      </c>
      <c r="C10571" s="4" t="str">
        <f t="shared" si="977"/>
        <v>Cà Mau</v>
      </c>
      <c r="D10571" s="3" t="s">
        <v>762</v>
      </c>
      <c r="E10571" s="4" t="str">
        <f t="shared" si="976"/>
        <v>Huyện Đầm Dơi</v>
      </c>
      <c r="F10571" s="3" t="s">
        <v>11330</v>
      </c>
      <c r="G10571" s="4" t="str">
        <f>HYPERLINK("https://diaocthongthai.com/xa-tan-duc-dam-doi/","Xã Tân Đức")</f>
        <v>Xã Tân Đức</v>
      </c>
    </row>
    <row r="10572" spans="1:7" x14ac:dyDescent="0.25">
      <c r="A10572" s="2">
        <v>10571</v>
      </c>
      <c r="B10572" s="3" t="s">
        <v>65</v>
      </c>
      <c r="C10572" s="4" t="str">
        <f t="shared" si="977"/>
        <v>Cà Mau</v>
      </c>
      <c r="D10572" s="3" t="s">
        <v>762</v>
      </c>
      <c r="E10572" s="4" t="str">
        <f t="shared" si="976"/>
        <v>Huyện Đầm Dơi</v>
      </c>
      <c r="F10572" s="3" t="s">
        <v>11331</v>
      </c>
      <c r="G10572" s="4" t="str">
        <f>HYPERLINK("https://diaocthongthai.com/xa-tan-thuan-dam-doi/","Xã Tân Thuận")</f>
        <v>Xã Tân Thuận</v>
      </c>
    </row>
    <row r="10573" spans="1:7" x14ac:dyDescent="0.25">
      <c r="A10573" s="2">
        <v>10572</v>
      </c>
      <c r="B10573" s="3" t="s">
        <v>65</v>
      </c>
      <c r="C10573" s="4" t="str">
        <f t="shared" si="977"/>
        <v>Cà Mau</v>
      </c>
      <c r="D10573" s="3" t="s">
        <v>762</v>
      </c>
      <c r="E10573" s="4" t="str">
        <f t="shared" si="976"/>
        <v>Huyện Đầm Dơi</v>
      </c>
      <c r="F10573" s="3" t="s">
        <v>11332</v>
      </c>
      <c r="G10573" s="4" t="str">
        <f>HYPERLINK("https://diaocthongthai.com/xa-ta-an-khuong-nam-dam-doi/","Xã Tạ An Khương  Nam")</f>
        <v>Xã Tạ An Khương  Nam</v>
      </c>
    </row>
    <row r="10574" spans="1:7" x14ac:dyDescent="0.25">
      <c r="A10574" s="2">
        <v>10573</v>
      </c>
      <c r="B10574" s="3" t="s">
        <v>65</v>
      </c>
      <c r="C10574" s="4" t="str">
        <f t="shared" si="977"/>
        <v>Cà Mau</v>
      </c>
      <c r="D10574" s="3" t="s">
        <v>762</v>
      </c>
      <c r="E10574" s="4" t="str">
        <f t="shared" si="976"/>
        <v>Huyện Đầm Dơi</v>
      </c>
      <c r="F10574" s="3" t="s">
        <v>11333</v>
      </c>
      <c r="G10574" s="4" t="str">
        <f>HYPERLINK("https://diaocthongthai.com/xa-tan-duyet-dam-doi/","Xã Tân Duyệt")</f>
        <v>Xã Tân Duyệt</v>
      </c>
    </row>
    <row r="10575" spans="1:7" x14ac:dyDescent="0.25">
      <c r="A10575" s="2">
        <v>10574</v>
      </c>
      <c r="B10575" s="3" t="s">
        <v>65</v>
      </c>
      <c r="C10575" s="4" t="str">
        <f t="shared" si="977"/>
        <v>Cà Mau</v>
      </c>
      <c r="D10575" s="3" t="s">
        <v>762</v>
      </c>
      <c r="E10575" s="4" t="str">
        <f t="shared" si="976"/>
        <v>Huyện Đầm Dơi</v>
      </c>
      <c r="F10575" s="3" t="s">
        <v>11334</v>
      </c>
      <c r="G10575" s="4" t="str">
        <f>HYPERLINK("https://diaocthongthai.com/xa-tan-dan-dam-doi/","Xã Tân Dân")</f>
        <v>Xã Tân Dân</v>
      </c>
    </row>
    <row r="10576" spans="1:7" x14ac:dyDescent="0.25">
      <c r="A10576" s="2">
        <v>10575</v>
      </c>
      <c r="B10576" s="3" t="s">
        <v>65</v>
      </c>
      <c r="C10576" s="4" t="str">
        <f t="shared" si="977"/>
        <v>Cà Mau</v>
      </c>
      <c r="D10576" s="3" t="s">
        <v>762</v>
      </c>
      <c r="E10576" s="4" t="str">
        <f t="shared" si="976"/>
        <v>Huyện Đầm Dơi</v>
      </c>
      <c r="F10576" s="3" t="s">
        <v>11335</v>
      </c>
      <c r="G10576" s="4" t="str">
        <f>HYPERLINK("https://diaocthongthai.com/xa-tan-tien-dam-doi/","Xã Tân Tiến")</f>
        <v>Xã Tân Tiến</v>
      </c>
    </row>
    <row r="10577" spans="1:7" x14ac:dyDescent="0.25">
      <c r="A10577" s="2">
        <v>10576</v>
      </c>
      <c r="B10577" s="3" t="s">
        <v>65</v>
      </c>
      <c r="C10577" s="4" t="str">
        <f t="shared" si="977"/>
        <v>Cà Mau</v>
      </c>
      <c r="D10577" s="3" t="s">
        <v>762</v>
      </c>
      <c r="E10577" s="4" t="str">
        <f t="shared" si="976"/>
        <v>Huyện Đầm Dơi</v>
      </c>
      <c r="F10577" s="3" t="s">
        <v>11336</v>
      </c>
      <c r="G10577" s="4" t="str">
        <f>HYPERLINK("https://diaocthongthai.com/xa-quach-pham-bac-dam-doi/","Xã Quách Phẩm Bắc")</f>
        <v>Xã Quách Phẩm Bắc</v>
      </c>
    </row>
    <row r="10578" spans="1:7" x14ac:dyDescent="0.25">
      <c r="A10578" s="2">
        <v>10577</v>
      </c>
      <c r="B10578" s="3" t="s">
        <v>65</v>
      </c>
      <c r="C10578" s="4" t="str">
        <f t="shared" si="977"/>
        <v>Cà Mau</v>
      </c>
      <c r="D10578" s="3" t="s">
        <v>762</v>
      </c>
      <c r="E10578" s="4" t="str">
        <f t="shared" si="976"/>
        <v>Huyện Đầm Dơi</v>
      </c>
      <c r="F10578" s="3" t="s">
        <v>11337</v>
      </c>
      <c r="G10578" s="4" t="str">
        <f>HYPERLINK("https://diaocthongthai.com/xa-quach-pham-dam-doi/","Xã Quách Phẩm")</f>
        <v>Xã Quách Phẩm</v>
      </c>
    </row>
    <row r="10579" spans="1:7" x14ac:dyDescent="0.25">
      <c r="A10579" s="2">
        <v>10578</v>
      </c>
      <c r="B10579" s="3" t="s">
        <v>65</v>
      </c>
      <c r="C10579" s="4" t="str">
        <f t="shared" si="977"/>
        <v>Cà Mau</v>
      </c>
      <c r="D10579" s="3" t="s">
        <v>762</v>
      </c>
      <c r="E10579" s="4" t="str">
        <f t="shared" si="976"/>
        <v>Huyện Đầm Dơi</v>
      </c>
      <c r="F10579" s="3" t="s">
        <v>11338</v>
      </c>
      <c r="G10579" s="4" t="str">
        <f>HYPERLINK("https://diaocthongthai.com/xa-thanh-tung-dam-doi/","Xã Thanh Tùng")</f>
        <v>Xã Thanh Tùng</v>
      </c>
    </row>
    <row r="10580" spans="1:7" x14ac:dyDescent="0.25">
      <c r="A10580" s="2">
        <v>10579</v>
      </c>
      <c r="B10580" s="3" t="s">
        <v>65</v>
      </c>
      <c r="C10580" s="4" t="str">
        <f t="shared" si="977"/>
        <v>Cà Mau</v>
      </c>
      <c r="D10580" s="3" t="s">
        <v>762</v>
      </c>
      <c r="E10580" s="4" t="str">
        <f t="shared" si="976"/>
        <v>Huyện Đầm Dơi</v>
      </c>
      <c r="F10580" s="3" t="s">
        <v>11339</v>
      </c>
      <c r="G10580" s="4" t="str">
        <f>HYPERLINK("https://diaocthongthai.com/xa-ngoc-chanh-dam-doi/","Xã Ngọc Chánh")</f>
        <v>Xã Ngọc Chánh</v>
      </c>
    </row>
    <row r="10581" spans="1:7" x14ac:dyDescent="0.25">
      <c r="A10581" s="2">
        <v>10580</v>
      </c>
      <c r="B10581" s="3" t="s">
        <v>65</v>
      </c>
      <c r="C10581" s="4" t="str">
        <f t="shared" si="977"/>
        <v>Cà Mau</v>
      </c>
      <c r="D10581" s="3" t="s">
        <v>762</v>
      </c>
      <c r="E10581" s="4" t="str">
        <f t="shared" si="976"/>
        <v>Huyện Đầm Dơi</v>
      </c>
      <c r="F10581" s="3" t="s">
        <v>11340</v>
      </c>
      <c r="G10581" s="4" t="str">
        <f>HYPERLINK("https://diaocthongthai.com/xa-nguyen-huan-dam-doi/","Xã Nguyễn Huân")</f>
        <v>Xã Nguyễn Huân</v>
      </c>
    </row>
    <row r="10582" spans="1:7" x14ac:dyDescent="0.25">
      <c r="A10582" s="2">
        <v>10581</v>
      </c>
      <c r="B10582" s="3" t="s">
        <v>65</v>
      </c>
      <c r="C10582" s="4" t="str">
        <f t="shared" si="977"/>
        <v>Cà Mau</v>
      </c>
      <c r="D10582" s="3" t="s">
        <v>763</v>
      </c>
      <c r="E10582" s="4" t="str">
        <f t="shared" ref="E10582:E10589" si="978">HYPERLINK("https://diaocthongthai.com/ban-do-huyen-nam-can-ca-mau/","Huyện Năm Căn")</f>
        <v>Huyện Năm Căn</v>
      </c>
      <c r="F10582" s="3" t="s">
        <v>11341</v>
      </c>
      <c r="G10582" s="4" t="str">
        <f>HYPERLINK("https://diaocthongthai.com/thi-tran-nam-can-nam-can/","Thị Trấn Năm Căn")</f>
        <v>Thị Trấn Năm Căn</v>
      </c>
    </row>
    <row r="10583" spans="1:7" x14ac:dyDescent="0.25">
      <c r="A10583" s="2">
        <v>10582</v>
      </c>
      <c r="B10583" s="3" t="s">
        <v>65</v>
      </c>
      <c r="C10583" s="4" t="str">
        <f t="shared" si="977"/>
        <v>Cà Mau</v>
      </c>
      <c r="D10583" s="3" t="s">
        <v>763</v>
      </c>
      <c r="E10583" s="4" t="str">
        <f t="shared" si="978"/>
        <v>Huyện Năm Căn</v>
      </c>
      <c r="F10583" s="3" t="s">
        <v>11342</v>
      </c>
      <c r="G10583" s="4" t="str">
        <f>HYPERLINK("https://diaocthongthai.com/xa-ham-rong-nam-can/","Xã Hàm Rồng")</f>
        <v>Xã Hàm Rồng</v>
      </c>
    </row>
    <row r="10584" spans="1:7" x14ac:dyDescent="0.25">
      <c r="A10584" s="2">
        <v>10583</v>
      </c>
      <c r="B10584" s="3" t="s">
        <v>65</v>
      </c>
      <c r="C10584" s="4" t="str">
        <f t="shared" si="977"/>
        <v>Cà Mau</v>
      </c>
      <c r="D10584" s="3" t="s">
        <v>763</v>
      </c>
      <c r="E10584" s="4" t="str">
        <f t="shared" si="978"/>
        <v>Huyện Năm Căn</v>
      </c>
      <c r="F10584" s="3" t="s">
        <v>11343</v>
      </c>
      <c r="G10584" s="4" t="str">
        <f>HYPERLINK("https://diaocthongthai.com/xa-hiep-tung-nam-can/","Xã Hiệp Tùng")</f>
        <v>Xã Hiệp Tùng</v>
      </c>
    </row>
    <row r="10585" spans="1:7" x14ac:dyDescent="0.25">
      <c r="A10585" s="2">
        <v>10584</v>
      </c>
      <c r="B10585" s="3" t="s">
        <v>65</v>
      </c>
      <c r="C10585" s="4" t="str">
        <f t="shared" si="977"/>
        <v>Cà Mau</v>
      </c>
      <c r="D10585" s="3" t="s">
        <v>763</v>
      </c>
      <c r="E10585" s="4" t="str">
        <f t="shared" si="978"/>
        <v>Huyện Năm Căn</v>
      </c>
      <c r="F10585" s="3" t="s">
        <v>11344</v>
      </c>
      <c r="G10585" s="4" t="str">
        <f>HYPERLINK("https://diaocthongthai.com/xa-dat-moi-nam-can/","Xã Đất Mới")</f>
        <v>Xã Đất Mới</v>
      </c>
    </row>
    <row r="10586" spans="1:7" x14ac:dyDescent="0.25">
      <c r="A10586" s="2">
        <v>10585</v>
      </c>
      <c r="B10586" s="3" t="s">
        <v>65</v>
      </c>
      <c r="C10586" s="4" t="str">
        <f t="shared" si="977"/>
        <v>Cà Mau</v>
      </c>
      <c r="D10586" s="3" t="s">
        <v>763</v>
      </c>
      <c r="E10586" s="4" t="str">
        <f t="shared" si="978"/>
        <v>Huyện Năm Căn</v>
      </c>
      <c r="F10586" s="3" t="s">
        <v>11345</v>
      </c>
      <c r="G10586" s="4" t="str">
        <f>HYPERLINK("https://diaocthongthai.com/xa-lam-hai-nam-can/","Xã Lâm Hải")</f>
        <v>Xã Lâm Hải</v>
      </c>
    </row>
    <row r="10587" spans="1:7" x14ac:dyDescent="0.25">
      <c r="A10587" s="2">
        <v>10586</v>
      </c>
      <c r="B10587" s="3" t="s">
        <v>65</v>
      </c>
      <c r="C10587" s="4" t="str">
        <f t="shared" si="977"/>
        <v>Cà Mau</v>
      </c>
      <c r="D10587" s="3" t="s">
        <v>763</v>
      </c>
      <c r="E10587" s="4" t="str">
        <f t="shared" si="978"/>
        <v>Huyện Năm Căn</v>
      </c>
      <c r="F10587" s="3" t="s">
        <v>11346</v>
      </c>
      <c r="G10587" s="4" t="str">
        <f>HYPERLINK("https://diaocthongthai.com/xa-hang-vinh-nam-can/","Xã Hàng Vịnh")</f>
        <v>Xã Hàng Vịnh</v>
      </c>
    </row>
    <row r="10588" spans="1:7" x14ac:dyDescent="0.25">
      <c r="A10588" s="2">
        <v>10587</v>
      </c>
      <c r="B10588" s="3" t="s">
        <v>65</v>
      </c>
      <c r="C10588" s="4" t="str">
        <f t="shared" si="977"/>
        <v>Cà Mau</v>
      </c>
      <c r="D10588" s="3" t="s">
        <v>763</v>
      </c>
      <c r="E10588" s="4" t="str">
        <f t="shared" si="978"/>
        <v>Huyện Năm Căn</v>
      </c>
      <c r="F10588" s="3" t="s">
        <v>11347</v>
      </c>
      <c r="G10588" s="4" t="str">
        <f>HYPERLINK("https://diaocthongthai.com/xa-tam-giang-nam-can/","Xã Tam Giang")</f>
        <v>Xã Tam Giang</v>
      </c>
    </row>
    <row r="10589" spans="1:7" x14ac:dyDescent="0.25">
      <c r="A10589" s="2">
        <v>10588</v>
      </c>
      <c r="B10589" s="3" t="s">
        <v>65</v>
      </c>
      <c r="C10589" s="4" t="str">
        <f t="shared" si="977"/>
        <v>Cà Mau</v>
      </c>
      <c r="D10589" s="3" t="s">
        <v>763</v>
      </c>
      <c r="E10589" s="4" t="str">
        <f t="shared" si="978"/>
        <v>Huyện Năm Căn</v>
      </c>
      <c r="F10589" s="3" t="s">
        <v>11348</v>
      </c>
      <c r="G10589" s="4" t="str">
        <f>HYPERLINK("https://diaocthongthai.com/xa-tam-giang-dong-nam-can/","Xã Tam Giang Đông")</f>
        <v>Xã Tam Giang Đông</v>
      </c>
    </row>
    <row r="10590" spans="1:7" x14ac:dyDescent="0.25">
      <c r="A10590" s="2">
        <v>10589</v>
      </c>
      <c r="B10590" s="3" t="s">
        <v>65</v>
      </c>
      <c r="C10590" s="4" t="str">
        <f t="shared" si="977"/>
        <v>Cà Mau</v>
      </c>
      <c r="D10590" s="3" t="s">
        <v>764</v>
      </c>
      <c r="E10590" s="4" t="str">
        <f t="shared" ref="E10590:E10598" si="979">HYPERLINK("https://diaocthongthai.com/ban-do-huyen-phu-tan-ca-mau/","Huyện Phú Tân")</f>
        <v>Huyện Phú Tân</v>
      </c>
      <c r="F10590" s="3" t="s">
        <v>11349</v>
      </c>
      <c r="G10590" s="4" t="str">
        <f>HYPERLINK("https://diaocthongthai.com/thi-tran-cai-doi-vam-phu-tan-ca-mau/","Thị trấn Cái Đôi Vàm")</f>
        <v>Thị trấn Cái Đôi Vàm</v>
      </c>
    </row>
    <row r="10591" spans="1:7" x14ac:dyDescent="0.25">
      <c r="A10591" s="2">
        <v>10590</v>
      </c>
      <c r="B10591" s="3" t="s">
        <v>65</v>
      </c>
      <c r="C10591" s="4" t="str">
        <f t="shared" si="977"/>
        <v>Cà Mau</v>
      </c>
      <c r="D10591" s="3" t="s">
        <v>764</v>
      </c>
      <c r="E10591" s="4" t="str">
        <f t="shared" si="979"/>
        <v>Huyện Phú Tân</v>
      </c>
      <c r="F10591" s="3" t="s">
        <v>11350</v>
      </c>
      <c r="G10591" s="4" t="str">
        <f>HYPERLINK("https://diaocthongthai.com/xa-phu-thuan-phu-tan-ca-mau/","Xã Phú Thuận")</f>
        <v>Xã Phú Thuận</v>
      </c>
    </row>
    <row r="10592" spans="1:7" x14ac:dyDescent="0.25">
      <c r="A10592" s="2">
        <v>10591</v>
      </c>
      <c r="B10592" s="3" t="s">
        <v>65</v>
      </c>
      <c r="C10592" s="4" t="str">
        <f t="shared" si="977"/>
        <v>Cà Mau</v>
      </c>
      <c r="D10592" s="3" t="s">
        <v>764</v>
      </c>
      <c r="E10592" s="4" t="str">
        <f t="shared" si="979"/>
        <v>Huyện Phú Tân</v>
      </c>
      <c r="F10592" s="3" t="s">
        <v>11351</v>
      </c>
      <c r="G10592" s="4" t="str">
        <f>HYPERLINK("https://diaocthongthai.com/xa-phu-my-phu-tan-ca-mau/","Xã Phú Mỹ")</f>
        <v>Xã Phú Mỹ</v>
      </c>
    </row>
    <row r="10593" spans="1:7" x14ac:dyDescent="0.25">
      <c r="A10593" s="2">
        <v>10592</v>
      </c>
      <c r="B10593" s="3" t="s">
        <v>65</v>
      </c>
      <c r="C10593" s="4" t="str">
        <f t="shared" si="977"/>
        <v>Cà Mau</v>
      </c>
      <c r="D10593" s="3" t="s">
        <v>764</v>
      </c>
      <c r="E10593" s="4" t="str">
        <f t="shared" si="979"/>
        <v>Huyện Phú Tân</v>
      </c>
      <c r="F10593" s="3" t="s">
        <v>11352</v>
      </c>
      <c r="G10593" s="4" t="str">
        <f>HYPERLINK("https://diaocthongthai.com/xa-phu-tan-phu-tan-ca-mau/","Xã Phú Tân")</f>
        <v>Xã Phú Tân</v>
      </c>
    </row>
    <row r="10594" spans="1:7" x14ac:dyDescent="0.25">
      <c r="A10594" s="2">
        <v>10593</v>
      </c>
      <c r="B10594" s="3" t="s">
        <v>65</v>
      </c>
      <c r="C10594" s="4" t="str">
        <f t="shared" si="977"/>
        <v>Cà Mau</v>
      </c>
      <c r="D10594" s="3" t="s">
        <v>764</v>
      </c>
      <c r="E10594" s="4" t="str">
        <f t="shared" si="979"/>
        <v>Huyện Phú Tân</v>
      </c>
      <c r="F10594" s="3" t="s">
        <v>11353</v>
      </c>
      <c r="G10594" s="4" t="str">
        <f>HYPERLINK("https://diaocthongthai.com/xa-tan-hai-phu-tan-ca-mau/","Xã Tân Hải")</f>
        <v>Xã Tân Hải</v>
      </c>
    </row>
    <row r="10595" spans="1:7" x14ac:dyDescent="0.25">
      <c r="A10595" s="2">
        <v>10594</v>
      </c>
      <c r="B10595" s="3" t="s">
        <v>65</v>
      </c>
      <c r="C10595" s="4" t="str">
        <f t="shared" si="977"/>
        <v>Cà Mau</v>
      </c>
      <c r="D10595" s="3" t="s">
        <v>764</v>
      </c>
      <c r="E10595" s="4" t="str">
        <f t="shared" si="979"/>
        <v>Huyện Phú Tân</v>
      </c>
      <c r="F10595" s="3" t="s">
        <v>11354</v>
      </c>
      <c r="G10595" s="4" t="str">
        <f>HYPERLINK("https://diaocthongthai.com/xa-viet-thang-phu-tan-ca-mau/","Xã Việt Thắng")</f>
        <v>Xã Việt Thắng</v>
      </c>
    </row>
    <row r="10596" spans="1:7" x14ac:dyDescent="0.25">
      <c r="A10596" s="2">
        <v>10595</v>
      </c>
      <c r="B10596" s="3" t="s">
        <v>65</v>
      </c>
      <c r="C10596" s="4" t="str">
        <f t="shared" si="977"/>
        <v>Cà Mau</v>
      </c>
      <c r="D10596" s="3" t="s">
        <v>764</v>
      </c>
      <c r="E10596" s="4" t="str">
        <f t="shared" si="979"/>
        <v>Huyện Phú Tân</v>
      </c>
      <c r="F10596" s="3" t="s">
        <v>11355</v>
      </c>
      <c r="G10596" s="4" t="str">
        <f>HYPERLINK("https://diaocthongthai.com/xa-tan-hung-tay-phu-tan-ca-mau/","Xã Tân Hưng Tây")</f>
        <v>Xã Tân Hưng Tây</v>
      </c>
    </row>
    <row r="10597" spans="1:7" x14ac:dyDescent="0.25">
      <c r="A10597" s="2">
        <v>10596</v>
      </c>
      <c r="B10597" s="3" t="s">
        <v>65</v>
      </c>
      <c r="C10597" s="4" t="str">
        <f t="shared" si="977"/>
        <v>Cà Mau</v>
      </c>
      <c r="D10597" s="3" t="s">
        <v>764</v>
      </c>
      <c r="E10597" s="4" t="str">
        <f t="shared" si="979"/>
        <v>Huyện Phú Tân</v>
      </c>
      <c r="F10597" s="3" t="s">
        <v>11356</v>
      </c>
      <c r="G10597" s="4" t="str">
        <f>HYPERLINK("https://diaocthongthai.com/xa-rach-cheo-phu-tan-ca-mau/","Xã Rạch Chèo")</f>
        <v>Xã Rạch Chèo</v>
      </c>
    </row>
    <row r="10598" spans="1:7" x14ac:dyDescent="0.25">
      <c r="A10598" s="2">
        <v>10597</v>
      </c>
      <c r="B10598" s="3" t="s">
        <v>65</v>
      </c>
      <c r="C10598" s="4" t="str">
        <f t="shared" si="977"/>
        <v>Cà Mau</v>
      </c>
      <c r="D10598" s="3" t="s">
        <v>764</v>
      </c>
      <c r="E10598" s="4" t="str">
        <f t="shared" si="979"/>
        <v>Huyện Phú Tân</v>
      </c>
      <c r="F10598" s="3" t="s">
        <v>11357</v>
      </c>
      <c r="G10598" s="4" t="str">
        <f>HYPERLINK("https://diaocthongthai.com/xa-nguyen-viet-khai-phu-tan-ca-mau/","Xã Nguyễn Việt Khái")</f>
        <v>Xã Nguyễn Việt Khái</v>
      </c>
    </row>
    <row r="10599" spans="1:7" x14ac:dyDescent="0.25">
      <c r="A10599" s="2">
        <v>10598</v>
      </c>
      <c r="B10599" s="3" t="s">
        <v>65</v>
      </c>
      <c r="C10599" s="4" t="str">
        <f t="shared" si="977"/>
        <v>Cà Mau</v>
      </c>
      <c r="D10599" s="3" t="s">
        <v>765</v>
      </c>
      <c r="E10599" s="4" t="str">
        <f t="shared" ref="E10599:E10605" si="980">HYPERLINK("https://diaocthongthai.com/ban-do-huyen-ngoc-hien-ca-mau/","Huyện Ngọc Hiển")</f>
        <v>Huyện Ngọc Hiển</v>
      </c>
      <c r="F10599" s="3" t="s">
        <v>11358</v>
      </c>
      <c r="G10599" s="4" t="str">
        <f>HYPERLINK("https://diaocthongthai.com/xa-tam-giang-tay-ngoc-hien/","Xã Tam Giang Tây")</f>
        <v>Xã Tam Giang Tây</v>
      </c>
    </row>
    <row r="10600" spans="1:7" x14ac:dyDescent="0.25">
      <c r="A10600" s="2">
        <v>10599</v>
      </c>
      <c r="B10600" s="3" t="s">
        <v>65</v>
      </c>
      <c r="C10600" s="4" t="str">
        <f t="shared" si="977"/>
        <v>Cà Mau</v>
      </c>
      <c r="D10600" s="3" t="s">
        <v>765</v>
      </c>
      <c r="E10600" s="4" t="str">
        <f t="shared" si="980"/>
        <v>Huyện Ngọc Hiển</v>
      </c>
      <c r="F10600" s="3" t="s">
        <v>11359</v>
      </c>
      <c r="G10600" s="4" t="str">
        <f>HYPERLINK("https://diaocthongthai.com/xa-tan-an-tay-ngoc-hien/","Xã Tân Ân Tây")</f>
        <v>Xã Tân Ân Tây</v>
      </c>
    </row>
    <row r="10601" spans="1:7" x14ac:dyDescent="0.25">
      <c r="A10601" s="2">
        <v>10600</v>
      </c>
      <c r="B10601" s="3" t="s">
        <v>65</v>
      </c>
      <c r="C10601" s="4" t="str">
        <f t="shared" si="977"/>
        <v>Cà Mau</v>
      </c>
      <c r="D10601" s="3" t="s">
        <v>765</v>
      </c>
      <c r="E10601" s="4" t="str">
        <f t="shared" si="980"/>
        <v>Huyện Ngọc Hiển</v>
      </c>
      <c r="F10601" s="3" t="s">
        <v>11360</v>
      </c>
      <c r="G10601" s="4" t="str">
        <f>HYPERLINK("https://diaocthongthai.com/xa-vien-an-dong-ngoc-hien/","Xã Viên An Đông")</f>
        <v>Xã Viên An Đông</v>
      </c>
    </row>
    <row r="10602" spans="1:7" x14ac:dyDescent="0.25">
      <c r="A10602" s="2">
        <v>10601</v>
      </c>
      <c r="B10602" s="3" t="s">
        <v>65</v>
      </c>
      <c r="C10602" s="4" t="str">
        <f t="shared" si="977"/>
        <v>Cà Mau</v>
      </c>
      <c r="D10602" s="3" t="s">
        <v>765</v>
      </c>
      <c r="E10602" s="4" t="str">
        <f t="shared" si="980"/>
        <v>Huyện Ngọc Hiển</v>
      </c>
      <c r="F10602" s="3" t="s">
        <v>11361</v>
      </c>
      <c r="G10602" s="4" t="str">
        <f>HYPERLINK("https://diaocthongthai.com/xa-vien-an-ngoc-hien/","Xã Viên An")</f>
        <v>Xã Viên An</v>
      </c>
    </row>
    <row r="10603" spans="1:7" x14ac:dyDescent="0.25">
      <c r="A10603" s="2">
        <v>10602</v>
      </c>
      <c r="B10603" s="3" t="s">
        <v>65</v>
      </c>
      <c r="C10603" s="4" t="str">
        <f t="shared" si="977"/>
        <v>Cà Mau</v>
      </c>
      <c r="D10603" s="3" t="s">
        <v>765</v>
      </c>
      <c r="E10603" s="4" t="str">
        <f t="shared" si="980"/>
        <v>Huyện Ngọc Hiển</v>
      </c>
      <c r="F10603" s="3" t="s">
        <v>11362</v>
      </c>
      <c r="G10603" s="4" t="str">
        <f>HYPERLINK("https://diaocthongthai.com/thi-tran-rach-goc-ngoc-hien/","Thị trấn Rạch Gốc")</f>
        <v>Thị trấn Rạch Gốc</v>
      </c>
    </row>
    <row r="10604" spans="1:7" x14ac:dyDescent="0.25">
      <c r="A10604" s="2">
        <v>10603</v>
      </c>
      <c r="B10604" s="3" t="s">
        <v>65</v>
      </c>
      <c r="C10604" s="4" t="str">
        <f t="shared" si="977"/>
        <v>Cà Mau</v>
      </c>
      <c r="D10604" s="3" t="s">
        <v>765</v>
      </c>
      <c r="E10604" s="4" t="str">
        <f t="shared" si="980"/>
        <v>Huyện Ngọc Hiển</v>
      </c>
      <c r="F10604" s="3" t="s">
        <v>11363</v>
      </c>
      <c r="G10604" s="4" t="str">
        <f>HYPERLINK("https://diaocthongthai.com/xa-tan-an-ngoc-hien/","Xã Tân Ân")</f>
        <v>Xã Tân Ân</v>
      </c>
    </row>
    <row r="10605" spans="1:7" x14ac:dyDescent="0.25">
      <c r="A10605" s="2">
        <v>10604</v>
      </c>
      <c r="B10605" s="3" t="s">
        <v>65</v>
      </c>
      <c r="C10605" s="4" t="str">
        <f t="shared" si="977"/>
        <v>Cà Mau</v>
      </c>
      <c r="D10605" s="3" t="s">
        <v>765</v>
      </c>
      <c r="E10605" s="4" t="str">
        <f t="shared" si="980"/>
        <v>Huyện Ngọc Hiển</v>
      </c>
      <c r="F10605" s="3" t="s">
        <v>11364</v>
      </c>
      <c r="G10605" s="4" t="str">
        <f>HYPERLINK("https://diaocthongthai.com/xa-dat-mui-ngoc-hien/","Xã Đất Mũi")</f>
        <v>Xã Đất Mũi</v>
      </c>
    </row>
  </sheetData>
  <autoFilter ref="A1:G1060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Xã phường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2022-07-25T16:17:11Z</dcterms:created>
  <dcterms:modified xsi:type="dcterms:W3CDTF">2022-07-25T16:22:24Z</dcterms:modified>
</cp:coreProperties>
</file>