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N\OneDrive\Desktop\"/>
    </mc:Choice>
  </mc:AlternateContent>
  <xr:revisionPtr revIDLastSave="0" documentId="13_ncr:1_{B555FDF6-6241-4D56-96B7-528473AB813E}" xr6:coauthVersionLast="47" xr6:coauthVersionMax="47" xr10:uidLastSave="{00000000-0000-0000-0000-000000000000}"/>
  <bookViews>
    <workbookView xWindow="-108" yWindow="-108" windowWidth="23256" windowHeight="12576" xr2:uid="{424EBF13-FA82-4B64-AE81-EFC3998A33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5" i="1" l="1"/>
  <c r="K57" i="1"/>
  <c r="M57" i="1"/>
  <c r="N57" i="1"/>
  <c r="O57" i="1" s="1"/>
  <c r="P57" i="1" s="1"/>
  <c r="J57" i="1"/>
  <c r="N55" i="1"/>
  <c r="O55" i="1" s="1"/>
  <c r="P55" i="1" s="1"/>
  <c r="I55" i="1"/>
  <c r="J55" i="1" s="1"/>
  <c r="G55" i="1"/>
  <c r="P54" i="1"/>
  <c r="Q54" i="1" s="1"/>
  <c r="O54" i="1"/>
  <c r="N54" i="1"/>
  <c r="K54" i="1"/>
  <c r="J54" i="1"/>
  <c r="I54" i="1"/>
  <c r="G54" i="1"/>
  <c r="P52" i="1"/>
  <c r="Q52" i="1" s="1"/>
  <c r="O52" i="1"/>
  <c r="N52" i="1"/>
  <c r="M52" i="1"/>
  <c r="K52" i="1"/>
  <c r="J52" i="1"/>
  <c r="M47" i="1"/>
  <c r="K47" i="1"/>
  <c r="G45" i="1"/>
  <c r="J47" i="1"/>
  <c r="P46" i="1"/>
  <c r="Q46" i="1"/>
  <c r="O46" i="1"/>
  <c r="N46" i="1"/>
  <c r="K46" i="1"/>
  <c r="J46" i="1"/>
  <c r="I46" i="1"/>
  <c r="G46" i="1"/>
  <c r="M43" i="1"/>
  <c r="K43" i="1"/>
  <c r="N43" i="1"/>
  <c r="O43" i="1" s="1"/>
  <c r="P43" i="1" s="1"/>
  <c r="G32" i="1"/>
  <c r="I32" i="1" s="1"/>
  <c r="J32" i="1" s="1"/>
  <c r="G27" i="1"/>
  <c r="I27" i="1" s="1"/>
  <c r="J27" i="1" s="1"/>
  <c r="I28" i="1"/>
  <c r="G24" i="1"/>
  <c r="K25" i="1"/>
  <c r="K28" i="1" s="1"/>
  <c r="K40" i="1"/>
  <c r="N40" i="1" s="1"/>
  <c r="O40" i="1" s="1"/>
  <c r="P40" i="1" s="1"/>
  <c r="K45" i="1"/>
  <c r="N45" i="1" s="1"/>
  <c r="O45" i="1" s="1"/>
  <c r="P45" i="1" s="1"/>
  <c r="I45" i="1"/>
  <c r="J45" i="1" s="1"/>
  <c r="K41" i="1"/>
  <c r="N41" i="1" s="1"/>
  <c r="O41" i="1" s="1"/>
  <c r="P41" i="1" s="1"/>
  <c r="G41" i="1"/>
  <c r="I41" i="1" s="1"/>
  <c r="J41" i="1" s="1"/>
  <c r="K37" i="1"/>
  <c r="N37" i="1" s="1"/>
  <c r="O37" i="1" s="1"/>
  <c r="P37" i="1" s="1"/>
  <c r="G37" i="1"/>
  <c r="I37" i="1" s="1"/>
  <c r="J37" i="1" s="1"/>
  <c r="G40" i="1"/>
  <c r="I40" i="1" s="1"/>
  <c r="J40" i="1" s="1"/>
  <c r="J43" i="1" s="1"/>
  <c r="K36" i="1"/>
  <c r="N36" i="1" s="1"/>
  <c r="O36" i="1" s="1"/>
  <c r="P36" i="1" s="1"/>
  <c r="K32" i="1"/>
  <c r="N32" i="1" s="1"/>
  <c r="O32" i="1" s="1"/>
  <c r="P32" i="1" s="1"/>
  <c r="G36" i="1"/>
  <c r="I36" i="1" s="1"/>
  <c r="J36" i="1" s="1"/>
  <c r="K27" i="1"/>
  <c r="N27" i="1" s="1"/>
  <c r="O27" i="1" s="1"/>
  <c r="P27" i="1" s="1"/>
  <c r="K24" i="1"/>
  <c r="N24" i="1" s="1"/>
  <c r="O24" i="1" s="1"/>
  <c r="P24" i="1" s="1"/>
  <c r="J24" i="1"/>
  <c r="I24" i="1"/>
  <c r="K23" i="1"/>
  <c r="N23" i="1" s="1"/>
  <c r="O23" i="1" s="1"/>
  <c r="P23" i="1" s="1"/>
  <c r="K18" i="1"/>
  <c r="N18" i="1" s="1"/>
  <c r="O18" i="1" s="1"/>
  <c r="P18" i="1" s="1"/>
  <c r="G18" i="1"/>
  <c r="I18" i="1" s="1"/>
  <c r="I11" i="1"/>
  <c r="K10" i="1"/>
  <c r="K11" i="1" s="1"/>
  <c r="Q57" i="1" l="1"/>
  <c r="Q55" i="1"/>
  <c r="R55" i="1" s="1"/>
  <c r="T55" i="1"/>
  <c r="U55" i="1" s="1"/>
  <c r="T54" i="1"/>
  <c r="U54" i="1" s="1"/>
  <c r="R54" i="1"/>
  <c r="T52" i="1"/>
  <c r="U52" i="1" s="1"/>
  <c r="R52" i="1"/>
  <c r="R46" i="1"/>
  <c r="T46" i="1"/>
  <c r="U46" i="1" s="1"/>
  <c r="Q43" i="1"/>
  <c r="R43" i="1"/>
  <c r="T43" i="1"/>
  <c r="U43" i="1" s="1"/>
  <c r="Q24" i="1"/>
  <c r="R24" i="1" s="1"/>
  <c r="K33" i="1"/>
  <c r="K35" i="1" s="1"/>
  <c r="K38" i="1" s="1"/>
  <c r="G23" i="1"/>
  <c r="Q41" i="1"/>
  <c r="R41" i="1" s="1"/>
  <c r="J18" i="1"/>
  <c r="Q18" i="1" s="1"/>
  <c r="I23" i="1"/>
  <c r="I25" i="1" s="1"/>
  <c r="J25" i="1" s="1"/>
  <c r="J28" i="1" s="1"/>
  <c r="J33" i="1" s="1"/>
  <c r="Q27" i="1"/>
  <c r="T27" i="1" s="1"/>
  <c r="U27" i="1" s="1"/>
  <c r="J23" i="1"/>
  <c r="Q23" i="1" s="1"/>
  <c r="Q40" i="1"/>
  <c r="R40" i="1" s="1"/>
  <c r="Q45" i="1"/>
  <c r="T45" i="1" s="1"/>
  <c r="Q37" i="1"/>
  <c r="Q36" i="1"/>
  <c r="Q32" i="1"/>
  <c r="T32" i="1" s="1"/>
  <c r="U32" i="1" s="1"/>
  <c r="M33" i="1" s="1"/>
  <c r="N10" i="1"/>
  <c r="O10" i="1" s="1"/>
  <c r="P10" i="1" s="1"/>
  <c r="G10" i="1"/>
  <c r="I10" i="1" s="1"/>
  <c r="J10" i="1" s="1"/>
  <c r="T57" i="1" l="1"/>
  <c r="U57" i="1" s="1"/>
  <c r="R57" i="1"/>
  <c r="T24" i="1"/>
  <c r="U24" i="1" s="1"/>
  <c r="M25" i="1" s="1"/>
  <c r="N25" i="1" s="1"/>
  <c r="O25" i="1" s="1"/>
  <c r="P25" i="1" s="1"/>
  <c r="Q25" i="1" s="1"/>
  <c r="T25" i="1" s="1"/>
  <c r="U25" i="1" s="1"/>
  <c r="M28" i="1" s="1"/>
  <c r="N28" i="1" s="1"/>
  <c r="O28" i="1" s="1"/>
  <c r="P28" i="1" s="1"/>
  <c r="Q28" i="1" s="1"/>
  <c r="N33" i="1"/>
  <c r="O33" i="1" s="1"/>
  <c r="P33" i="1" s="1"/>
  <c r="Q33" i="1" s="1"/>
  <c r="T33" i="1" s="1"/>
  <c r="U33" i="1" s="1"/>
  <c r="M35" i="1" s="1"/>
  <c r="N35" i="1" s="1"/>
  <c r="O35" i="1" s="1"/>
  <c r="P35" i="1" s="1"/>
  <c r="R27" i="1"/>
  <c r="T40" i="1"/>
  <c r="U40" i="1" s="1"/>
  <c r="T23" i="1"/>
  <c r="U23" i="1" s="1"/>
  <c r="R23" i="1"/>
  <c r="T41" i="1"/>
  <c r="U41" i="1" s="1"/>
  <c r="Q10" i="1"/>
  <c r="T10" i="1" s="1"/>
  <c r="J11" i="1"/>
  <c r="J35" i="1" s="1"/>
  <c r="J38" i="1" s="1"/>
  <c r="T18" i="1"/>
  <c r="U18" i="1" s="1"/>
  <c r="R18" i="1"/>
  <c r="U45" i="1"/>
  <c r="N47" i="1" s="1"/>
  <c r="O47" i="1" s="1"/>
  <c r="P47" i="1" s="1"/>
  <c r="Q47" i="1" s="1"/>
  <c r="R45" i="1"/>
  <c r="R37" i="1"/>
  <c r="T37" i="1"/>
  <c r="U37" i="1" s="1"/>
  <c r="T36" i="1"/>
  <c r="U36" i="1" s="1"/>
  <c r="R36" i="1"/>
  <c r="R32" i="1"/>
  <c r="T47" i="1" l="1"/>
  <c r="U47" i="1" s="1"/>
  <c r="R47" i="1"/>
  <c r="T28" i="1"/>
  <c r="U28" i="1" s="1"/>
  <c r="R28" i="1"/>
  <c r="R33" i="1"/>
  <c r="R25" i="1"/>
  <c r="Q35" i="1"/>
  <c r="R10" i="1"/>
  <c r="U10" i="1" s="1"/>
  <c r="M11" i="1" s="1"/>
  <c r="N11" i="1" s="1"/>
  <c r="O11" i="1" s="1"/>
  <c r="P11" i="1" s="1"/>
  <c r="Q11" i="1" s="1"/>
  <c r="T35" i="1" l="1"/>
  <c r="U35" i="1" s="1"/>
  <c r="M38" i="1" s="1"/>
  <c r="N38" i="1" s="1"/>
  <c r="O38" i="1" s="1"/>
  <c r="P38" i="1" s="1"/>
  <c r="Q38" i="1" s="1"/>
  <c r="R35" i="1"/>
  <c r="T11" i="1"/>
  <c r="R11" i="1"/>
  <c r="T38" i="1" l="1"/>
  <c r="U38" i="1" s="1"/>
  <c r="R38" i="1"/>
  <c r="U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Aryan Sandhu</author>
  </authors>
  <commentList>
    <comment ref="G45" authorId="0" shapeId="0" xr:uid="{BB0E2E63-CAE2-4727-9531-BACEC330BBA4}">
      <text>
        <r>
          <rPr>
            <b/>
            <sz val="9"/>
            <color indexed="81"/>
            <rFont val="Tahoma"/>
            <charset val="1"/>
          </rPr>
          <t>Aryan Sandhu:</t>
        </r>
        <r>
          <rPr>
            <sz val="9"/>
            <color indexed="81"/>
            <rFont val="Tahoma"/>
            <charset val="1"/>
          </rPr>
          <t xml:space="preserve">
check length
</t>
        </r>
      </text>
    </comment>
    <comment ref="G54" authorId="0" shapeId="0" xr:uid="{9E4CD8FD-09EC-4678-94C1-C8DD196C1715}">
      <text>
        <r>
          <rPr>
            <b/>
            <sz val="9"/>
            <color indexed="81"/>
            <rFont val="Tahoma"/>
            <charset val="1"/>
          </rPr>
          <t>Aryan Sandhu:</t>
        </r>
        <r>
          <rPr>
            <sz val="9"/>
            <color indexed="81"/>
            <rFont val="Tahoma"/>
            <charset val="1"/>
          </rPr>
          <t xml:space="preserve">
check
</t>
        </r>
      </text>
    </comment>
  </commentList>
</comments>
</file>

<file path=xl/sharedStrings.xml><?xml version="1.0" encoding="utf-8"?>
<sst xmlns="http://schemas.openxmlformats.org/spreadsheetml/2006/main" count="114" uniqueCount="69">
  <si>
    <t>Pipe n value</t>
  </si>
  <si>
    <t>Slope</t>
  </si>
  <si>
    <t>Upstream Junc</t>
  </si>
  <si>
    <t>Downstream Junc</t>
  </si>
  <si>
    <t>Area (m2)</t>
  </si>
  <si>
    <t>C</t>
  </si>
  <si>
    <t>CA</t>
  </si>
  <si>
    <t>Sigma CA</t>
  </si>
  <si>
    <t>td(m in)</t>
  </si>
  <si>
    <t>Flow route</t>
  </si>
  <si>
    <t>Upstream Flow time(min)</t>
  </si>
  <si>
    <t>tc (min)</t>
  </si>
  <si>
    <t xml:space="preserve"> td(min)</t>
  </si>
  <si>
    <t>q(m^3/s)</t>
  </si>
  <si>
    <t>Dt(m)</t>
  </si>
  <si>
    <t>Dn(m)</t>
  </si>
  <si>
    <t>Flow velocity m/s</t>
  </si>
  <si>
    <t>Flow time (min)</t>
  </si>
  <si>
    <t>A1</t>
  </si>
  <si>
    <t>B1</t>
  </si>
  <si>
    <t>Kirpich eqn</t>
  </si>
  <si>
    <t>tc=0.0078* L^0.77 S^-.385 in ft</t>
  </si>
  <si>
    <t>0.0195 min</t>
  </si>
  <si>
    <t>in meters</t>
  </si>
  <si>
    <t>OVERLAND</t>
  </si>
  <si>
    <t>k</t>
  </si>
  <si>
    <t>A</t>
  </si>
  <si>
    <t>B</t>
  </si>
  <si>
    <t>n</t>
  </si>
  <si>
    <t>Intensity (cm/hr)</t>
  </si>
  <si>
    <t>T</t>
  </si>
  <si>
    <t>q=cia</t>
  </si>
  <si>
    <t>Length of Pipe(m)</t>
  </si>
  <si>
    <t>q=1/n AR^2/3 S^.5</t>
  </si>
  <si>
    <t>B2</t>
  </si>
  <si>
    <t>Through a1</t>
  </si>
  <si>
    <t>A2</t>
  </si>
  <si>
    <t>B3</t>
  </si>
  <si>
    <t>overland</t>
  </si>
  <si>
    <t>A3</t>
  </si>
  <si>
    <t>B5</t>
  </si>
  <si>
    <t>c1</t>
  </si>
  <si>
    <t>B4</t>
  </si>
  <si>
    <t>d4</t>
  </si>
  <si>
    <t>d5</t>
  </si>
  <si>
    <t>d1</t>
  </si>
  <si>
    <t>d2</t>
  </si>
  <si>
    <t>e1</t>
  </si>
  <si>
    <t>e2</t>
  </si>
  <si>
    <t>d3</t>
  </si>
  <si>
    <t>e3</t>
  </si>
  <si>
    <t xml:space="preserve">overland </t>
  </si>
  <si>
    <t>overland drying shed</t>
  </si>
  <si>
    <t>e4</t>
  </si>
  <si>
    <t>e5</t>
  </si>
  <si>
    <t>overland shed</t>
  </si>
  <si>
    <t>b4</t>
  </si>
  <si>
    <t>b3</t>
  </si>
  <si>
    <t>b2</t>
  </si>
  <si>
    <t>through</t>
  </si>
  <si>
    <t>comparision of above 3</t>
  </si>
  <si>
    <t>f1</t>
  </si>
  <si>
    <t>e6</t>
  </si>
  <si>
    <t>mixed area</t>
  </si>
  <si>
    <t>comparision of above 2</t>
  </si>
  <si>
    <t>f2</t>
  </si>
  <si>
    <t>f3</t>
  </si>
  <si>
    <t>Vm node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</si>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</sst>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36042</xdr:colOff>
      <xdr:row>0</xdr:row>
      <xdr:rowOff>0</xdr:rowOff>
    </xdr:from>
    <xdr:to>
      <xdr:col>11</xdr:col>
      <xdr:colOff>118419</xdr:colOff>
      <xdr:row>6</xdr:row>
      <xdr:rowOff>21887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BF3C1E1-7279-4046-BC8A-67D5FCB5D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6785" y="0"/>
          <a:ext cx="1904999" cy="11339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634A-A224-45F5-B66D-23CEFA7F590D}">
  <dimension ref="A2:U57"/>
  <sheetViews>
    <sheetView tabSelected="1" topLeftCell="D1" zoomScaleNormal="100" workbookViewId="0">
      <pane ySplit="8" topLeftCell="A45" activePane="bottomLeft" state="frozen"/>
      <selection activeCell="C1" sqref="C1"/>
      <selection pane="bottomLeft" activeCell="L60" sqref="L60"/>
    </sheetView>
  </sheetViews>
  <sheetFormatPr defaultRowHeight="14.4" x14ac:dyDescent="0.3"/>
  <cols>
    <col min="2" max="2" width="20.21875" customWidth="1"/>
    <col min="3" max="3" width="21.6640625" customWidth="1"/>
    <col min="12" max="12" width="15.109375" customWidth="1"/>
    <col min="13" max="13" width="26.44140625" customWidth="1"/>
    <col min="16" max="16" width="16.6640625" customWidth="1"/>
    <col min="20" max="20" width="14" customWidth="1"/>
  </cols>
  <sheetData>
    <row r="2" spans="1:21" x14ac:dyDescent="0.3">
      <c r="K2" t="s">
        <v>20</v>
      </c>
      <c r="L2" t="s">
        <v>21</v>
      </c>
      <c r="O2" t="s">
        <v>25</v>
      </c>
      <c r="P2" t="s">
        <v>26</v>
      </c>
      <c r="Q2" t="s">
        <v>27</v>
      </c>
      <c r="R2" t="s">
        <v>28</v>
      </c>
    </row>
    <row r="3" spans="1:21" x14ac:dyDescent="0.3">
      <c r="L3" t="s">
        <v>22</v>
      </c>
      <c r="M3" t="s">
        <v>23</v>
      </c>
      <c r="O3">
        <v>6.0060089682474418</v>
      </c>
      <c r="P3">
        <v>0.21431597812974088</v>
      </c>
      <c r="Q3">
        <v>0.5</v>
      </c>
      <c r="R3">
        <v>0.81222283831809605</v>
      </c>
    </row>
    <row r="4" spans="1:21" x14ac:dyDescent="0.3">
      <c r="T4" t="s">
        <v>31</v>
      </c>
      <c r="U4" t="s">
        <v>33</v>
      </c>
    </row>
    <row r="5" spans="1:21" x14ac:dyDescent="0.3">
      <c r="A5" t="s">
        <v>0</v>
      </c>
      <c r="B5">
        <v>1.2999999999999999E-2</v>
      </c>
      <c r="L5" t="s">
        <v>28</v>
      </c>
      <c r="M5">
        <v>1.2999999999999999E-2</v>
      </c>
      <c r="O5" t="s">
        <v>30</v>
      </c>
      <c r="P5">
        <v>15</v>
      </c>
    </row>
    <row r="8" spans="1:21" x14ac:dyDescent="0.3">
      <c r="C8" t="s">
        <v>32</v>
      </c>
      <c r="D8" t="s">
        <v>1</v>
      </c>
      <c r="E8" t="s">
        <v>2</v>
      </c>
      <c r="F8" t="s">
        <v>3</v>
      </c>
      <c r="G8" t="s">
        <v>4</v>
      </c>
      <c r="H8" t="s">
        <v>5</v>
      </c>
      <c r="I8" t="s">
        <v>6</v>
      </c>
      <c r="J8" t="s">
        <v>7</v>
      </c>
      <c r="K8" t="s">
        <v>8</v>
      </c>
      <c r="L8" t="s">
        <v>9</v>
      </c>
      <c r="M8" t="s">
        <v>10</v>
      </c>
      <c r="N8" t="s">
        <v>11</v>
      </c>
      <c r="O8" t="s">
        <v>12</v>
      </c>
      <c r="P8" t="s">
        <v>29</v>
      </c>
      <c r="Q8" t="s">
        <v>13</v>
      </c>
      <c r="R8" t="s">
        <v>14</v>
      </c>
      <c r="S8" t="s">
        <v>15</v>
      </c>
      <c r="T8" t="s">
        <v>16</v>
      </c>
      <c r="U8" t="s">
        <v>17</v>
      </c>
    </row>
    <row r="10" spans="1:21" x14ac:dyDescent="0.3">
      <c r="C10">
        <v>30</v>
      </c>
      <c r="D10">
        <v>5.0000000000000001E-3</v>
      </c>
      <c r="E10" t="s">
        <v>18</v>
      </c>
      <c r="F10" t="s">
        <v>19</v>
      </c>
      <c r="G10">
        <f>80*35</f>
        <v>2800</v>
      </c>
      <c r="H10">
        <v>0.4</v>
      </c>
      <c r="I10">
        <f>H10*G10</f>
        <v>1120</v>
      </c>
      <c r="J10">
        <f>I10</f>
        <v>1120</v>
      </c>
      <c r="K10">
        <f>0.0195*(SQRT(40^2+17.5^2)^0.77)*(0.005^-0.385)</f>
        <v>2.7466315507364993</v>
      </c>
      <c r="L10" t="s">
        <v>24</v>
      </c>
      <c r="M10">
        <v>0</v>
      </c>
      <c r="N10">
        <f>K10+M10</f>
        <v>2.7466315507364993</v>
      </c>
      <c r="O10">
        <f>N10</f>
        <v>2.7466315507364993</v>
      </c>
      <c r="P10">
        <f>($O$3*$P$5^$P$3)/(O10/60+$Q$3)^$R$3</f>
        <v>17.548630795849121</v>
      </c>
      <c r="Q10">
        <f>J10*P10/360000</f>
        <v>5.4595740253752828E-2</v>
      </c>
      <c r="R10">
        <f>((2.16*Q10*35.31*$M$5/SQRT(D10))^(3/8))/3.28</f>
        <v>0.27581277191002318</v>
      </c>
      <c r="S10">
        <v>0.3</v>
      </c>
      <c r="T10">
        <f>Q10/(3.14*S10^2)/4</f>
        <v>4.8297717846561242E-2</v>
      </c>
      <c r="U10">
        <f>C10/(T10*60)</f>
        <v>10.352456022631712</v>
      </c>
    </row>
    <row r="11" spans="1:21" x14ac:dyDescent="0.3">
      <c r="C11">
        <v>52.5</v>
      </c>
      <c r="D11">
        <v>5.0000000000000001E-3</v>
      </c>
      <c r="E11" t="s">
        <v>19</v>
      </c>
      <c r="F11" t="s">
        <v>34</v>
      </c>
      <c r="G11">
        <v>0</v>
      </c>
      <c r="H11">
        <v>0.4</v>
      </c>
      <c r="I11">
        <f>H11*G11</f>
        <v>0</v>
      </c>
      <c r="J11">
        <f>I11+J10</f>
        <v>1120</v>
      </c>
      <c r="K11">
        <f>K10</f>
        <v>2.7466315507364993</v>
      </c>
      <c r="L11" t="s">
        <v>35</v>
      </c>
      <c r="M11">
        <f>U10</f>
        <v>10.352456022631712</v>
      </c>
      <c r="N11">
        <f>K11+M11</f>
        <v>13.099087573368211</v>
      </c>
      <c r="O11">
        <f>N11</f>
        <v>13.099087573368211</v>
      </c>
      <c r="P11">
        <f>($O$3*$P$5^$P$3)/(O11/60+$Q$3)^$R$3</f>
        <v>14.03924912403437</v>
      </c>
      <c r="Q11">
        <f>J11*P11/360000</f>
        <v>4.3677663941440265E-2</v>
      </c>
      <c r="R11">
        <f>((2.16*Q11*35.31*$M$5/SQRT(D11))^(3/8))/3.28</f>
        <v>0.25367467596297566</v>
      </c>
      <c r="S11">
        <v>0.3</v>
      </c>
      <c r="T11">
        <f>Q11/(3.14*S11^2)/4</f>
        <v>3.8639122382732011E-2</v>
      </c>
      <c r="U11">
        <f>R11/(3.14*T11^2)/4</f>
        <v>13.52798046951952</v>
      </c>
    </row>
    <row r="18" spans="3:21" x14ac:dyDescent="0.3">
      <c r="C18">
        <v>30</v>
      </c>
      <c r="D18">
        <v>5.0000000000000001E-3</v>
      </c>
      <c r="E18" t="s">
        <v>36</v>
      </c>
      <c r="F18" t="s">
        <v>37</v>
      </c>
      <c r="G18">
        <f>182.5*35</f>
        <v>6387.5</v>
      </c>
      <c r="H18">
        <v>0.4</v>
      </c>
      <c r="I18">
        <f>G18*H18</f>
        <v>2555</v>
      </c>
      <c r="J18">
        <f>I18</f>
        <v>2555</v>
      </c>
      <c r="K18">
        <f>0.0195*(SQRT(127.5^2+17.5^2)^0.77)*(0.005^-0.385)</f>
        <v>6.3138553474324741</v>
      </c>
      <c r="L18" t="s">
        <v>38</v>
      </c>
      <c r="M18">
        <v>0</v>
      </c>
      <c r="N18">
        <f>K18</f>
        <v>6.3138553474324741</v>
      </c>
      <c r="O18">
        <f>N18</f>
        <v>6.3138553474324741</v>
      </c>
      <c r="P18">
        <f>($O$3*$P$5^$P$3)/(O18/60+$Q$3)^$R$3</f>
        <v>16.135030133655075</v>
      </c>
      <c r="Q18">
        <f>J18*P18/360000</f>
        <v>0.114513894420802</v>
      </c>
      <c r="R18">
        <f>((2.16*Q18*35.31*$M$5/SQRT(D18))^(3/8))/3.28</f>
        <v>0.36412597251231771</v>
      </c>
      <c r="S18">
        <v>0.4</v>
      </c>
      <c r="T18">
        <f>Q18/(3.14*S18^2)/4</f>
        <v>5.6983426761943658E-2</v>
      </c>
      <c r="U18">
        <f>C18/(T18*60)</f>
        <v>8.7744810800659785</v>
      </c>
    </row>
    <row r="23" spans="3:21" x14ac:dyDescent="0.3">
      <c r="C23">
        <v>30</v>
      </c>
      <c r="D23">
        <v>5.0000000000000001E-3</v>
      </c>
      <c r="E23" t="s">
        <v>39</v>
      </c>
      <c r="F23" t="s">
        <v>40</v>
      </c>
      <c r="G23">
        <f>G18</f>
        <v>6387.5</v>
      </c>
      <c r="H23">
        <v>0.4</v>
      </c>
      <c r="I23">
        <f>I18</f>
        <v>2555</v>
      </c>
      <c r="J23">
        <f>J18</f>
        <v>2555</v>
      </c>
      <c r="K23">
        <f>0.0195*(SQRT(146.25^2+17.5^2)^0.77)*(0.005^-0.385)</f>
        <v>7.0053854350325651</v>
      </c>
      <c r="L23" t="s">
        <v>38</v>
      </c>
      <c r="M23">
        <v>0</v>
      </c>
      <c r="N23">
        <f>K23</f>
        <v>7.0053854350325651</v>
      </c>
      <c r="O23">
        <f>N23</f>
        <v>7.0053854350325651</v>
      </c>
      <c r="P23">
        <f>($O$3*$P$5^$P$3)/(O23/60+$Q$3)^$R$3</f>
        <v>15.889695916624458</v>
      </c>
      <c r="Q23">
        <f>J23*P23/360000</f>
        <v>0.1127727029638208</v>
      </c>
      <c r="R23">
        <f>((2.16*Q23*35.31*$M$5/SQRT(D23))^(3/8))/3.28</f>
        <v>0.36203981520444201</v>
      </c>
      <c r="S23">
        <v>0.4</v>
      </c>
      <c r="T23">
        <f>Q23/(3.14*S23^2)/4</f>
        <v>5.611698993024522E-2</v>
      </c>
      <c r="U23">
        <f>C23/(T23*60)</f>
        <v>8.9099575836393239</v>
      </c>
    </row>
    <row r="24" spans="3:21" x14ac:dyDescent="0.3">
      <c r="C24">
        <v>55</v>
      </c>
      <c r="D24">
        <v>5.0000000000000001E-3</v>
      </c>
      <c r="E24" t="s">
        <v>41</v>
      </c>
      <c r="F24" t="s">
        <v>40</v>
      </c>
      <c r="G24">
        <f>72.5*60</f>
        <v>4350</v>
      </c>
      <c r="H24">
        <v>0.4</v>
      </c>
      <c r="I24">
        <f>G24*H24</f>
        <v>1740</v>
      </c>
      <c r="J24">
        <f>435</f>
        <v>435</v>
      </c>
      <c r="K24">
        <f>0.0195*(SQRT(36.25^2+30^2)^0.77)*(0.005^-0.385)</f>
        <v>2.9095730275824341</v>
      </c>
      <c r="L24" t="s">
        <v>38</v>
      </c>
      <c r="M24">
        <v>0</v>
      </c>
      <c r="N24">
        <f>K24</f>
        <v>2.9095730275824341</v>
      </c>
      <c r="O24">
        <f>N24</f>
        <v>2.9095730275824341</v>
      </c>
      <c r="P24">
        <f>($O$3*$P$5^$P$3)/(O24/60+$Q$3)^$R$3</f>
        <v>17.478026671633351</v>
      </c>
      <c r="Q24">
        <f>J24*P24/360000</f>
        <v>2.1119282228223631E-2</v>
      </c>
      <c r="R24">
        <f>((2.16*Q24*35.31*$M$5/SQRT(D24))^(3/8))/3.28</f>
        <v>0.19316770546139528</v>
      </c>
      <c r="S24">
        <v>0.2</v>
      </c>
      <c r="T24">
        <f>Q24/(3.14*S24^2)/4</f>
        <v>4.2036787874648943E-2</v>
      </c>
      <c r="U24">
        <f>C24/(T24*60)</f>
        <v>21.806296651402313</v>
      </c>
    </row>
    <row r="25" spans="3:21" x14ac:dyDescent="0.3">
      <c r="C25">
        <v>115</v>
      </c>
      <c r="D25">
        <v>5.0000000000000001E-3</v>
      </c>
      <c r="E25" t="s">
        <v>40</v>
      </c>
      <c r="F25" t="s">
        <v>42</v>
      </c>
      <c r="G25">
        <v>0</v>
      </c>
      <c r="H25">
        <v>0.4</v>
      </c>
      <c r="I25">
        <f>I23+I24</f>
        <v>4295</v>
      </c>
      <c r="J25">
        <f>I25</f>
        <v>4295</v>
      </c>
      <c r="K25">
        <f>0.0195*(SQRT(36.25^2+30^2)^0.77)*(0.005^-0.385)</f>
        <v>2.9095730275824341</v>
      </c>
      <c r="L25" t="s">
        <v>38</v>
      </c>
      <c r="M25">
        <f>U24</f>
        <v>21.806296651402313</v>
      </c>
      <c r="N25">
        <f>K25+M25</f>
        <v>24.715869678984745</v>
      </c>
      <c r="O25">
        <f>N25</f>
        <v>24.715869678984745</v>
      </c>
      <c r="P25">
        <f>($O$3*$P$5^$P$3)/(O25/60+$Q$3)^$R$3</f>
        <v>11.565405312825082</v>
      </c>
      <c r="Q25">
        <f>J25*P25/360000</f>
        <v>0.13798171060717701</v>
      </c>
      <c r="R25">
        <f>((2.16*Q25*35.31*$M$5/SQRT(D25))^(3/8))/3.28</f>
        <v>0.39049269163146222</v>
      </c>
      <c r="S25">
        <v>0.4</v>
      </c>
      <c r="T25">
        <f>Q25/(3.14*S25^2)/4</f>
        <v>6.8661281154049056E-2</v>
      </c>
      <c r="U25">
        <f>C25/(T25*60)</f>
        <v>27.91481071211614</v>
      </c>
    </row>
    <row r="27" spans="3:21" x14ac:dyDescent="0.3">
      <c r="C27">
        <v>105</v>
      </c>
      <c r="D27">
        <v>0.01</v>
      </c>
      <c r="E27" t="s">
        <v>44</v>
      </c>
      <c r="F27" t="s">
        <v>42</v>
      </c>
      <c r="G27">
        <f>160*58</f>
        <v>9280</v>
      </c>
      <c r="H27">
        <v>0.4</v>
      </c>
      <c r="I27">
        <f>G27*H27</f>
        <v>3712</v>
      </c>
      <c r="J27">
        <f>I27</f>
        <v>3712</v>
      </c>
      <c r="K27">
        <f>0.0195*(SQRT(80^2+29^2)^0.77)*(0.005^-0.385)</f>
        <v>4.5914895526588602</v>
      </c>
      <c r="L27" t="s">
        <v>38</v>
      </c>
      <c r="M27">
        <v>0</v>
      </c>
      <c r="N27">
        <f>K27</f>
        <v>4.5914895526588602</v>
      </c>
      <c r="O27">
        <f>N27</f>
        <v>4.5914895526588602</v>
      </c>
      <c r="P27">
        <f>($O$3*$P$5^$P$3)/(O27/60+$Q$3)^$R$3</f>
        <v>16.784569126195564</v>
      </c>
      <c r="Q27">
        <f>J27*P27/360000</f>
        <v>0.17306755721232758</v>
      </c>
      <c r="R27">
        <f>((2.16*Q27*35.31*$M$5/SQRT(D27))^(3/8))/3.28</f>
        <v>0.37330825024853392</v>
      </c>
      <c r="S27">
        <v>0.4</v>
      </c>
      <c r="T27">
        <f>Q27/(3.14*S27^2)/4</f>
        <v>8.6120400682885928E-2</v>
      </c>
      <c r="U27">
        <f>C27/(T27*60)</f>
        <v>20.320388504041929</v>
      </c>
    </row>
    <row r="28" spans="3:21" x14ac:dyDescent="0.3">
      <c r="C28">
        <v>86</v>
      </c>
      <c r="D28">
        <v>0.01</v>
      </c>
      <c r="E28" t="s">
        <v>56</v>
      </c>
      <c r="F28" t="s">
        <v>37</v>
      </c>
      <c r="G28">
        <v>0</v>
      </c>
      <c r="H28">
        <v>0.4</v>
      </c>
      <c r="I28">
        <f>G28*H28</f>
        <v>0</v>
      </c>
      <c r="J28">
        <f>J27+J25</f>
        <v>8007</v>
      </c>
      <c r="K28">
        <f>K25</f>
        <v>2.9095730275824341</v>
      </c>
      <c r="L28" t="s">
        <v>38</v>
      </c>
      <c r="M28">
        <f>U25</f>
        <v>27.91481071211614</v>
      </c>
      <c r="N28">
        <f>M28+K28</f>
        <v>30.824383739698575</v>
      </c>
      <c r="O28">
        <f>N28</f>
        <v>30.824383739698575</v>
      </c>
      <c r="P28">
        <f>($O$3*$P$5^$P$3)/(O28/60+$Q$3)^$R$3</f>
        <v>10.612739715924443</v>
      </c>
      <c r="Q28">
        <f>J28*P28/360000</f>
        <v>0.23604501918168616</v>
      </c>
      <c r="R28">
        <f>((2.16*Q28*35.31*$M$5/SQRT(D28))^(3/8))/3.28</f>
        <v>0.41938199321493708</v>
      </c>
      <c r="S28">
        <v>0.5</v>
      </c>
      <c r="T28">
        <f>Q28/(3.14*S28^2)/4</f>
        <v>7.5173572987798143E-2</v>
      </c>
      <c r="U28">
        <f>C28/(T28*60)</f>
        <v>19.066984265414465</v>
      </c>
    </row>
    <row r="32" spans="3:21" x14ac:dyDescent="0.3">
      <c r="C32">
        <v>105</v>
      </c>
      <c r="D32">
        <v>5.0000000000000001E-3</v>
      </c>
      <c r="E32" t="s">
        <v>43</v>
      </c>
      <c r="F32" t="s">
        <v>37</v>
      </c>
      <c r="G32">
        <f>110*160</f>
        <v>17600</v>
      </c>
      <c r="H32">
        <v>0.6</v>
      </c>
      <c r="I32">
        <f>G32*H32</f>
        <v>10560</v>
      </c>
      <c r="J32">
        <f>I32</f>
        <v>10560</v>
      </c>
      <c r="K32">
        <f>0.0195*(SQRT(80^2+55^2)^0.77)*(0.01^-0.385)</f>
        <v>3.8916424724365002</v>
      </c>
      <c r="L32" t="s">
        <v>38</v>
      </c>
      <c r="M32">
        <v>0</v>
      </c>
      <c r="N32">
        <f>K32</f>
        <v>3.8916424724365002</v>
      </c>
      <c r="O32">
        <f>N32</f>
        <v>3.8916424724365002</v>
      </c>
      <c r="P32">
        <f>($O$3*$P$5^$P$3)/(O32/60+$Q$3)^$R$3</f>
        <v>17.065539121611369</v>
      </c>
      <c r="Q32">
        <f>J32*P32/360000</f>
        <v>0.50058914756726691</v>
      </c>
      <c r="R32">
        <f>((2.16*Q32*35.31*$M$5/SQRT(D32))^(3/8))/3.28</f>
        <v>0.63311904039263256</v>
      </c>
      <c r="S32">
        <v>0.75</v>
      </c>
      <c r="T32">
        <f>Q32/(3.14*S32^2)/4</f>
        <v>7.0854797957150301E-2</v>
      </c>
      <c r="U32">
        <f>C32/(T32*60)</f>
        <v>24.698397997808407</v>
      </c>
    </row>
    <row r="33" spans="2:21" x14ac:dyDescent="0.3">
      <c r="C33">
        <v>140</v>
      </c>
      <c r="D33">
        <v>5.0000000000000001E-3</v>
      </c>
      <c r="E33" t="s">
        <v>57</v>
      </c>
      <c r="F33" t="s">
        <v>58</v>
      </c>
      <c r="G33">
        <v>0</v>
      </c>
      <c r="J33">
        <f>J32+J28</f>
        <v>18567</v>
      </c>
      <c r="K33">
        <f>K32</f>
        <v>3.8916424724365002</v>
      </c>
      <c r="L33" t="s">
        <v>38</v>
      </c>
      <c r="M33">
        <f>U32</f>
        <v>24.698397997808407</v>
      </c>
      <c r="N33">
        <f>K33+M33</f>
        <v>28.590040470244908</v>
      </c>
      <c r="O33">
        <f>N33</f>
        <v>28.590040470244908</v>
      </c>
      <c r="P33">
        <f>($O$3*$P$5^$P$3)/(O33/60+$Q$3)^$R$3</f>
        <v>10.940302176952502</v>
      </c>
      <c r="Q33">
        <f>J33*P33/360000</f>
        <v>0.56424608477632521</v>
      </c>
      <c r="R33">
        <f>((2.16*Q33*35.31*$M$5/SQRT(D33))^(3/8))/3.28</f>
        <v>0.66218684102449465</v>
      </c>
      <c r="S33">
        <v>0.75</v>
      </c>
      <c r="T33">
        <f>Q33/(3.14*S33^2)/4</f>
        <v>7.9864980152346096E-2</v>
      </c>
      <c r="U33">
        <f>C33/(T33*60)</f>
        <v>29.215975874311788</v>
      </c>
    </row>
    <row r="35" spans="2:21" x14ac:dyDescent="0.3">
      <c r="C35">
        <v>91</v>
      </c>
      <c r="D35">
        <v>5.0000000000000001E-3</v>
      </c>
      <c r="E35" t="s">
        <v>58</v>
      </c>
      <c r="F35" t="s">
        <v>46</v>
      </c>
      <c r="G35">
        <v>0</v>
      </c>
      <c r="H35">
        <v>0</v>
      </c>
      <c r="I35">
        <v>0</v>
      </c>
      <c r="J35">
        <f>J33+J11</f>
        <v>19687</v>
      </c>
      <c r="K35">
        <f>K33</f>
        <v>3.8916424724365002</v>
      </c>
      <c r="L35" t="s">
        <v>59</v>
      </c>
      <c r="M35">
        <f>U33</f>
        <v>29.215975874311788</v>
      </c>
      <c r="N35">
        <f>K35+M35</f>
        <v>33.107618346748289</v>
      </c>
      <c r="O35">
        <f>N35</f>
        <v>33.107618346748289</v>
      </c>
      <c r="P35">
        <f>($O$3*$P$5^$P$3)/(O35/60+$Q$3)^$R$3</f>
        <v>10.29979638872009</v>
      </c>
      <c r="Q35">
        <f>J35*P35/360000</f>
        <v>0.56325580973536782</v>
      </c>
      <c r="R35">
        <f>((2.16*Q35*35.31*$M$5/SQRT(D35))^(3/8))/3.28</f>
        <v>0.6617507898675915</v>
      </c>
      <c r="S35">
        <v>0.75</v>
      </c>
      <c r="T35">
        <f>Q35/(3.14*S35^2)/4</f>
        <v>7.972481383373925E-2</v>
      </c>
      <c r="U35">
        <f>C35/(T35*60)</f>
        <v>19.023771818766154</v>
      </c>
    </row>
    <row r="36" spans="2:21" x14ac:dyDescent="0.3">
      <c r="C36">
        <v>25</v>
      </c>
      <c r="D36">
        <v>5.0000000000000001E-3</v>
      </c>
      <c r="E36" t="s">
        <v>45</v>
      </c>
      <c r="F36" t="s">
        <v>46</v>
      </c>
      <c r="G36">
        <f>110*265/2</f>
        <v>14575</v>
      </c>
      <c r="H36">
        <v>0.6</v>
      </c>
      <c r="I36">
        <f>H36*G36</f>
        <v>8745</v>
      </c>
      <c r="J36">
        <f>I36</f>
        <v>8745</v>
      </c>
      <c r="K36">
        <f>0.0195*(SQRT(110^2+(265/4)^2)^0.77)*(0.01^-0.385)</f>
        <v>4.8267528041470884</v>
      </c>
      <c r="L36" t="s">
        <v>52</v>
      </c>
      <c r="M36">
        <v>0</v>
      </c>
      <c r="N36">
        <f>K36</f>
        <v>4.8267528041470884</v>
      </c>
      <c r="O36">
        <f>N36</f>
        <v>4.8267528041470884</v>
      </c>
      <c r="P36">
        <f>($O$3*$P$5^$P$3)/(O36/60+$Q$3)^$R$3</f>
        <v>16.692417584722293</v>
      </c>
      <c r="Q36">
        <f>J36*P36/360000</f>
        <v>0.40548664382887906</v>
      </c>
      <c r="R36">
        <f>((2.16*Q36*35.31*$M$5/SQRT(D36))^(3/8))/3.28</f>
        <v>0.58502044789788044</v>
      </c>
      <c r="S36">
        <v>0.6</v>
      </c>
      <c r="T36">
        <f>Q36/(3.14*S36^2)/4</f>
        <v>8.9677690160314724E-2</v>
      </c>
      <c r="U36">
        <f>C36/(T36*60)</f>
        <v>4.6462689429422337</v>
      </c>
    </row>
    <row r="37" spans="2:21" x14ac:dyDescent="0.3">
      <c r="C37">
        <v>54</v>
      </c>
      <c r="D37">
        <v>5.0000000000000001E-3</v>
      </c>
      <c r="E37" t="s">
        <v>49</v>
      </c>
      <c r="F37" t="s">
        <v>46</v>
      </c>
      <c r="G37">
        <f>58*265/2</f>
        <v>7685</v>
      </c>
      <c r="H37">
        <v>0.4</v>
      </c>
      <c r="I37">
        <f>H37*G37</f>
        <v>3074</v>
      </c>
      <c r="J37">
        <f>I37</f>
        <v>3074</v>
      </c>
      <c r="K37">
        <f>0.0195*(SQRT(29^2+(265/4)^2)^0.77)*(0.005^-0.385)</f>
        <v>4.0509446385560626</v>
      </c>
      <c r="L37" t="s">
        <v>51</v>
      </c>
      <c r="M37">
        <v>0</v>
      </c>
      <c r="N37">
        <f>K37</f>
        <v>4.0509446385560626</v>
      </c>
      <c r="O37">
        <f>N37</f>
        <v>4.0509446385560626</v>
      </c>
      <c r="P37">
        <f>($O$3*$P$5^$P$3)/(O37/60+$Q$3)^$R$3</f>
        <v>17.000663908200032</v>
      </c>
      <c r="Q37">
        <f>J37*P37/360000</f>
        <v>0.1451667801494636</v>
      </c>
      <c r="R37">
        <f>((2.16*Q37*35.31*$M$5/SQRT(D37))^(3/8))/3.28</f>
        <v>0.39799723499081285</v>
      </c>
      <c r="S37">
        <v>0.25</v>
      </c>
      <c r="T37">
        <f>Q37/(3.14*S37^2)/4</f>
        <v>0.18492583458530396</v>
      </c>
      <c r="U37">
        <f>C37/(T37*60)</f>
        <v>4.866815942825129</v>
      </c>
    </row>
    <row r="38" spans="2:21" x14ac:dyDescent="0.3">
      <c r="B38" t="s">
        <v>60</v>
      </c>
      <c r="C38">
        <v>132.5</v>
      </c>
      <c r="D38">
        <v>5.0000000000000001E-3</v>
      </c>
      <c r="E38" t="s">
        <v>46</v>
      </c>
      <c r="F38" t="s">
        <v>48</v>
      </c>
      <c r="G38">
        <v>0</v>
      </c>
      <c r="J38">
        <f>SUM(J35:J37)</f>
        <v>31506</v>
      </c>
      <c r="K38">
        <f>K35</f>
        <v>3.8916424724365002</v>
      </c>
      <c r="M38">
        <f>U35</f>
        <v>19.023771818766154</v>
      </c>
      <c r="N38">
        <f>K38+M38</f>
        <v>22.915414291202655</v>
      </c>
      <c r="O38">
        <f>N38</f>
        <v>22.915414291202655</v>
      </c>
      <c r="P38">
        <f>($O$3*$P$5^$P$3)/(O38/60+$Q$3)^$R$3</f>
        <v>11.8840194337826</v>
      </c>
      <c r="Q38">
        <f>J38*P38/360000</f>
        <v>1.0400497674465405</v>
      </c>
      <c r="R38">
        <f>((2.16*Q38*35.31*$M$5/SQRT(D38))^(3/8))/3.28</f>
        <v>0.83286600101782937</v>
      </c>
      <c r="S38">
        <v>1</v>
      </c>
      <c r="T38">
        <f>Q38/(3.14*S38^2)/4</f>
        <v>8.2806510147017551E-2</v>
      </c>
      <c r="U38">
        <f>C38/(T38*60)</f>
        <v>26.66859561419243</v>
      </c>
    </row>
    <row r="40" spans="2:21" x14ac:dyDescent="0.3">
      <c r="C40">
        <v>25</v>
      </c>
      <c r="D40">
        <v>5.0000000000000001E-3</v>
      </c>
      <c r="E40" t="s">
        <v>47</v>
      </c>
      <c r="F40" t="s">
        <v>48</v>
      </c>
      <c r="G40">
        <f>110*265/2</f>
        <v>14575</v>
      </c>
      <c r="H40">
        <v>0.6</v>
      </c>
      <c r="I40">
        <f>H40*G40</f>
        <v>8745</v>
      </c>
      <c r="J40">
        <f>I40</f>
        <v>8745</v>
      </c>
      <c r="K40">
        <f>0.0195*(SQRT(110^2+(265/4)^2)^0.77)*(0.01^-0.385)</f>
        <v>4.8267528041470884</v>
      </c>
      <c r="L40" t="s">
        <v>52</v>
      </c>
      <c r="M40">
        <v>0</v>
      </c>
      <c r="N40">
        <f>K40</f>
        <v>4.8267528041470884</v>
      </c>
      <c r="O40">
        <f>N40</f>
        <v>4.8267528041470884</v>
      </c>
      <c r="P40">
        <f>($O$3*$P$5^$P$3)/(O40/60+$Q$3)^$R$3</f>
        <v>16.692417584722293</v>
      </c>
      <c r="Q40">
        <f>J40*P40/360000</f>
        <v>0.40548664382887906</v>
      </c>
      <c r="R40">
        <f>((2.16*Q40*35.31*$M$5/SQRT(D40))^(3/8))/3.28</f>
        <v>0.58502044789788044</v>
      </c>
      <c r="S40">
        <v>0.6</v>
      </c>
      <c r="T40">
        <f>Q40/(3.14*S40^2)/4</f>
        <v>8.9677690160314724E-2</v>
      </c>
      <c r="U40">
        <f>C40/(T40*60)</f>
        <v>4.6462689429422337</v>
      </c>
    </row>
    <row r="41" spans="2:21" x14ac:dyDescent="0.3">
      <c r="C41">
        <v>54</v>
      </c>
      <c r="D41">
        <v>5.0000000000000001E-3</v>
      </c>
      <c r="E41" t="s">
        <v>50</v>
      </c>
      <c r="F41" t="s">
        <v>48</v>
      </c>
      <c r="G41">
        <f>58*265/2</f>
        <v>7685</v>
      </c>
      <c r="H41">
        <v>0.4</v>
      </c>
      <c r="I41">
        <f>H41*G41</f>
        <v>3074</v>
      </c>
      <c r="J41">
        <f>I41</f>
        <v>3074</v>
      </c>
      <c r="K41">
        <f>0.0195*(SQRT(29^2+(265/4)^2)^0.77)*(0.005^-0.385)</f>
        <v>4.0509446385560626</v>
      </c>
      <c r="L41" t="s">
        <v>38</v>
      </c>
      <c r="M41">
        <v>0</v>
      </c>
      <c r="N41">
        <f>K41</f>
        <v>4.0509446385560626</v>
      </c>
      <c r="O41">
        <f>N41</f>
        <v>4.0509446385560626</v>
      </c>
      <c r="P41">
        <f>($O$3*$P$5^$P$3)/(O41/60+$Q$3)^$R$3</f>
        <v>17.000663908200032</v>
      </c>
      <c r="Q41">
        <f>J41*P41/360000</f>
        <v>0.1451667801494636</v>
      </c>
      <c r="R41">
        <f>((2.16*Q41*35.31*$M$5/SQRT(D41))^(3/8))/3.28</f>
        <v>0.39799723499081285</v>
      </c>
      <c r="S41">
        <v>0.25</v>
      </c>
      <c r="T41">
        <f>Q41/(3.14*S41^2)/4</f>
        <v>0.18492583458530396</v>
      </c>
      <c r="U41">
        <f>C41/(T41*60)</f>
        <v>4.866815942825129</v>
      </c>
    </row>
    <row r="42" spans="2:21" x14ac:dyDescent="0.3">
      <c r="C42">
        <v>132.5</v>
      </c>
      <c r="D42">
        <v>5.0000000000000001E-3</v>
      </c>
      <c r="E42" t="s">
        <v>46</v>
      </c>
      <c r="F42" t="s">
        <v>48</v>
      </c>
      <c r="G42">
        <v>0</v>
      </c>
      <c r="J42">
        <v>31506</v>
      </c>
      <c r="K42">
        <v>3.8916424724365002</v>
      </c>
      <c r="M42">
        <v>19.023771818766154</v>
      </c>
      <c r="N42">
        <v>22.915414291202655</v>
      </c>
      <c r="O42">
        <v>22.915414291202655</v>
      </c>
      <c r="P42">
        <v>11.8840194337826</v>
      </c>
      <c r="Q42">
        <v>1.0400497674465405</v>
      </c>
      <c r="R42">
        <v>0.83286600101782937</v>
      </c>
      <c r="S42">
        <v>1</v>
      </c>
      <c r="T42">
        <v>8.2806510147017551E-2</v>
      </c>
      <c r="U42">
        <v>26.66859561419243</v>
      </c>
    </row>
    <row r="43" spans="2:21" x14ac:dyDescent="0.3">
      <c r="B43" t="s">
        <v>60</v>
      </c>
      <c r="C43">
        <v>91</v>
      </c>
      <c r="D43">
        <v>5.0000000000000001E-3</v>
      </c>
      <c r="E43" t="s">
        <v>48</v>
      </c>
      <c r="F43" t="s">
        <v>61</v>
      </c>
      <c r="G43">
        <v>0</v>
      </c>
      <c r="J43">
        <f>SUM(J40:J42)</f>
        <v>43325</v>
      </c>
      <c r="K43">
        <f>K42</f>
        <v>3.8916424724365002</v>
      </c>
      <c r="M43">
        <f>U42</f>
        <v>26.66859561419243</v>
      </c>
      <c r="N43">
        <f>K43+M43</f>
        <v>30.560238086628932</v>
      </c>
      <c r="O43">
        <f>N43</f>
        <v>30.560238086628932</v>
      </c>
      <c r="P43">
        <f>($O$3*$P$5^$P$3)/(O43/60+$Q$3)^$R$3</f>
        <v>10.650321814265082</v>
      </c>
      <c r="Q43">
        <f>J43*P43/360000</f>
        <v>1.2817366461195407</v>
      </c>
      <c r="R43">
        <f>((2.16*Q43*35.31*$M$5/SQRT(D43))^(3/8))/3.28</f>
        <v>0.90075024492401501</v>
      </c>
      <c r="S43">
        <v>1</v>
      </c>
      <c r="T43">
        <f>Q43/(3.14*S43^2)/4</f>
        <v>0.10204909602862586</v>
      </c>
      <c r="U43">
        <f>C43/(T43*60)</f>
        <v>14.862127404256727</v>
      </c>
    </row>
    <row r="45" spans="2:21" x14ac:dyDescent="0.3">
      <c r="C45">
        <v>60</v>
      </c>
      <c r="D45">
        <v>5.0000000000000001E-3</v>
      </c>
      <c r="E45" t="s">
        <v>53</v>
      </c>
      <c r="F45" t="s">
        <v>54</v>
      </c>
      <c r="G45">
        <f>70*110</f>
        <v>7700</v>
      </c>
      <c r="H45">
        <v>0.6</v>
      </c>
      <c r="I45">
        <f>H45*G45</f>
        <v>4620</v>
      </c>
      <c r="J45">
        <f>I45</f>
        <v>4620</v>
      </c>
      <c r="K45">
        <f>0.0195*(SQRT(85^2+25^2)^0.77)*(0.005^-0.385)</f>
        <v>4.7364829416398377</v>
      </c>
      <c r="L45" t="s">
        <v>55</v>
      </c>
      <c r="M45">
        <v>0</v>
      </c>
      <c r="N45">
        <f>K45</f>
        <v>4.7364829416398377</v>
      </c>
      <c r="O45">
        <f>N45</f>
        <v>4.7364829416398377</v>
      </c>
      <c r="P45">
        <f>($O$3*$P$5^$P$3)/(O45/60+$Q$3)^$R$3</f>
        <v>16.727642139088672</v>
      </c>
      <c r="Q45">
        <f>J45*P45/360000</f>
        <v>0.21467140745163796</v>
      </c>
      <c r="R45">
        <f>((2.16*Q45*35.31*$M$5/SQRT(D45))^(3/8))/3.28</f>
        <v>0.46088774960691503</v>
      </c>
      <c r="S45">
        <v>0.5</v>
      </c>
      <c r="T45">
        <f>Q45/(3.14*S45^2)/4</f>
        <v>6.8366690271222275E-2</v>
      </c>
      <c r="U45">
        <f>C45/(T45*60)</f>
        <v>14.627006163861818</v>
      </c>
    </row>
    <row r="46" spans="2:21" x14ac:dyDescent="0.3">
      <c r="C46">
        <v>80</v>
      </c>
      <c r="D46">
        <v>5.0000000000000001E-3</v>
      </c>
      <c r="E46" t="s">
        <v>62</v>
      </c>
      <c r="F46" t="s">
        <v>54</v>
      </c>
      <c r="G46">
        <f>110*130</f>
        <v>14300</v>
      </c>
      <c r="H46">
        <v>0.5</v>
      </c>
      <c r="I46">
        <f>G46*H46</f>
        <v>7150</v>
      </c>
      <c r="J46">
        <f>I46</f>
        <v>7150</v>
      </c>
      <c r="K46">
        <f>0.0195*(SQRT(65^2+55^2)^0.77)*(0.005^-0.385)</f>
        <v>4.5936858563147682</v>
      </c>
      <c r="L46" t="s">
        <v>63</v>
      </c>
      <c r="M46">
        <v>0</v>
      </c>
      <c r="N46">
        <f>K46</f>
        <v>4.5936858563147682</v>
      </c>
      <c r="O46">
        <f>K46</f>
        <v>4.5936858563147682</v>
      </c>
      <c r="P46">
        <f>($O$3*$P$5^$P$3)/(O46/60+$Q$3)^$R$3</f>
        <v>16.783703593396435</v>
      </c>
      <c r="Q46">
        <f>J46*P46/360000</f>
        <v>0.33334300192440142</v>
      </c>
      <c r="R46">
        <f>((2.16*Q46*35.31*$M$5/SQRT(D46))^(3/8))/3.28</f>
        <v>0.54358077896287915</v>
      </c>
      <c r="S46">
        <v>0.6</v>
      </c>
      <c r="T46">
        <f>Q46/(3.14*S46^2)/4</f>
        <v>7.3722355344214743E-2</v>
      </c>
      <c r="U46">
        <f>C46/(T46*60)</f>
        <v>18.085875405199801</v>
      </c>
    </row>
    <row r="47" spans="2:21" x14ac:dyDescent="0.3">
      <c r="B47" t="s">
        <v>64</v>
      </c>
      <c r="C47">
        <v>110</v>
      </c>
      <c r="D47">
        <v>5.0000000000000001E-3</v>
      </c>
      <c r="E47" t="s">
        <v>54</v>
      </c>
      <c r="F47" t="s">
        <v>65</v>
      </c>
      <c r="G47">
        <v>0</v>
      </c>
      <c r="J47">
        <f>J45+J46</f>
        <v>11770</v>
      </c>
      <c r="K47">
        <f>K46</f>
        <v>4.5936858563147682</v>
      </c>
      <c r="L47" t="s">
        <v>59</v>
      </c>
      <c r="M47">
        <f>U46</f>
        <v>18.085875405199801</v>
      </c>
      <c r="N47">
        <f>M47+K47</f>
        <v>22.679561261514568</v>
      </c>
      <c r="O47">
        <f>N47</f>
        <v>22.679561261514568</v>
      </c>
      <c r="P47">
        <f>($O$3*$P$5^$P$3)/(O47/60+$Q$3)^$R$3</f>
        <v>11.927216632951136</v>
      </c>
      <c r="Q47">
        <f>J47*P47/360000</f>
        <v>0.38995372158287467</v>
      </c>
      <c r="R47">
        <f>((2.16*Q47*35.31*$M$5/SQRT(D47))^(3/8))/3.28</f>
        <v>0.57651384241132564</v>
      </c>
      <c r="S47">
        <v>0.6</v>
      </c>
      <c r="T47">
        <f>Q47/(3.14*S47^2)/4</f>
        <v>8.6242418962949985E-2</v>
      </c>
      <c r="U47">
        <f>C47/(T47*60)</f>
        <v>21.257907134086061</v>
      </c>
    </row>
    <row r="50" spans="2:21" x14ac:dyDescent="0.3">
      <c r="C50">
        <v>110</v>
      </c>
      <c r="D50">
        <v>5.0000000000000001E-3</v>
      </c>
      <c r="E50" t="s">
        <v>54</v>
      </c>
      <c r="F50" t="s">
        <v>65</v>
      </c>
      <c r="G50">
        <v>0</v>
      </c>
      <c r="J50">
        <v>11770</v>
      </c>
      <c r="K50">
        <v>4.5936858563147682</v>
      </c>
      <c r="L50" t="s">
        <v>59</v>
      </c>
      <c r="M50">
        <v>18.085875405199801</v>
      </c>
      <c r="N50">
        <v>22.679561261514568</v>
      </c>
      <c r="O50">
        <v>22.679561261514568</v>
      </c>
      <c r="P50">
        <v>11.927216632951136</v>
      </c>
      <c r="Q50">
        <v>0.38995372158287467</v>
      </c>
      <c r="R50">
        <v>0.57651384241132564</v>
      </c>
      <c r="S50">
        <v>0.6</v>
      </c>
      <c r="T50">
        <v>8.6242418962949985E-2</v>
      </c>
      <c r="U50">
        <v>21.257907134086061</v>
      </c>
    </row>
    <row r="51" spans="2:21" x14ac:dyDescent="0.3">
      <c r="C51">
        <v>91</v>
      </c>
      <c r="D51">
        <v>5.0000000000000001E-3</v>
      </c>
      <c r="E51" t="s">
        <v>48</v>
      </c>
      <c r="F51" t="s">
        <v>61</v>
      </c>
      <c r="G51">
        <v>0</v>
      </c>
      <c r="J51">
        <v>43325</v>
      </c>
      <c r="K51">
        <v>3.8916424724365002</v>
      </c>
      <c r="M51">
        <v>26.66859561419243</v>
      </c>
      <c r="N51">
        <v>30.560238086628932</v>
      </c>
      <c r="O51">
        <v>30.560238086628932</v>
      </c>
      <c r="P51">
        <v>10.650321814265082</v>
      </c>
      <c r="Q51">
        <v>1.2817366461195407</v>
      </c>
      <c r="R51">
        <v>0.90075024492401501</v>
      </c>
      <c r="S51">
        <v>1</v>
      </c>
      <c r="T51">
        <v>0.10204909602862586</v>
      </c>
      <c r="U51">
        <v>14.862127404256727</v>
      </c>
    </row>
    <row r="52" spans="2:21" x14ac:dyDescent="0.3">
      <c r="B52" t="s">
        <v>64</v>
      </c>
      <c r="C52">
        <v>145</v>
      </c>
      <c r="D52">
        <v>5.0000000000000001E-3</v>
      </c>
      <c r="E52" t="s">
        <v>65</v>
      </c>
      <c r="F52" t="s">
        <v>66</v>
      </c>
      <c r="G52">
        <v>0</v>
      </c>
      <c r="J52">
        <f>J50+J51</f>
        <v>55095</v>
      </c>
      <c r="K52">
        <f>K50</f>
        <v>4.5936858563147682</v>
      </c>
      <c r="M52">
        <f>U50</f>
        <v>21.257907134086061</v>
      </c>
      <c r="N52">
        <f>M52+K52</f>
        <v>25.851592990400828</v>
      </c>
      <c r="O52">
        <f>N52</f>
        <v>25.851592990400828</v>
      </c>
      <c r="P52">
        <f>($O$3*$P$5^$P$3)/(O52/60+$Q$3)^$R$3</f>
        <v>11.374020210378973</v>
      </c>
      <c r="Q52">
        <f>J52*P52/360000</f>
        <v>1.7406990096967487</v>
      </c>
      <c r="R52">
        <f>((2.16*Q52*35.31*$M$5/SQRT(D52))^(3/8))/3.28</f>
        <v>1.0103020150687048</v>
      </c>
      <c r="S52">
        <v>1.25</v>
      </c>
      <c r="T52">
        <f>Q52/(3.14*S52^2)/4</f>
        <v>8.8698038710662355E-2</v>
      </c>
      <c r="U52">
        <f>C52/(T52*60)</f>
        <v>27.245998917179666</v>
      </c>
    </row>
    <row r="54" spans="2:21" x14ac:dyDescent="0.3">
      <c r="C54">
        <v>85</v>
      </c>
      <c r="D54">
        <v>5.0000000000000001E-3</v>
      </c>
      <c r="E54" t="s">
        <v>62</v>
      </c>
      <c r="F54" t="s">
        <v>66</v>
      </c>
      <c r="G54">
        <f>37.5*128</f>
        <v>4800</v>
      </c>
      <c r="H54">
        <v>0.4</v>
      </c>
      <c r="I54">
        <f>H54*G54</f>
        <v>1920</v>
      </c>
      <c r="J54">
        <f>I54</f>
        <v>1920</v>
      </c>
      <c r="K54">
        <f>0.0195*(SQRT(18.75^2+64^2)^0.77)*(0.005^-0.385)</f>
        <v>3.8059068327813259</v>
      </c>
      <c r="L54" t="s">
        <v>38</v>
      </c>
      <c r="M54">
        <v>0</v>
      </c>
      <c r="N54">
        <f>K54</f>
        <v>3.8059068327813259</v>
      </c>
      <c r="O54">
        <f>N54</f>
        <v>3.8059068327813259</v>
      </c>
      <c r="P54">
        <f>($O$3*$P$5^$P$3)/(O54/60+$Q$3)^$R$3</f>
        <v>17.100683890554485</v>
      </c>
      <c r="Q54">
        <f>J54*P54/360000</f>
        <v>9.1203647416290584E-2</v>
      </c>
      <c r="R54">
        <f>((2.16*Q54*35.31*$M$5/SQRT(D54))^(3/8))/3.28</f>
        <v>0.33433698056219974</v>
      </c>
      <c r="S54">
        <v>0.4</v>
      </c>
      <c r="T54">
        <f>Q54/(3.14*S54^2)/4</f>
        <v>4.5383980601259241E-2</v>
      </c>
      <c r="U54">
        <f>C54/(T54*60)</f>
        <v>31.215125863758175</v>
      </c>
    </row>
    <row r="55" spans="2:21" x14ac:dyDescent="0.3">
      <c r="C55">
        <v>10</v>
      </c>
      <c r="D55">
        <v>5.0000000000000001E-3</v>
      </c>
      <c r="E55" t="s">
        <v>67</v>
      </c>
      <c r="F55" t="s">
        <v>66</v>
      </c>
      <c r="G55">
        <f>90*50</f>
        <v>4500</v>
      </c>
      <c r="H55">
        <v>0.6</v>
      </c>
      <c r="I55">
        <f>H55*G55</f>
        <v>2700</v>
      </c>
      <c r="J55">
        <f>I55</f>
        <v>2700</v>
      </c>
      <c r="K55">
        <f>0.0195*(SQRT(90^2+50^2)^0.77)*(0.005^-0.385)</f>
        <v>5.3170888532618985</v>
      </c>
      <c r="L55" t="s">
        <v>38</v>
      </c>
      <c r="M55">
        <v>0</v>
      </c>
      <c r="N55">
        <f>K55</f>
        <v>5.3170888532618985</v>
      </c>
      <c r="O55">
        <f>N55</f>
        <v>5.3170888532618985</v>
      </c>
      <c r="P55">
        <f>($O$3*$P$5^$P$3)/(O55/60+$Q$3)^$R$3</f>
        <v>16.50393455991</v>
      </c>
      <c r="Q55">
        <f>J55*P55/360000</f>
        <v>0.123779509199325</v>
      </c>
      <c r="R55">
        <f>((2.16*Q55*35.31*$M$5/SQRT(D55))^(3/8))/3.28</f>
        <v>0.37490663108234973</v>
      </c>
      <c r="S55">
        <v>0.4</v>
      </c>
      <c r="T55">
        <f>Q55/(3.14*S55^2)/4</f>
        <v>6.1594102905715056E-2</v>
      </c>
      <c r="U55">
        <f>C55/(T55*60)</f>
        <v>2.7058867457131579</v>
      </c>
    </row>
    <row r="56" spans="2:21" x14ac:dyDescent="0.3">
      <c r="C56">
        <v>145</v>
      </c>
      <c r="D56">
        <v>5.0000000000000001E-3</v>
      </c>
      <c r="E56" t="s">
        <v>65</v>
      </c>
      <c r="F56" t="s">
        <v>66</v>
      </c>
      <c r="G56">
        <v>0</v>
      </c>
      <c r="J56">
        <v>55095</v>
      </c>
      <c r="K56">
        <v>4.5936858563147682</v>
      </c>
      <c r="M56">
        <v>21.257907134086061</v>
      </c>
      <c r="N56">
        <v>25.851592990400828</v>
      </c>
      <c r="O56">
        <v>25.851592990400828</v>
      </c>
      <c r="P56">
        <v>11.374020210378973</v>
      </c>
      <c r="Q56">
        <v>1.7406990096967487</v>
      </c>
      <c r="R56">
        <v>1.0103020150687048</v>
      </c>
      <c r="S56">
        <v>1.25</v>
      </c>
      <c r="T56">
        <v>8.8698038710662355E-2</v>
      </c>
      <c r="U56">
        <v>27.245998917179666</v>
      </c>
    </row>
    <row r="57" spans="2:21" x14ac:dyDescent="0.3">
      <c r="B57" t="s">
        <v>60</v>
      </c>
      <c r="C57">
        <v>30</v>
      </c>
      <c r="D57">
        <v>5.0000000000000001E-3</v>
      </c>
      <c r="E57" t="s">
        <v>66</v>
      </c>
      <c r="F57" t="s">
        <v>68</v>
      </c>
      <c r="G57">
        <v>0</v>
      </c>
      <c r="J57">
        <f>J55+J56+J54</f>
        <v>59715</v>
      </c>
      <c r="K57">
        <f>K56</f>
        <v>4.5936858563147682</v>
      </c>
      <c r="M57">
        <f>U56</f>
        <v>27.245998917179666</v>
      </c>
      <c r="N57">
        <f>M57+K57</f>
        <v>31.839684773494433</v>
      </c>
      <c r="O57">
        <f>N57</f>
        <v>31.839684773494433</v>
      </c>
      <c r="P57">
        <f>($O$3*$P$5^$P$3)/(O57/60+$Q$3)^$R$3</f>
        <v>10.470996069733181</v>
      </c>
      <c r="Q57">
        <f>J57*P57/360000</f>
        <v>1.7368764730669914</v>
      </c>
      <c r="R57">
        <f>((2.16*Q57*35.31*$M$5/SQRT(D57))^(3/8))/3.28</f>
        <v>1.0094694680986325</v>
      </c>
      <c r="S57">
        <v>1.25</v>
      </c>
      <c r="T57">
        <f>Q57/(3.14*S57^2)/4</f>
        <v>8.8503259774114218E-2</v>
      </c>
      <c r="U57">
        <f>C57/(T57*60)</f>
        <v>5.6495094223212101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Sandhu</dc:creator>
  <cp:lastModifiedBy>Aryan Sandhu</cp:lastModifiedBy>
  <dcterms:created xsi:type="dcterms:W3CDTF">2021-06-09T14:23:55Z</dcterms:created>
  <dcterms:modified xsi:type="dcterms:W3CDTF">2021-06-09T19:47:45Z</dcterms:modified>
</cp:coreProperties>
</file>