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vub\Documents\vu\working\Biz_Tartan\Gemini_project_valuation\project1\"/>
    </mc:Choice>
  </mc:AlternateContent>
  <xr:revisionPtr revIDLastSave="0" documentId="13_ncr:1_{4BA2C390-302D-4DB3-9A08-510FBE2DF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binomial tr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7" i="1"/>
  <c r="B45" i="1"/>
  <c r="B46" i="1"/>
  <c r="L21" i="1"/>
  <c r="M21" i="1"/>
  <c r="K21" i="1"/>
  <c r="C21" i="1"/>
  <c r="D21" i="1"/>
  <c r="E21" i="1"/>
  <c r="F21" i="1"/>
  <c r="G21" i="1"/>
  <c r="H21" i="1"/>
  <c r="I21" i="1"/>
  <c r="J21" i="1"/>
  <c r="B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Y21" i="1" s="1"/>
  <c r="N12" i="1"/>
  <c r="N14" i="1" s="1"/>
  <c r="N18" i="1" s="1"/>
  <c r="O12" i="1"/>
  <c r="O14" i="1" s="1"/>
  <c r="O18" i="1" s="1"/>
  <c r="P12" i="1"/>
  <c r="P14" i="1" s="1"/>
  <c r="P18" i="1" s="1"/>
  <c r="Q12" i="1"/>
  <c r="Q14" i="1" s="1"/>
  <c r="R12" i="1"/>
  <c r="R14" i="1" s="1"/>
  <c r="R18" i="1" s="1"/>
  <c r="S12" i="1"/>
  <c r="S14" i="1" s="1"/>
  <c r="S18" i="1" s="1"/>
  <c r="T12" i="1"/>
  <c r="T14" i="1" s="1"/>
  <c r="T18" i="1" s="1"/>
  <c r="U12" i="1"/>
  <c r="U14" i="1" s="1"/>
  <c r="V12" i="1"/>
  <c r="V14" i="1" s="1"/>
  <c r="V18" i="1" s="1"/>
  <c r="W12" i="1"/>
  <c r="W14" i="1" s="1"/>
  <c r="W18" i="1" s="1"/>
  <c r="X12" i="1"/>
  <c r="X14" i="1" s="1"/>
  <c r="X18" i="1" s="1"/>
  <c r="Y12" i="1"/>
  <c r="Y14" i="1" s="1"/>
  <c r="J14" i="2"/>
  <c r="G17" i="2"/>
  <c r="E20" i="2"/>
  <c r="D24" i="2"/>
  <c r="D12" i="1"/>
  <c r="D14" i="1" s="1"/>
  <c r="D18" i="1" s="1"/>
  <c r="E12" i="1"/>
  <c r="E14" i="1" s="1"/>
  <c r="E18" i="1" s="1"/>
  <c r="F12" i="1"/>
  <c r="F14" i="1" s="1"/>
  <c r="F18" i="1" s="1"/>
  <c r="G12" i="1"/>
  <c r="G14" i="1" s="1"/>
  <c r="G18" i="1" s="1"/>
  <c r="H12" i="1"/>
  <c r="H14" i="1" s="1"/>
  <c r="H18" i="1" s="1"/>
  <c r="I12" i="1"/>
  <c r="I14" i="1" s="1"/>
  <c r="I18" i="1" s="1"/>
  <c r="J12" i="1"/>
  <c r="J14" i="1" s="1"/>
  <c r="J18" i="1" s="1"/>
  <c r="K12" i="1"/>
  <c r="K14" i="1" s="1"/>
  <c r="K18" i="1" s="1"/>
  <c r="L12" i="1"/>
  <c r="L14" i="1" s="1"/>
  <c r="L18" i="1" s="1"/>
  <c r="M12" i="1"/>
  <c r="M14" i="1" s="1"/>
  <c r="M18" i="1" s="1"/>
  <c r="C12" i="1"/>
  <c r="C14" i="1" s="1"/>
  <c r="C18" i="1" s="1"/>
  <c r="B12" i="1"/>
  <c r="B14" i="1" s="1"/>
  <c r="B18" i="1" s="1"/>
  <c r="U21" i="1" l="1"/>
  <c r="Q21" i="1"/>
  <c r="Q22" i="1"/>
  <c r="Q23" i="1" s="1"/>
  <c r="Q24" i="1" s="1"/>
  <c r="X21" i="1"/>
  <c r="T21" i="1"/>
  <c r="P21" i="1"/>
  <c r="Y18" i="1"/>
  <c r="Y22" i="1" s="1"/>
  <c r="Y23" i="1" s="1"/>
  <c r="Y24" i="1" s="1"/>
  <c r="W21" i="1"/>
  <c r="S21" i="1"/>
  <c r="O21" i="1"/>
  <c r="S22" i="1"/>
  <c r="S23" i="1" s="1"/>
  <c r="O22" i="1"/>
  <c r="O23" i="1" s="1"/>
  <c r="U18" i="1"/>
  <c r="U22" i="1" s="1"/>
  <c r="U23" i="1" s="1"/>
  <c r="U24" i="1" s="1"/>
  <c r="Q18" i="1"/>
  <c r="V21" i="1"/>
  <c r="R21" i="1"/>
  <c r="N21" i="1"/>
  <c r="X22" i="1"/>
  <c r="X23" i="1" s="1"/>
  <c r="X24" i="1" s="1"/>
  <c r="T22" i="1"/>
  <c r="T23" i="1" s="1"/>
  <c r="T24" i="1" s="1"/>
  <c r="P22" i="1"/>
  <c r="P23" i="1" s="1"/>
  <c r="P24" i="1" s="1"/>
  <c r="W22" i="1"/>
  <c r="W23" i="1" s="1"/>
  <c r="V22" i="1"/>
  <c r="V23" i="1" s="1"/>
  <c r="V24" i="1" s="1"/>
  <c r="R22" i="1"/>
  <c r="R23" i="1" s="1"/>
  <c r="R24" i="1" s="1"/>
  <c r="N22" i="1"/>
  <c r="N23" i="1" s="1"/>
  <c r="N24" i="1" s="1"/>
  <c r="M22" i="1"/>
  <c r="L22" i="1"/>
  <c r="K22" i="1"/>
  <c r="O24" i="1" l="1"/>
  <c r="S24" i="1"/>
  <c r="W24" i="1"/>
  <c r="K23" i="1"/>
  <c r="K24" i="1" s="1"/>
  <c r="J26" i="1" s="1"/>
  <c r="B50" i="1" s="1"/>
  <c r="B51" i="1" s="1"/>
  <c r="L23" i="1"/>
  <c r="L24" i="1" s="1"/>
  <c r="M23" i="1"/>
  <c r="M24" i="1"/>
  <c r="F28" i="1" l="1"/>
  <c r="D29" i="1" s="1"/>
  <c r="B30" i="1" s="1"/>
</calcChain>
</file>

<file path=xl/sharedStrings.xml><?xml version="1.0" encoding="utf-8"?>
<sst xmlns="http://schemas.openxmlformats.org/spreadsheetml/2006/main" count="81" uniqueCount="60">
  <si>
    <t>R&amp;D Expenses (Annual Estimates per Stage):</t>
  </si>
  <si>
    <t>Pre-clinical</t>
  </si>
  <si>
    <t>Phase 1</t>
  </si>
  <si>
    <t xml:space="preserve">Phase 2 </t>
  </si>
  <si>
    <t>Phase 3</t>
  </si>
  <si>
    <t>Regulatory Submission</t>
  </si>
  <si>
    <t>SG&amp;A Expenses (Annual Estimates)</t>
  </si>
  <si>
    <t>year</t>
  </si>
  <si>
    <t>Launch &amp; Sales</t>
  </si>
  <si>
    <t>Post-Launch</t>
  </si>
  <si>
    <t>REVENUE PROJECTIONS (Post-Launch)</t>
  </si>
  <si>
    <t>Target Patient Population (M)</t>
  </si>
  <si>
    <t>Market Penetration Rate (%)</t>
  </si>
  <si>
    <t>Patients Treated (k)</t>
  </si>
  <si>
    <t>Net Price per Patient ($k)</t>
  </si>
  <si>
    <t>Total Revenue ($M)</t>
  </si>
  <si>
    <t>Cost of Goods Sold (COGS) (% of Revenue)</t>
  </si>
  <si>
    <t>COGS ($M)</t>
  </si>
  <si>
    <t>Industry-average probabilities of success (PoS)</t>
  </si>
  <si>
    <t>Pre-clinical to Phase 1:</t>
  </si>
  <si>
    <t>Phase 1 to Phase 2:</t>
  </si>
  <si>
    <t>Phase 2 to Phase 3:</t>
  </si>
  <si>
    <t>Phase 3 to Approval:</t>
  </si>
  <si>
    <t>c_1</t>
  </si>
  <si>
    <t>c_2</t>
  </si>
  <si>
    <t>c_3(probability is p = 0.65)</t>
  </si>
  <si>
    <t>c_4(probability is  = 0.4)</t>
  </si>
  <si>
    <t>(c_1+ c_2)(probablility is 1 - p = 0.35)</t>
  </si>
  <si>
    <t>(c_1+ c_2+ c3)(probablility is 1 - 0.4 = 0.6)</t>
  </si>
  <si>
    <t>c_5</t>
  </si>
  <si>
    <t>c_7</t>
  </si>
  <si>
    <t>c_8</t>
  </si>
  <si>
    <t>c_9(probability is  = 0.55)</t>
  </si>
  <si>
    <t>c_6 (probability is  = 0.25)</t>
  </si>
  <si>
    <t>sum of c_i , where i from 1 to 5 (probability is  = 0.75)</t>
  </si>
  <si>
    <t>sum of c_i , where i from 1 to 8 (probability is  = 0.45)</t>
  </si>
  <si>
    <t>c_10</t>
  </si>
  <si>
    <t>c_11</t>
  </si>
  <si>
    <t>c_12</t>
  </si>
  <si>
    <t>Discount Rate (WACC)</t>
  </si>
  <si>
    <t>Corporate tax rate</t>
  </si>
  <si>
    <t>Selling, General and Administrative Expenses</t>
  </si>
  <si>
    <t>SG&amp;A</t>
  </si>
  <si>
    <t>(assume each year + 1M)</t>
  </si>
  <si>
    <t>Pre-Tax profit</t>
  </si>
  <si>
    <t>Tax (25%)</t>
  </si>
  <si>
    <t>NOPAT (Net Operating Profit After Tax )</t>
  </si>
  <si>
    <t>Net Present Value</t>
  </si>
  <si>
    <t>cost RnD and SGnA</t>
  </si>
  <si>
    <t>Risk-free rate</t>
  </si>
  <si>
    <t>value of option at year 8</t>
  </si>
  <si>
    <t>value of option at year 5</t>
  </si>
  <si>
    <t>value of option at year 3</t>
  </si>
  <si>
    <t>value of option at year 0</t>
  </si>
  <si>
    <t>Total cost in static model</t>
  </si>
  <si>
    <t>cash flow probability</t>
  </si>
  <si>
    <t>NPV year 9 discounted to year 0</t>
  </si>
  <si>
    <t>WACC</t>
  </si>
  <si>
    <t>Discounted Cash Flow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</si>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</sst>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40C28"/>
      <name val="Arial"/>
      <family val="2"/>
    </font>
    <font>
      <sz val="15"/>
      <color rgb="FF1F1F1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0" xfId="0" applyFill="1"/>
    <xf numFmtId="9" fontId="0" fillId="0" borderId="0" xfId="0" applyNumberFormat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165" fontId="0" fillId="10" borderId="0" xfId="0" applyNumberFormat="1" applyFill="1"/>
    <xf numFmtId="164" fontId="0" fillId="6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topLeftCell="A27" zoomScale="98" zoomScaleNormal="98" workbookViewId="0">
      <selection activeCell="G37" sqref="G37"/>
    </sheetView>
  </sheetViews>
  <sheetFormatPr defaultRowHeight="15" x14ac:dyDescent="0.25"/>
  <cols>
    <col min="1" max="1" width="41" bestFit="1" customWidth="1"/>
    <col min="2" max="2" width="14.140625" bestFit="1" customWidth="1"/>
    <col min="3" max="3" width="11.85546875" bestFit="1" customWidth="1"/>
    <col min="4" max="4" width="14.140625" bestFit="1" customWidth="1"/>
    <col min="5" max="5" width="12.85546875" bestFit="1" customWidth="1"/>
    <col min="6" max="6" width="15.7109375" bestFit="1" customWidth="1"/>
    <col min="7" max="8" width="12.85546875" bestFit="1" customWidth="1"/>
    <col min="9" max="9" width="16.7109375" bestFit="1" customWidth="1"/>
    <col min="10" max="10" width="21.85546875" bestFit="1" customWidth="1"/>
    <col min="11" max="11" width="16.7109375" bestFit="1" customWidth="1"/>
    <col min="12" max="12" width="14.5703125" bestFit="1" customWidth="1"/>
    <col min="13" max="13" width="15.7109375" bestFit="1" customWidth="1"/>
    <col min="14" max="15" width="14.85546875" bestFit="1" customWidth="1"/>
    <col min="16" max="16" width="14.140625" bestFit="1" customWidth="1"/>
    <col min="17" max="25" width="15.7109375" bestFit="1" customWidth="1"/>
  </cols>
  <sheetData>
    <row r="1" spans="1:25" ht="18.75" x14ac:dyDescent="0.25">
      <c r="A1" s="12" t="s">
        <v>42</v>
      </c>
      <c r="B1" s="11" t="s">
        <v>41</v>
      </c>
      <c r="E1" t="s">
        <v>43</v>
      </c>
      <c r="G1">
        <v>1000000</v>
      </c>
    </row>
    <row r="4" spans="1:25" x14ac:dyDescent="0.25">
      <c r="B4" s="18" t="s">
        <v>1</v>
      </c>
      <c r="C4" s="18"/>
      <c r="D4" t="s">
        <v>2</v>
      </c>
      <c r="E4" s="19" t="s">
        <v>3</v>
      </c>
      <c r="F4" s="19"/>
      <c r="G4" s="20" t="s">
        <v>4</v>
      </c>
      <c r="H4" s="20"/>
      <c r="I4" s="20"/>
      <c r="J4" s="1" t="s">
        <v>5</v>
      </c>
      <c r="K4" s="4" t="s">
        <v>8</v>
      </c>
      <c r="L4" s="5" t="s">
        <v>9</v>
      </c>
      <c r="M4" s="6" t="s">
        <v>9</v>
      </c>
      <c r="N4" s="6" t="s">
        <v>9</v>
      </c>
      <c r="O4" s="6" t="s">
        <v>9</v>
      </c>
      <c r="P4" s="6" t="s">
        <v>9</v>
      </c>
      <c r="Q4" s="6" t="s">
        <v>9</v>
      </c>
      <c r="R4" s="6" t="s">
        <v>9</v>
      </c>
      <c r="S4" s="6" t="s">
        <v>9</v>
      </c>
      <c r="T4" s="6" t="s">
        <v>9</v>
      </c>
      <c r="U4" s="6" t="s">
        <v>9</v>
      </c>
      <c r="V4" s="6" t="s">
        <v>9</v>
      </c>
      <c r="W4" s="6" t="s">
        <v>9</v>
      </c>
      <c r="X4" s="6" t="s">
        <v>9</v>
      </c>
      <c r="Y4" s="6" t="s">
        <v>9</v>
      </c>
    </row>
    <row r="5" spans="1:25" x14ac:dyDescent="0.25">
      <c r="A5" s="3" t="s">
        <v>59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</row>
    <row r="6" spans="1:25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25" x14ac:dyDescent="0.25">
      <c r="A7" s="3" t="s">
        <v>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25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25" x14ac:dyDescent="0.25">
      <c r="A9" t="s">
        <v>11</v>
      </c>
      <c r="B9" s="8">
        <v>50000</v>
      </c>
      <c r="C9" s="8">
        <v>50000</v>
      </c>
      <c r="D9" s="8">
        <v>50000</v>
      </c>
      <c r="E9" s="8">
        <v>50000</v>
      </c>
      <c r="F9" s="8">
        <v>50000</v>
      </c>
      <c r="G9" s="8">
        <v>50000</v>
      </c>
      <c r="H9" s="8">
        <v>50000</v>
      </c>
      <c r="I9" s="8">
        <v>50000</v>
      </c>
      <c r="J9" s="8">
        <v>50000</v>
      </c>
      <c r="K9" s="8">
        <v>50000</v>
      </c>
      <c r="L9" s="8">
        <v>50000</v>
      </c>
      <c r="M9" s="8">
        <v>50000</v>
      </c>
      <c r="N9" s="8">
        <v>50000</v>
      </c>
      <c r="O9" s="8">
        <v>50000</v>
      </c>
      <c r="P9" s="8">
        <v>50000</v>
      </c>
      <c r="Q9" s="8">
        <v>50000</v>
      </c>
      <c r="R9" s="8">
        <v>50000</v>
      </c>
      <c r="S9" s="8">
        <v>50000</v>
      </c>
      <c r="T9" s="8">
        <v>50000</v>
      </c>
      <c r="U9" s="8">
        <v>50000</v>
      </c>
      <c r="V9" s="8">
        <v>50000</v>
      </c>
      <c r="W9" s="8">
        <v>50000</v>
      </c>
      <c r="X9" s="8">
        <v>50000</v>
      </c>
      <c r="Y9" s="8">
        <v>50000</v>
      </c>
    </row>
    <row r="10" spans="1:25" x14ac:dyDescent="0.25">
      <c r="A10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0.05</v>
      </c>
      <c r="L10" s="9">
        <v>0.1</v>
      </c>
      <c r="M10" s="9">
        <v>0.15</v>
      </c>
      <c r="N10" s="9">
        <v>0.2</v>
      </c>
      <c r="O10" s="9">
        <v>0.25</v>
      </c>
      <c r="P10" s="9">
        <v>0.3</v>
      </c>
      <c r="Q10" s="9">
        <v>0.35</v>
      </c>
      <c r="R10" s="9">
        <v>0.4</v>
      </c>
      <c r="S10" s="9">
        <v>0.45</v>
      </c>
      <c r="T10" s="9">
        <v>0.5</v>
      </c>
      <c r="U10" s="9">
        <v>0.55000000000000004</v>
      </c>
      <c r="V10" s="9">
        <v>0.6</v>
      </c>
      <c r="W10" s="9">
        <v>0.65</v>
      </c>
      <c r="X10" s="9">
        <v>0.7</v>
      </c>
      <c r="Y10" s="16">
        <v>0.75</v>
      </c>
    </row>
    <row r="11" spans="1:25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/>
      <c r="O11" s="2"/>
    </row>
    <row r="12" spans="1:25" x14ac:dyDescent="0.25">
      <c r="A12" t="s">
        <v>13</v>
      </c>
      <c r="B12" s="8">
        <f>B9*B10</f>
        <v>0</v>
      </c>
      <c r="C12" s="8">
        <f>C9*C10</f>
        <v>0</v>
      </c>
      <c r="D12" s="8">
        <f t="shared" ref="D12:J12" si="0">D9*D10</f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8">
        <f t="shared" si="0"/>
        <v>0</v>
      </c>
      <c r="J12" s="8">
        <f t="shared" si="0"/>
        <v>0</v>
      </c>
      <c r="K12" s="8">
        <f>K9*K10</f>
        <v>2500</v>
      </c>
      <c r="L12" s="8">
        <f>L9*L10</f>
        <v>5000</v>
      </c>
      <c r="M12" s="8">
        <f>M9*M10</f>
        <v>7500</v>
      </c>
      <c r="N12" s="8">
        <f t="shared" ref="N12:Y12" si="1">N9*N10</f>
        <v>10000</v>
      </c>
      <c r="O12" s="8">
        <f t="shared" si="1"/>
        <v>12500</v>
      </c>
      <c r="P12" s="8">
        <f t="shared" si="1"/>
        <v>15000</v>
      </c>
      <c r="Q12" s="8">
        <f t="shared" si="1"/>
        <v>17500</v>
      </c>
      <c r="R12" s="8">
        <f t="shared" si="1"/>
        <v>20000</v>
      </c>
      <c r="S12" s="8">
        <f t="shared" si="1"/>
        <v>22500</v>
      </c>
      <c r="T12" s="8">
        <f t="shared" si="1"/>
        <v>25000</v>
      </c>
      <c r="U12" s="8">
        <f t="shared" si="1"/>
        <v>27500.000000000004</v>
      </c>
      <c r="V12" s="8">
        <f t="shared" si="1"/>
        <v>30000</v>
      </c>
      <c r="W12" s="8">
        <f t="shared" si="1"/>
        <v>32500</v>
      </c>
      <c r="X12" s="8">
        <f t="shared" si="1"/>
        <v>35000</v>
      </c>
      <c r="Y12" s="8">
        <f t="shared" si="1"/>
        <v>37500</v>
      </c>
    </row>
    <row r="13" spans="1:25" s="4" customFormat="1" x14ac:dyDescent="0.25">
      <c r="A13" s="4" t="s">
        <v>14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250000</v>
      </c>
      <c r="L13" s="17">
        <v>250000</v>
      </c>
      <c r="M13" s="17">
        <v>250000</v>
      </c>
      <c r="N13" s="17">
        <v>250000</v>
      </c>
      <c r="O13" s="17">
        <v>250000</v>
      </c>
      <c r="P13" s="17">
        <v>250000</v>
      </c>
      <c r="Q13" s="17">
        <v>250000</v>
      </c>
      <c r="R13" s="17">
        <v>250000</v>
      </c>
      <c r="S13" s="17">
        <v>250000</v>
      </c>
      <c r="T13" s="17">
        <v>250000</v>
      </c>
      <c r="U13" s="17">
        <v>250000</v>
      </c>
      <c r="V13" s="17">
        <v>250000</v>
      </c>
      <c r="W13" s="17">
        <v>250000</v>
      </c>
      <c r="X13" s="17">
        <v>250000</v>
      </c>
      <c r="Y13" s="17">
        <v>250000</v>
      </c>
    </row>
    <row r="14" spans="1:25" x14ac:dyDescent="0.25">
      <c r="A14" t="s">
        <v>15</v>
      </c>
      <c r="B14" s="8">
        <f>B12*B13</f>
        <v>0</v>
      </c>
      <c r="C14" s="8">
        <f t="shared" ref="C14:J14" si="2">C12*C13</f>
        <v>0</v>
      </c>
      <c r="D14" s="8">
        <f t="shared" si="2"/>
        <v>0</v>
      </c>
      <c r="E14" s="8">
        <f t="shared" si="2"/>
        <v>0</v>
      </c>
      <c r="F14" s="8">
        <f t="shared" si="2"/>
        <v>0</v>
      </c>
      <c r="G14" s="8">
        <f t="shared" si="2"/>
        <v>0</v>
      </c>
      <c r="H14" s="8">
        <f t="shared" si="2"/>
        <v>0</v>
      </c>
      <c r="I14" s="8">
        <f t="shared" si="2"/>
        <v>0</v>
      </c>
      <c r="J14" s="8">
        <f t="shared" si="2"/>
        <v>0</v>
      </c>
      <c r="K14" s="8">
        <f>K12*K13</f>
        <v>625000000</v>
      </c>
      <c r="L14" s="8">
        <f>L12*L13</f>
        <v>1250000000</v>
      </c>
      <c r="M14" s="8">
        <f>M12*M13</f>
        <v>1875000000</v>
      </c>
      <c r="N14" s="8">
        <f>N12*N13</f>
        <v>2500000000</v>
      </c>
      <c r="O14" s="8">
        <f t="shared" ref="O14:Y14" si="3">O12*O13</f>
        <v>3125000000</v>
      </c>
      <c r="P14" s="8">
        <f t="shared" si="3"/>
        <v>3750000000</v>
      </c>
      <c r="Q14" s="8">
        <f t="shared" si="3"/>
        <v>4375000000</v>
      </c>
      <c r="R14" s="8">
        <f t="shared" si="3"/>
        <v>5000000000</v>
      </c>
      <c r="S14" s="8">
        <f t="shared" si="3"/>
        <v>5625000000</v>
      </c>
      <c r="T14" s="8">
        <f t="shared" si="3"/>
        <v>6250000000</v>
      </c>
      <c r="U14" s="8">
        <f t="shared" si="3"/>
        <v>6875000000.000001</v>
      </c>
      <c r="V14" s="8">
        <f t="shared" si="3"/>
        <v>7500000000</v>
      </c>
      <c r="W14" s="8">
        <f t="shared" si="3"/>
        <v>8125000000</v>
      </c>
      <c r="X14" s="8">
        <f t="shared" si="3"/>
        <v>8750000000</v>
      </c>
      <c r="Y14" s="8">
        <f t="shared" si="3"/>
        <v>9375000000</v>
      </c>
    </row>
    <row r="15" spans="1:25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2"/>
      <c r="O15" s="2"/>
    </row>
    <row r="16" spans="1:2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2"/>
      <c r="O16" s="2"/>
    </row>
    <row r="17" spans="1:25" x14ac:dyDescent="0.25">
      <c r="A17" t="s">
        <v>16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">
        <v>0.2</v>
      </c>
      <c r="L17" s="13">
        <v>0.2</v>
      </c>
      <c r="M17" s="13">
        <v>0.2</v>
      </c>
      <c r="N17" s="9">
        <v>0.2</v>
      </c>
      <c r="O17" s="13">
        <v>0.2</v>
      </c>
      <c r="P17" s="13">
        <v>0.2</v>
      </c>
      <c r="Q17" s="9">
        <v>0.2</v>
      </c>
      <c r="R17" s="13">
        <v>0.2</v>
      </c>
      <c r="S17" s="13">
        <v>0.2</v>
      </c>
      <c r="T17" s="9">
        <v>0.2</v>
      </c>
      <c r="U17" s="13">
        <v>0.2</v>
      </c>
      <c r="V17" s="13">
        <v>0.2</v>
      </c>
      <c r="W17" s="9">
        <v>0.2</v>
      </c>
      <c r="X17" s="13">
        <v>0.2</v>
      </c>
      <c r="Y17" s="13">
        <v>0.2</v>
      </c>
    </row>
    <row r="18" spans="1:25" x14ac:dyDescent="0.25">
      <c r="A18" t="s">
        <v>17</v>
      </c>
      <c r="B18" s="8">
        <f>B14*B17</f>
        <v>0</v>
      </c>
      <c r="C18" s="8">
        <f t="shared" ref="C18:N18" si="4">C14*C17</f>
        <v>0</v>
      </c>
      <c r="D18" s="8">
        <f t="shared" si="4"/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125000000</v>
      </c>
      <c r="L18" s="8">
        <f t="shared" si="4"/>
        <v>250000000</v>
      </c>
      <c r="M18" s="8">
        <f t="shared" si="4"/>
        <v>375000000</v>
      </c>
      <c r="N18" s="8">
        <f t="shared" si="4"/>
        <v>500000000</v>
      </c>
      <c r="O18" s="8">
        <f t="shared" ref="O18" si="5">O14*O17</f>
        <v>625000000</v>
      </c>
      <c r="P18" s="8">
        <f t="shared" ref="P18" si="6">P14*P17</f>
        <v>750000000</v>
      </c>
      <c r="Q18" s="8">
        <f t="shared" ref="Q18" si="7">Q14*Q17</f>
        <v>875000000</v>
      </c>
      <c r="R18" s="8">
        <f t="shared" ref="R18" si="8">R14*R17</f>
        <v>1000000000</v>
      </c>
      <c r="S18" s="8">
        <f t="shared" ref="S18" si="9">S14*S17</f>
        <v>1125000000</v>
      </c>
      <c r="T18" s="8">
        <f t="shared" ref="T18" si="10">T14*T17</f>
        <v>1250000000</v>
      </c>
      <c r="U18" s="8">
        <f t="shared" ref="U18" si="11">U14*U17</f>
        <v>1375000000.0000002</v>
      </c>
      <c r="V18" s="8">
        <f t="shared" ref="V18" si="12">V14*V17</f>
        <v>1500000000</v>
      </c>
      <c r="W18" s="8">
        <f t="shared" ref="W18" si="13">W14*W17</f>
        <v>1625000000</v>
      </c>
      <c r="X18" s="8">
        <f t="shared" ref="X18:Y18" si="14">X14*X17</f>
        <v>1750000000</v>
      </c>
      <c r="Y18" s="8">
        <f t="shared" si="14"/>
        <v>1875000000</v>
      </c>
    </row>
    <row r="19" spans="1:25" s="14" customFormat="1" x14ac:dyDescent="0.25">
      <c r="A19" s="14" t="s">
        <v>0</v>
      </c>
      <c r="B19" s="15">
        <v>5000000</v>
      </c>
      <c r="C19" s="15">
        <v>5000000</v>
      </c>
      <c r="D19" s="15">
        <v>15000000</v>
      </c>
      <c r="E19" s="15">
        <v>30000000</v>
      </c>
      <c r="F19" s="15">
        <v>30000000</v>
      </c>
      <c r="G19" s="15">
        <v>75000000</v>
      </c>
      <c r="H19" s="15">
        <v>75000000</v>
      </c>
      <c r="I19" s="15">
        <v>75000000</v>
      </c>
      <c r="J19" s="15">
        <v>10000000</v>
      </c>
    </row>
    <row r="20" spans="1:25" x14ac:dyDescent="0.25">
      <c r="A20" t="s">
        <v>6</v>
      </c>
      <c r="B20" s="8">
        <v>2000000</v>
      </c>
      <c r="C20" s="8">
        <v>2500000</v>
      </c>
      <c r="D20" s="8">
        <v>3000000</v>
      </c>
      <c r="E20" s="8">
        <v>4000000</v>
      </c>
      <c r="F20" s="8">
        <v>4500000</v>
      </c>
      <c r="G20" s="8">
        <v>5000000</v>
      </c>
      <c r="H20" s="8">
        <v>5500000</v>
      </c>
      <c r="I20" s="8">
        <v>6000000</v>
      </c>
      <c r="J20" s="8">
        <v>7000000</v>
      </c>
      <c r="K20" s="8">
        <v>15000000</v>
      </c>
      <c r="L20" s="8">
        <v>20000000</v>
      </c>
      <c r="M20" s="8">
        <v>22000000</v>
      </c>
      <c r="N20" s="8">
        <f>M20+$G$1</f>
        <v>23000000</v>
      </c>
      <c r="O20" s="8">
        <f>N20+$G$1</f>
        <v>24000000</v>
      </c>
      <c r="P20" s="8">
        <f>O20+$G$1</f>
        <v>25000000</v>
      </c>
      <c r="Q20" s="8">
        <f t="shared" ref="Q20:Y20" si="15">P20+$G$1</f>
        <v>26000000</v>
      </c>
      <c r="R20" s="8">
        <f t="shared" si="15"/>
        <v>27000000</v>
      </c>
      <c r="S20" s="8">
        <f t="shared" si="15"/>
        <v>28000000</v>
      </c>
      <c r="T20" s="8">
        <f t="shared" si="15"/>
        <v>29000000</v>
      </c>
      <c r="U20" s="8">
        <f t="shared" si="15"/>
        <v>30000000</v>
      </c>
      <c r="V20" s="8">
        <f t="shared" si="15"/>
        <v>31000000</v>
      </c>
      <c r="W20" s="8">
        <f t="shared" si="15"/>
        <v>32000000</v>
      </c>
      <c r="X20" s="8">
        <f t="shared" si="15"/>
        <v>33000000</v>
      </c>
      <c r="Y20" s="8">
        <f t="shared" si="15"/>
        <v>34000000</v>
      </c>
    </row>
    <row r="21" spans="1:25" x14ac:dyDescent="0.25">
      <c r="A21" t="s">
        <v>48</v>
      </c>
      <c r="B21" s="8">
        <f>B19+B20</f>
        <v>7000000</v>
      </c>
      <c r="C21" s="8">
        <f t="shared" ref="C21:K21" si="16">C19+C20</f>
        <v>7500000</v>
      </c>
      <c r="D21" s="8">
        <f t="shared" si="16"/>
        <v>18000000</v>
      </c>
      <c r="E21" s="8">
        <f t="shared" si="16"/>
        <v>34000000</v>
      </c>
      <c r="F21" s="8">
        <f t="shared" si="16"/>
        <v>34500000</v>
      </c>
      <c r="G21" s="8">
        <f t="shared" si="16"/>
        <v>80000000</v>
      </c>
      <c r="H21" s="8">
        <f t="shared" si="16"/>
        <v>80500000</v>
      </c>
      <c r="I21" s="8">
        <f t="shared" si="16"/>
        <v>81000000</v>
      </c>
      <c r="J21" s="8">
        <f t="shared" si="16"/>
        <v>17000000</v>
      </c>
      <c r="K21" s="8">
        <f t="shared" si="16"/>
        <v>15000000</v>
      </c>
      <c r="L21" s="8">
        <f t="shared" ref="L21" si="17">L19+L20</f>
        <v>20000000</v>
      </c>
      <c r="M21" s="8">
        <f t="shared" ref="M21" si="18">M19+M20</f>
        <v>22000000</v>
      </c>
      <c r="N21" s="8">
        <f t="shared" ref="N21" si="19">N19+N20</f>
        <v>23000000</v>
      </c>
      <c r="O21" s="8">
        <f t="shared" ref="O21" si="20">O19+O20</f>
        <v>24000000</v>
      </c>
      <c r="P21" s="8">
        <f t="shared" ref="P21" si="21">P19+P20</f>
        <v>25000000</v>
      </c>
      <c r="Q21" s="8">
        <f t="shared" ref="Q21" si="22">Q19+Q20</f>
        <v>26000000</v>
      </c>
      <c r="R21" s="8">
        <f t="shared" ref="R21" si="23">R19+R20</f>
        <v>27000000</v>
      </c>
      <c r="S21" s="8">
        <f t="shared" ref="S21" si="24">S19+S20</f>
        <v>28000000</v>
      </c>
      <c r="T21" s="8">
        <f t="shared" ref="T21" si="25">T19+T20</f>
        <v>29000000</v>
      </c>
      <c r="U21" s="8">
        <f t="shared" ref="U21" si="26">U19+U20</f>
        <v>30000000</v>
      </c>
      <c r="V21" s="8">
        <f t="shared" ref="V21" si="27">V19+V20</f>
        <v>31000000</v>
      </c>
      <c r="W21" s="8">
        <f t="shared" ref="W21" si="28">W19+W20</f>
        <v>32000000</v>
      </c>
      <c r="X21" s="8">
        <f t="shared" ref="X21" si="29">X19+X20</f>
        <v>33000000</v>
      </c>
      <c r="Y21" s="8">
        <f t="shared" ref="Y21" si="30">Y19+Y20</f>
        <v>34000000</v>
      </c>
    </row>
    <row r="22" spans="1:25" x14ac:dyDescent="0.25">
      <c r="A22" t="s">
        <v>44</v>
      </c>
      <c r="K22" s="8">
        <f>K14-K18-K20</f>
        <v>485000000</v>
      </c>
      <c r="L22" s="8">
        <f t="shared" ref="L22:Y22" si="31">L14-L18-L20</f>
        <v>980000000</v>
      </c>
      <c r="M22" s="8">
        <f t="shared" si="31"/>
        <v>1478000000</v>
      </c>
      <c r="N22" s="8">
        <f t="shared" si="31"/>
        <v>1977000000</v>
      </c>
      <c r="O22" s="8">
        <f t="shared" si="31"/>
        <v>2476000000</v>
      </c>
      <c r="P22" s="8">
        <f t="shared" si="31"/>
        <v>2975000000</v>
      </c>
      <c r="Q22" s="8">
        <f t="shared" si="31"/>
        <v>3474000000</v>
      </c>
      <c r="R22" s="8">
        <f t="shared" si="31"/>
        <v>3973000000</v>
      </c>
      <c r="S22" s="8">
        <f t="shared" si="31"/>
        <v>4472000000</v>
      </c>
      <c r="T22" s="8">
        <f t="shared" si="31"/>
        <v>4971000000</v>
      </c>
      <c r="U22" s="8">
        <f t="shared" si="31"/>
        <v>5470000000.000001</v>
      </c>
      <c r="V22" s="8">
        <f t="shared" si="31"/>
        <v>5969000000</v>
      </c>
      <c r="W22" s="8">
        <f t="shared" si="31"/>
        <v>6468000000</v>
      </c>
      <c r="X22" s="8">
        <f t="shared" si="31"/>
        <v>6967000000</v>
      </c>
      <c r="Y22" s="8">
        <f t="shared" si="31"/>
        <v>7466000000</v>
      </c>
    </row>
    <row r="23" spans="1:25" x14ac:dyDescent="0.25">
      <c r="A23" t="s">
        <v>45</v>
      </c>
      <c r="K23" s="7">
        <f>K22*$B$41</f>
        <v>121250000</v>
      </c>
      <c r="L23" s="7">
        <f t="shared" ref="L23:N23" si="32">L22*$B$41</f>
        <v>245000000</v>
      </c>
      <c r="M23" s="7">
        <f t="shared" si="32"/>
        <v>369500000</v>
      </c>
      <c r="N23" s="7">
        <f t="shared" si="32"/>
        <v>494250000</v>
      </c>
      <c r="O23" s="7">
        <f t="shared" ref="O23" si="33">O22*$B$41</f>
        <v>619000000</v>
      </c>
      <c r="P23" s="7">
        <f t="shared" ref="P23:Q23" si="34">P22*$B$41</f>
        <v>743750000</v>
      </c>
      <c r="Q23" s="7">
        <f t="shared" si="34"/>
        <v>868500000</v>
      </c>
      <c r="R23" s="7">
        <f t="shared" ref="R23" si="35">R22*$B$41</f>
        <v>993250000</v>
      </c>
      <c r="S23" s="7">
        <f t="shared" ref="S23:T23" si="36">S22*$B$41</f>
        <v>1118000000</v>
      </c>
      <c r="T23" s="7">
        <f t="shared" si="36"/>
        <v>1242750000</v>
      </c>
      <c r="U23" s="7">
        <f t="shared" ref="U23" si="37">U22*$B$41</f>
        <v>1367500000.0000002</v>
      </c>
      <c r="V23" s="7">
        <f t="shared" ref="V23:W23" si="38">V22*$B$41</f>
        <v>1492250000</v>
      </c>
      <c r="W23" s="7">
        <f t="shared" si="38"/>
        <v>1617000000</v>
      </c>
      <c r="X23" s="7">
        <f t="shared" ref="X23" si="39">X22*$B$41</f>
        <v>1741750000</v>
      </c>
      <c r="Y23" s="7">
        <f t="shared" ref="Y23" si="40">Y22*$B$41</f>
        <v>1866500000</v>
      </c>
    </row>
    <row r="24" spans="1:25" x14ac:dyDescent="0.25">
      <c r="A24" t="s">
        <v>46</v>
      </c>
      <c r="K24" s="7">
        <f>K22-K23</f>
        <v>363750000</v>
      </c>
      <c r="L24" s="7">
        <f t="shared" ref="L24:Y24" si="41">L22-L23</f>
        <v>735000000</v>
      </c>
      <c r="M24" s="7">
        <f t="shared" si="41"/>
        <v>1108500000</v>
      </c>
      <c r="N24" s="7">
        <f t="shared" si="41"/>
        <v>1482750000</v>
      </c>
      <c r="O24" s="7">
        <f t="shared" si="41"/>
        <v>1857000000</v>
      </c>
      <c r="P24" s="7">
        <f t="shared" si="41"/>
        <v>2231250000</v>
      </c>
      <c r="Q24" s="7">
        <f t="shared" si="41"/>
        <v>2605500000</v>
      </c>
      <c r="R24" s="7">
        <f t="shared" si="41"/>
        <v>2979750000</v>
      </c>
      <c r="S24" s="7">
        <f t="shared" si="41"/>
        <v>3354000000</v>
      </c>
      <c r="T24" s="7">
        <f t="shared" si="41"/>
        <v>3728250000</v>
      </c>
      <c r="U24" s="7">
        <f t="shared" si="41"/>
        <v>4102500000.000001</v>
      </c>
      <c r="V24" s="7">
        <f t="shared" si="41"/>
        <v>4476750000</v>
      </c>
      <c r="W24" s="7">
        <f t="shared" si="41"/>
        <v>4851000000</v>
      </c>
      <c r="X24" s="7">
        <f t="shared" si="41"/>
        <v>5225250000</v>
      </c>
      <c r="Y24" s="7">
        <f t="shared" si="41"/>
        <v>5599500000</v>
      </c>
    </row>
    <row r="26" spans="1:25" x14ac:dyDescent="0.25">
      <c r="A26" t="s">
        <v>47</v>
      </c>
      <c r="J26" s="7">
        <f>K24+NPV(B40,L24:Y24)</f>
        <v>19546008821.667305</v>
      </c>
      <c r="K26" s="7"/>
    </row>
    <row r="27" spans="1:25" x14ac:dyDescent="0.25">
      <c r="A27" t="s">
        <v>50</v>
      </c>
      <c r="I27" s="7">
        <f>MAX(0,(B38*J26)/(1+B42)-J19)</f>
        <v>10228385573.254303</v>
      </c>
    </row>
    <row r="28" spans="1:25" x14ac:dyDescent="0.25">
      <c r="A28" t="s">
        <v>51</v>
      </c>
      <c r="F28" s="7">
        <f>MAX(0,(I27*B37+(1- B37)*0)/(1+B42)^3 - I19/(1+B42)^3 - H19/(1+B42)^2 - G19/(1+B42))</f>
        <v>2004672405.410712</v>
      </c>
    </row>
    <row r="29" spans="1:25" x14ac:dyDescent="0.25">
      <c r="A29" t="s">
        <v>52</v>
      </c>
      <c r="D29" s="7">
        <f>MAX(0,(F28*B36+(1-B36)*0)/(1+B42)^2 - F19/(1+B42)^2 - E19/(1+B42))</f>
        <v>671536473.6183989</v>
      </c>
    </row>
    <row r="30" spans="1:25" x14ac:dyDescent="0.25">
      <c r="A30" t="s">
        <v>53</v>
      </c>
      <c r="B30" s="7">
        <f>(D29*B35+(1-B35)*0)/(1+B42)^2 - D19/(1+B42)^2 - C19/(1+B42)-B19</f>
        <v>372549848.39179975</v>
      </c>
    </row>
    <row r="34" spans="1:9" x14ac:dyDescent="0.25">
      <c r="A34" t="s">
        <v>18</v>
      </c>
      <c r="I34">
        <f>(B38*J26)/(1+B42)</f>
        <v>10238385573.254303</v>
      </c>
    </row>
    <row r="35" spans="1:9" x14ac:dyDescent="0.25">
      <c r="A35" t="s">
        <v>19</v>
      </c>
      <c r="B35" s="2">
        <v>0.65</v>
      </c>
    </row>
    <row r="36" spans="1:9" x14ac:dyDescent="0.25">
      <c r="A36" t="s">
        <v>20</v>
      </c>
      <c r="B36" s="2">
        <v>0.4</v>
      </c>
    </row>
    <row r="37" spans="1:9" x14ac:dyDescent="0.25">
      <c r="A37" t="s">
        <v>21</v>
      </c>
      <c r="B37" s="2">
        <v>0.25</v>
      </c>
    </row>
    <row r="38" spans="1:9" x14ac:dyDescent="0.25">
      <c r="A38" t="s">
        <v>22</v>
      </c>
      <c r="B38" s="2">
        <v>0.55000000000000004</v>
      </c>
    </row>
    <row r="40" spans="1:9" x14ac:dyDescent="0.25">
      <c r="A40" t="s">
        <v>39</v>
      </c>
      <c r="B40" s="2">
        <v>0.1</v>
      </c>
    </row>
    <row r="41" spans="1:9" x14ac:dyDescent="0.25">
      <c r="A41" t="s">
        <v>40</v>
      </c>
      <c r="B41" s="2">
        <v>0.25</v>
      </c>
    </row>
    <row r="42" spans="1:9" x14ac:dyDescent="0.25">
      <c r="A42" t="s">
        <v>49</v>
      </c>
      <c r="B42" s="2">
        <v>0.05</v>
      </c>
    </row>
    <row r="45" spans="1:9" x14ac:dyDescent="0.25">
      <c r="A45" t="s">
        <v>55</v>
      </c>
      <c r="B45">
        <f>PRODUCT(B35:B38)</f>
        <v>3.5750000000000004E-2</v>
      </c>
    </row>
    <row r="46" spans="1:9" x14ac:dyDescent="0.25">
      <c r="A46" t="s">
        <v>54</v>
      </c>
      <c r="B46" s="8">
        <f>B19+NPV(B42,C19:J19)</f>
        <v>248763659.75140369</v>
      </c>
    </row>
    <row r="49" spans="1:2" x14ac:dyDescent="0.25">
      <c r="A49" t="s">
        <v>57</v>
      </c>
      <c r="B49" s="2">
        <v>0.18</v>
      </c>
    </row>
    <row r="50" spans="1:2" x14ac:dyDescent="0.25">
      <c r="A50" t="s">
        <v>56</v>
      </c>
      <c r="B50" s="7">
        <f>(J26*B45)/(1+B49)^9</f>
        <v>157541897.07844415</v>
      </c>
    </row>
    <row r="51" spans="1:2" x14ac:dyDescent="0.25">
      <c r="A51" t="s">
        <v>58</v>
      </c>
      <c r="B51" s="7">
        <f>(B50-B46)</f>
        <v>-91221762.672959536</v>
      </c>
    </row>
  </sheetData>
  <mergeCells count="3">
    <mergeCell ref="B4:C4"/>
    <mergeCell ref="E4:F4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6844-CDFB-4947-89F4-2089B592FC4E}">
  <dimension ref="A4:M24"/>
  <sheetViews>
    <sheetView workbookViewId="0">
      <selection activeCell="L9" sqref="L9"/>
    </sheetView>
  </sheetViews>
  <sheetFormatPr defaultRowHeight="15" x14ac:dyDescent="0.25"/>
  <cols>
    <col min="3" max="3" width="12" customWidth="1"/>
    <col min="4" max="4" width="9.7109375" bestFit="1" customWidth="1"/>
    <col min="5" max="5" width="13.5703125" bestFit="1" customWidth="1"/>
    <col min="6" max="6" width="14.7109375" customWidth="1"/>
    <col min="7" max="7" width="16.140625" bestFit="1" customWidth="1"/>
    <col min="8" max="9" width="13.5703125" bestFit="1" customWidth="1"/>
    <col min="10" max="10" width="21.5703125" bestFit="1" customWidth="1"/>
    <col min="11" max="11" width="14.140625" bestFit="1" customWidth="1"/>
    <col min="12" max="12" width="12.7109375" bestFit="1" customWidth="1"/>
    <col min="13" max="13" width="11.7109375" bestFit="1" customWidth="1"/>
  </cols>
  <sheetData>
    <row r="4" spans="1:13" x14ac:dyDescent="0.25">
      <c r="B4" s="18" t="s">
        <v>1</v>
      </c>
      <c r="C4" s="18"/>
      <c r="D4" t="s">
        <v>2</v>
      </c>
      <c r="E4" s="19" t="s">
        <v>3</v>
      </c>
      <c r="F4" s="19"/>
      <c r="G4" s="20" t="s">
        <v>4</v>
      </c>
      <c r="H4" s="20"/>
      <c r="I4" s="20"/>
      <c r="J4" s="1" t="s">
        <v>5</v>
      </c>
      <c r="K4" s="4" t="s">
        <v>8</v>
      </c>
      <c r="L4" s="5" t="s">
        <v>9</v>
      </c>
      <c r="M4" s="6" t="s">
        <v>9</v>
      </c>
    </row>
    <row r="5" spans="1:13" ht="16.5" customHeight="1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ht="16.5" customHeight="1" x14ac:dyDescent="0.25"/>
    <row r="7" spans="1:13" ht="16.5" customHeight="1" x14ac:dyDescent="0.25"/>
    <row r="8" spans="1:13" x14ac:dyDescent="0.25">
      <c r="J8" t="s">
        <v>32</v>
      </c>
      <c r="K8" t="s">
        <v>36</v>
      </c>
      <c r="L8" t="s">
        <v>37</v>
      </c>
      <c r="M8" t="s">
        <v>38</v>
      </c>
    </row>
    <row r="9" spans="1:13" x14ac:dyDescent="0.25">
      <c r="J9" s="7">
        <v>-17000000</v>
      </c>
      <c r="K9">
        <v>93750000</v>
      </c>
      <c r="L9" s="8">
        <v>187500000</v>
      </c>
      <c r="M9">
        <v>281250000</v>
      </c>
    </row>
    <row r="10" spans="1:13" x14ac:dyDescent="0.25">
      <c r="G10" t="s">
        <v>33</v>
      </c>
      <c r="H10" t="s">
        <v>30</v>
      </c>
      <c r="I10" t="s">
        <v>31</v>
      </c>
    </row>
    <row r="11" spans="1:13" x14ac:dyDescent="0.25">
      <c r="G11" s="7">
        <v>-80000000</v>
      </c>
      <c r="H11" s="7">
        <v>-80500000</v>
      </c>
      <c r="I11" s="7">
        <v>-81000000</v>
      </c>
    </row>
    <row r="13" spans="1:13" x14ac:dyDescent="0.25">
      <c r="E13" t="s">
        <v>26</v>
      </c>
      <c r="F13" t="s">
        <v>29</v>
      </c>
      <c r="J13" t="s">
        <v>35</v>
      </c>
    </row>
    <row r="14" spans="1:13" x14ac:dyDescent="0.25">
      <c r="E14" s="7">
        <v>-34000000</v>
      </c>
      <c r="F14" s="7">
        <v>-34500000</v>
      </c>
      <c r="J14" s="7">
        <f>G17+G11+H11+I11</f>
        <v>-342500000</v>
      </c>
    </row>
    <row r="16" spans="1:13" x14ac:dyDescent="0.25">
      <c r="D16" t="s">
        <v>25</v>
      </c>
      <c r="G16" t="s">
        <v>34</v>
      </c>
    </row>
    <row r="17" spans="2:7" x14ac:dyDescent="0.25">
      <c r="D17">
        <v>-18000000</v>
      </c>
      <c r="G17" s="7">
        <f>B20+C20+D17+E14+F14</f>
        <v>-101000000</v>
      </c>
    </row>
    <row r="19" spans="2:7" x14ac:dyDescent="0.25">
      <c r="B19" t="s">
        <v>23</v>
      </c>
      <c r="C19" t="s">
        <v>24</v>
      </c>
      <c r="E19" t="s">
        <v>28</v>
      </c>
    </row>
    <row r="20" spans="2:7" x14ac:dyDescent="0.25">
      <c r="B20">
        <v>-7000000</v>
      </c>
      <c r="C20">
        <v>-7500000</v>
      </c>
      <c r="E20">
        <f>B20+C20+D24</f>
        <v>-29000000</v>
      </c>
    </row>
    <row r="23" spans="2:7" x14ac:dyDescent="0.25">
      <c r="D23" s="10" t="s">
        <v>27</v>
      </c>
    </row>
    <row r="24" spans="2:7" x14ac:dyDescent="0.25">
      <c r="D24">
        <f>B20+C20</f>
        <v>-14500000</v>
      </c>
    </row>
  </sheetData>
  <mergeCells count="3">
    <mergeCell ref="B4:C4"/>
    <mergeCell ref="E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binomial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hoang</dc:creator>
  <cp:lastModifiedBy>hai hoang</cp:lastModifiedBy>
  <dcterms:created xsi:type="dcterms:W3CDTF">2015-06-05T18:17:20Z</dcterms:created>
  <dcterms:modified xsi:type="dcterms:W3CDTF">2025-08-10T23:30:04Z</dcterms:modified>
</cp:coreProperties>
</file>