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\tele_bot\기업분석\"/>
    </mc:Choice>
  </mc:AlternateContent>
  <xr:revisionPtr revIDLastSave="0" documentId="8_{DFB590E8-D51F-49D3-AB63-AFEC28186942}" xr6:coauthVersionLast="47" xr6:coauthVersionMax="47" xr10:uidLastSave="{00000000-0000-0000-0000-000000000000}"/>
  <bookViews>
    <workbookView xWindow="-120" yWindow="-120" windowWidth="29040" windowHeight="15840" xr2:uid="{C4D68595-75AB-4678-B9A7-4A6D9D4D42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8" i="1" l="1"/>
  <c r="M38" i="1"/>
  <c r="T9" i="2"/>
  <c r="Q22" i="1"/>
  <c r="Q21" i="1"/>
  <c r="I20" i="1"/>
  <c r="R17" i="1"/>
  <c r="O19" i="1"/>
  <c r="O18" i="1"/>
  <c r="J27" i="1"/>
  <c r="K27" i="1"/>
  <c r="I27" i="1"/>
  <c r="I28" i="1" s="1"/>
  <c r="H28" i="1"/>
  <c r="D28" i="1"/>
  <c r="E28" i="1"/>
  <c r="F28" i="1"/>
  <c r="G28" i="1"/>
  <c r="C28" i="1"/>
  <c r="O7" i="1"/>
  <c r="P7" i="1"/>
  <c r="Q7" i="1"/>
  <c r="R7" i="1"/>
  <c r="S7" i="1"/>
  <c r="O8" i="1"/>
  <c r="P8" i="1"/>
  <c r="Q8" i="1"/>
  <c r="R8" i="1"/>
  <c r="S8" i="1"/>
  <c r="O9" i="1"/>
  <c r="P9" i="1"/>
  <c r="Q9" i="1"/>
  <c r="R9" i="1"/>
  <c r="S9" i="1"/>
  <c r="O10" i="1"/>
  <c r="P10" i="1"/>
  <c r="Q10" i="1"/>
  <c r="R10" i="1"/>
  <c r="S10" i="1"/>
  <c r="P6" i="1"/>
  <c r="Q6" i="1"/>
  <c r="R6" i="1"/>
  <c r="S6" i="1"/>
  <c r="O6" i="1"/>
  <c r="I10" i="1"/>
  <c r="I11" i="1"/>
  <c r="I9" i="1"/>
  <c r="I4" i="1"/>
  <c r="I16" i="1" s="1"/>
  <c r="I5" i="1"/>
  <c r="I3" i="1"/>
  <c r="I15" i="1" s="1"/>
  <c r="I7" i="1"/>
  <c r="I8" i="1"/>
  <c r="I6" i="1"/>
  <c r="I12" i="1"/>
  <c r="I13" i="1"/>
  <c r="I14" i="1"/>
  <c r="D20" i="1"/>
  <c r="E20" i="1"/>
  <c r="F20" i="1"/>
  <c r="G20" i="1"/>
  <c r="H20" i="1"/>
  <c r="C20" i="1"/>
  <c r="I17" i="1" l="1"/>
</calcChain>
</file>

<file path=xl/sharedStrings.xml><?xml version="1.0" encoding="utf-8"?>
<sst xmlns="http://schemas.openxmlformats.org/spreadsheetml/2006/main" count="209" uniqueCount="98">
  <si>
    <t>연도</t>
  </si>
  <si>
    <t>음악서비스 (내수)</t>
  </si>
  <si>
    <t>음악서비스 (수출)</t>
  </si>
  <si>
    <t>음악서비스 (합계)</t>
  </si>
  <si>
    <t>상·제품 (내수)</t>
  </si>
  <si>
    <t>상·제품 (수출)</t>
  </si>
  <si>
    <t>상·제품 (합계)</t>
  </si>
  <si>
    <t>용역 (내수)</t>
  </si>
  <si>
    <t>용역 (수출)</t>
  </si>
  <si>
    <t>용역 (합계)</t>
  </si>
  <si>
    <t>광고사업 (내수)</t>
  </si>
  <si>
    <t>광고사업 (수출)</t>
  </si>
  <si>
    <t>광고사업 (합계)</t>
  </si>
  <si>
    <t>총매출 (내수)</t>
  </si>
  <si>
    <t>총매출 (수출)</t>
  </si>
  <si>
    <t>총매출 (합계)</t>
  </si>
  <si>
    <t>영업이익</t>
  </si>
  <si>
    <t>순이익</t>
  </si>
  <si>
    <t>영업이익률 (OPM)</t>
  </si>
  <si>
    <t>영업현금흐름</t>
    <phoneticPr fontId="3" type="noConversion"/>
  </si>
  <si>
    <t>2025 1Q</t>
    <phoneticPr fontId="3" type="noConversion"/>
  </si>
  <si>
    <t>23년 x1.1</t>
    <phoneticPr fontId="3" type="noConversion"/>
  </si>
  <si>
    <t>23년 x1.5</t>
    <phoneticPr fontId="3" type="noConversion"/>
  </si>
  <si>
    <t>계산</t>
    <phoneticPr fontId="3" type="noConversion"/>
  </si>
  <si>
    <t>와이지엔터</t>
    <phoneticPr fontId="3" type="noConversion"/>
  </si>
  <si>
    <t>YG PLUS</t>
    <phoneticPr fontId="3" type="noConversion"/>
  </si>
  <si>
    <t>점유</t>
    <phoneticPr fontId="3" type="noConversion"/>
  </si>
  <si>
    <t>영업이익</t>
    <phoneticPr fontId="3" type="noConversion"/>
  </si>
  <si>
    <t>POR</t>
    <phoneticPr fontId="3" type="noConversion"/>
  </si>
  <si>
    <t>2025(추정)</t>
    <phoneticPr fontId="3" type="noConversion"/>
  </si>
  <si>
    <t>법인명</t>
  </si>
  <si>
    <t>상장</t>
  </si>
  <si>
    <t>여부</t>
  </si>
  <si>
    <t>최초취득일자</t>
  </si>
  <si>
    <t>출자</t>
  </si>
  <si>
    <t>목적</t>
  </si>
  <si>
    <t>최초취득금액</t>
  </si>
  <si>
    <t>기초잔액</t>
  </si>
  <si>
    <t>증가(감소)</t>
  </si>
  <si>
    <t>기말잔액</t>
  </si>
  <si>
    <t>최근사업연도</t>
  </si>
  <si>
    <t>재무현황</t>
  </si>
  <si>
    <t>수량</t>
  </si>
  <si>
    <t>지분율</t>
  </si>
  <si>
    <t>장부</t>
  </si>
  <si>
    <t>가액</t>
  </si>
  <si>
    <t>취득(처분)</t>
  </si>
  <si>
    <t>평가</t>
  </si>
  <si>
    <t>손익</t>
  </si>
  <si>
    <t>총자산</t>
  </si>
  <si>
    <t>당기</t>
  </si>
  <si>
    <t>순손익</t>
  </si>
  <si>
    <t>금액</t>
  </si>
  <si>
    <t>㈜YG인베스트먼트</t>
  </si>
  <si>
    <t>비상장</t>
  </si>
  <si>
    <t>2016.07.21</t>
  </si>
  <si>
    <t>경영참여</t>
  </si>
  <si>
    <t>-</t>
  </si>
  <si>
    <t>㈜포레스트팩토리</t>
  </si>
  <si>
    <t>2022.09.22</t>
  </si>
  <si>
    <t>㈜케이플러스홀딩스</t>
  </si>
  <si>
    <t>2015.06.01</t>
  </si>
  <si>
    <t>일반투자</t>
  </si>
  <si>
    <t>㈜위블링</t>
  </si>
  <si>
    <t>2023.06.12</t>
  </si>
  <si>
    <t>    0.95</t>
  </si>
  <si>
    <t>㈜아이오로라</t>
  </si>
  <si>
    <t>2023.01.19</t>
  </si>
  <si>
    <t>SURF HOLDINGS.PTE.LTD</t>
  </si>
  <si>
    <t>2024.01.31</t>
  </si>
  <si>
    <t>Moonshot China, Inc.</t>
  </si>
  <si>
    <t>2022.08.25</t>
  </si>
  <si>
    <t>(유)와이지플러스음악콘텐츠랩</t>
  </si>
  <si>
    <t>2020.07.17</t>
  </si>
  <si>
    <t>㈜초록뱀미디어</t>
  </si>
  <si>
    <t>2021.11.09</t>
  </si>
  <si>
    <t>블래스트 주식회사</t>
  </si>
  <si>
    <t>2024.04.18</t>
  </si>
  <si>
    <t>LINE NEXT Inc</t>
  </si>
  <si>
    <t>2022.07.21</t>
  </si>
  <si>
    <t>유니온미디어앤콘텐츠 투자조합</t>
  </si>
  <si>
    <t>2015.12.01</t>
  </si>
  <si>
    <t>단순투자</t>
  </si>
  <si>
    <t>YIXIA TECH 주2)</t>
  </si>
  <si>
    <t>2016.02.22</t>
  </si>
  <si>
    <t>UTC Sports-1 Fund</t>
  </si>
  <si>
    <t>2015.07.14</t>
  </si>
  <si>
    <t>네이버제트㈜ </t>
  </si>
  <si>
    <t>2020.11.03</t>
  </si>
  <si>
    <t>에이티유컬쳐테크엠엔에이 사모투자 합자회사</t>
  </si>
  <si>
    <t>2023.12.21</t>
  </si>
  <si>
    <t>아이비케이-와이지 K-컬처 신기술투자조합</t>
  </si>
  <si>
    <t>2024.11.20</t>
  </si>
  <si>
    <t>합 계</t>
  </si>
  <si>
    <t>모객수</t>
    <phoneticPr fontId="3" type="noConversion"/>
  </si>
  <si>
    <t>인당 소비액</t>
    <phoneticPr fontId="3" type="noConversion"/>
  </si>
  <si>
    <t>공연횟수</t>
    <phoneticPr fontId="3" type="noConversion"/>
  </si>
  <si>
    <t>총 금액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</si>
</sst>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%"/>
    <numFmt numFmtId="182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DF8CE"/>
        <bgColor indexed="64"/>
      </patternFill>
    </fill>
    <fill>
      <patternFill patternType="solid">
        <fgColor rgb="FFDCDCDC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80808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808080"/>
      </right>
      <top/>
      <bottom/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80" fontId="0" fillId="3" borderId="1" xfId="0" applyNumberForma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3" fontId="5" fillId="10" borderId="1" xfId="0" applyNumberFormat="1" applyFont="1" applyFill="1" applyBorder="1" applyAlignment="1">
      <alignment horizontal="center" vertical="center" wrapText="1"/>
    </xf>
    <xf numFmtId="3" fontId="5" fillId="1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80" fontId="0" fillId="3" borderId="3" xfId="0" applyNumberForma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6" borderId="5" xfId="0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80" fontId="0" fillId="5" borderId="2" xfId="0" applyNumberFormat="1" applyFill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5" borderId="7" xfId="0" applyNumberForma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0" fontId="7" fillId="13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right" vertical="center" wrapText="1"/>
    </xf>
    <xf numFmtId="3" fontId="7" fillId="0" borderId="11" xfId="0" applyNumberFormat="1" applyFont="1" applyBorder="1" applyAlignment="1">
      <alignment horizontal="right" vertical="center" wrapText="1"/>
    </xf>
    <xf numFmtId="0" fontId="7" fillId="13" borderId="21" xfId="0" applyFont="1" applyFill="1" applyBorder="1" applyAlignment="1">
      <alignment horizontal="center" vertical="center" wrapText="1"/>
    </xf>
    <xf numFmtId="0" fontId="7" fillId="13" borderId="28" xfId="0" applyFont="1" applyFill="1" applyBorder="1" applyAlignment="1">
      <alignment horizontal="center" vertical="center" wrapText="1"/>
    </xf>
    <xf numFmtId="0" fontId="7" fillId="13" borderId="3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vertical="center" wrapText="1"/>
    </xf>
    <xf numFmtId="3" fontId="7" fillId="0" borderId="32" xfId="0" applyNumberFormat="1" applyFont="1" applyBorder="1" applyAlignment="1">
      <alignment horizontal="right" vertical="center" wrapText="1"/>
    </xf>
    <xf numFmtId="0" fontId="7" fillId="0" borderId="32" xfId="0" applyFont="1" applyBorder="1" applyAlignment="1">
      <alignment horizontal="right" vertical="center" wrapText="1"/>
    </xf>
    <xf numFmtId="0" fontId="7" fillId="0" borderId="36" xfId="0" applyFont="1" applyBorder="1" applyAlignment="1">
      <alignment horizontal="right" vertical="center" wrapText="1"/>
    </xf>
    <xf numFmtId="3" fontId="7" fillId="0" borderId="36" xfId="0" applyNumberFormat="1" applyFont="1" applyBorder="1" applyAlignment="1">
      <alignment horizontal="right" vertical="center" wrapText="1"/>
    </xf>
    <xf numFmtId="0" fontId="7" fillId="0" borderId="37" xfId="0" applyFont="1" applyBorder="1" applyAlignment="1">
      <alignment horizontal="right" vertical="center" wrapText="1"/>
    </xf>
    <xf numFmtId="0" fontId="7" fillId="13" borderId="20" xfId="0" applyFont="1" applyFill="1" applyBorder="1" applyAlignment="1">
      <alignment horizontal="center" vertical="center" wrapText="1"/>
    </xf>
    <xf numFmtId="0" fontId="7" fillId="13" borderId="26" xfId="0" applyFont="1" applyFill="1" applyBorder="1" applyAlignment="1">
      <alignment horizontal="center" vertical="center" wrapText="1"/>
    </xf>
    <xf numFmtId="0" fontId="7" fillId="13" borderId="29" xfId="0" applyFont="1" applyFill="1" applyBorder="1" applyAlignment="1">
      <alignment horizontal="center" vertical="center" wrapText="1"/>
    </xf>
    <xf numFmtId="0" fontId="7" fillId="13" borderId="21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0" fontId="7" fillId="13" borderId="22" xfId="0" applyFont="1" applyFill="1" applyBorder="1" applyAlignment="1">
      <alignment horizontal="center" vertical="center" wrapText="1"/>
    </xf>
    <xf numFmtId="0" fontId="7" fillId="13" borderId="23" xfId="0" applyFont="1" applyFill="1" applyBorder="1" applyAlignment="1">
      <alignment horizontal="center" vertical="center" wrapText="1"/>
    </xf>
    <xf numFmtId="0" fontId="7" fillId="13" borderId="24" xfId="0" applyFont="1" applyFill="1" applyBorder="1" applyAlignment="1">
      <alignment horizontal="center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6" xfId="0" applyFont="1" applyFill="1" applyBorder="1" applyAlignment="1">
      <alignment horizontal="center" vertical="center" wrapText="1"/>
    </xf>
    <xf numFmtId="0" fontId="7" fillId="13" borderId="17" xfId="0" applyFont="1" applyFill="1" applyBorder="1" applyAlignment="1">
      <alignment horizontal="center" vertical="center" wrapText="1"/>
    </xf>
    <xf numFmtId="0" fontId="7" fillId="13" borderId="25" xfId="0" applyFont="1" applyFill="1" applyBorder="1" applyAlignment="1">
      <alignment horizontal="center" vertical="center" wrapText="1"/>
    </xf>
    <xf numFmtId="0" fontId="7" fillId="13" borderId="27" xfId="0" applyFont="1" applyFill="1" applyBorder="1" applyAlignment="1">
      <alignment horizontal="center" vertical="center" wrapText="1"/>
    </xf>
    <xf numFmtId="0" fontId="7" fillId="13" borderId="12" xfId="0" applyFont="1" applyFill="1" applyBorder="1" applyAlignment="1">
      <alignment horizontal="center" vertical="center" wrapText="1"/>
    </xf>
    <xf numFmtId="0" fontId="7" fillId="13" borderId="18" xfId="0" applyFont="1" applyFill="1" applyBorder="1" applyAlignment="1">
      <alignment horizontal="center" vertical="center" wrapText="1"/>
    </xf>
    <xf numFmtId="0" fontId="7" fillId="13" borderId="19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82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143A-AA08-4113-9E18-042BF7B2AFA6}">
  <dimension ref="B1:S38"/>
  <sheetViews>
    <sheetView tabSelected="1" workbookViewId="0">
      <selection activeCell="I33" sqref="I33"/>
    </sheetView>
  </sheetViews>
  <sheetFormatPr defaultRowHeight="16.5" x14ac:dyDescent="0.3"/>
  <cols>
    <col min="2" max="2" width="18.125" bestFit="1" customWidth="1"/>
    <col min="3" max="3" width="6.875" bestFit="1" customWidth="1"/>
    <col min="4" max="7" width="8.25" bestFit="1" customWidth="1"/>
    <col min="8" max="8" width="9.5" bestFit="1" customWidth="1"/>
    <col min="12" max="12" width="11.625" bestFit="1" customWidth="1"/>
    <col min="13" max="13" width="14.75" bestFit="1" customWidth="1"/>
    <col min="15" max="15" width="13.125" bestFit="1" customWidth="1"/>
  </cols>
  <sheetData>
    <row r="1" spans="2:19" ht="17.25" thickBot="1" x14ac:dyDescent="0.35"/>
    <row r="2" spans="2:19" x14ac:dyDescent="0.3">
      <c r="B2" s="10" t="s">
        <v>0</v>
      </c>
      <c r="C2" s="10">
        <v>2020</v>
      </c>
      <c r="D2" s="10">
        <v>2021</v>
      </c>
      <c r="E2" s="10">
        <v>2022</v>
      </c>
      <c r="F2" s="10">
        <v>2023</v>
      </c>
      <c r="G2" s="10">
        <v>2024</v>
      </c>
      <c r="H2" s="25" t="s">
        <v>20</v>
      </c>
      <c r="I2" s="33">
        <v>2025</v>
      </c>
      <c r="J2" s="31" t="s">
        <v>23</v>
      </c>
    </row>
    <row r="3" spans="2:19" x14ac:dyDescent="0.3">
      <c r="B3" s="1" t="s">
        <v>1</v>
      </c>
      <c r="C3" s="8">
        <v>519.52</v>
      </c>
      <c r="D3" s="8">
        <v>781.07</v>
      </c>
      <c r="E3" s="8">
        <v>752.02</v>
      </c>
      <c r="F3" s="8">
        <v>874.12</v>
      </c>
      <c r="G3" s="8">
        <v>693.28</v>
      </c>
      <c r="H3" s="26">
        <v>231.85</v>
      </c>
      <c r="I3" s="34">
        <f>F3*1.1</f>
        <v>961.53200000000004</v>
      </c>
      <c r="J3" s="32" t="s">
        <v>21</v>
      </c>
    </row>
    <row r="4" spans="2:19" x14ac:dyDescent="0.3">
      <c r="B4" s="1" t="s">
        <v>2</v>
      </c>
      <c r="C4" s="8">
        <v>9.02</v>
      </c>
      <c r="D4" s="8">
        <v>81.569999999999993</v>
      </c>
      <c r="E4" s="8">
        <v>131.18</v>
      </c>
      <c r="F4" s="8">
        <v>183.9</v>
      </c>
      <c r="G4" s="8">
        <v>250.08</v>
      </c>
      <c r="H4" s="26">
        <v>47.03</v>
      </c>
      <c r="I4" s="34">
        <f t="shared" ref="I4:I5" si="0">F4*1.1</f>
        <v>202.29000000000002</v>
      </c>
      <c r="J4" s="32" t="s">
        <v>21</v>
      </c>
      <c r="O4" t="s">
        <v>28</v>
      </c>
    </row>
    <row r="5" spans="2:19" ht="17.25" thickBot="1" x14ac:dyDescent="0.35">
      <c r="B5" s="3" t="s">
        <v>3</v>
      </c>
      <c r="C5" s="9">
        <v>528.54</v>
      </c>
      <c r="D5" s="9">
        <v>862.64</v>
      </c>
      <c r="E5" s="9">
        <v>883.2</v>
      </c>
      <c r="F5" s="9">
        <v>1058.01</v>
      </c>
      <c r="G5" s="9">
        <v>943.36</v>
      </c>
      <c r="H5" s="27">
        <v>278.88</v>
      </c>
      <c r="I5" s="40">
        <f t="shared" si="0"/>
        <v>1163.8110000000001</v>
      </c>
      <c r="J5" s="32" t="s">
        <v>21</v>
      </c>
      <c r="N5" s="16"/>
      <c r="O5" s="14">
        <v>15</v>
      </c>
      <c r="P5" s="14">
        <v>18</v>
      </c>
      <c r="Q5" s="14">
        <v>21</v>
      </c>
      <c r="R5" s="14">
        <v>24</v>
      </c>
      <c r="S5" s="14">
        <v>27</v>
      </c>
    </row>
    <row r="6" spans="2:19" x14ac:dyDescent="0.3">
      <c r="B6" s="1" t="s">
        <v>4</v>
      </c>
      <c r="C6" s="8">
        <v>82.75</v>
      </c>
      <c r="D6" s="8">
        <v>152.63</v>
      </c>
      <c r="E6" s="8">
        <v>241.3</v>
      </c>
      <c r="F6" s="8">
        <v>784.48</v>
      </c>
      <c r="G6" s="8">
        <v>649.23</v>
      </c>
      <c r="H6" s="26">
        <v>199.32</v>
      </c>
      <c r="I6" s="42">
        <f>F6*1.5</f>
        <v>1176.72</v>
      </c>
      <c r="J6" s="32" t="s">
        <v>22</v>
      </c>
      <c r="M6" t="s">
        <v>27</v>
      </c>
      <c r="N6" s="15">
        <v>180</v>
      </c>
      <c r="O6" s="13">
        <f>$N6*O$5</f>
        <v>2700</v>
      </c>
      <c r="P6" s="13">
        <f t="shared" ref="P6:S10" si="1">$N6*P$5</f>
        <v>3240</v>
      </c>
      <c r="Q6" s="13">
        <f t="shared" si="1"/>
        <v>3780</v>
      </c>
      <c r="R6" s="13">
        <f t="shared" si="1"/>
        <v>4320</v>
      </c>
      <c r="S6" s="13">
        <f t="shared" si="1"/>
        <v>4860</v>
      </c>
    </row>
    <row r="7" spans="2:19" x14ac:dyDescent="0.3">
      <c r="B7" s="1" t="s">
        <v>5</v>
      </c>
      <c r="C7" s="8">
        <v>32.75</v>
      </c>
      <c r="D7" s="8">
        <v>57.68</v>
      </c>
      <c r="E7" s="8">
        <v>100.15</v>
      </c>
      <c r="F7" s="8">
        <v>77.81</v>
      </c>
      <c r="G7" s="8">
        <v>82.64</v>
      </c>
      <c r="H7" s="26">
        <v>68.22</v>
      </c>
      <c r="I7" s="34">
        <f t="shared" ref="I7:I8" si="2">F7*1.5</f>
        <v>116.715</v>
      </c>
      <c r="J7" s="32" t="s">
        <v>22</v>
      </c>
      <c r="N7" s="15">
        <v>210</v>
      </c>
      <c r="O7" s="13">
        <f t="shared" ref="O7:O10" si="3">$N7*O$5</f>
        <v>3150</v>
      </c>
      <c r="P7" s="13">
        <f t="shared" si="1"/>
        <v>3780</v>
      </c>
      <c r="Q7" s="13">
        <f t="shared" si="1"/>
        <v>4410</v>
      </c>
      <c r="R7" s="17">
        <f t="shared" si="1"/>
        <v>5040</v>
      </c>
      <c r="S7" s="13">
        <f t="shared" si="1"/>
        <v>5670</v>
      </c>
    </row>
    <row r="8" spans="2:19" ht="17.25" thickBot="1" x14ac:dyDescent="0.35">
      <c r="B8" s="3" t="s">
        <v>6</v>
      </c>
      <c r="C8" s="9">
        <v>115.5</v>
      </c>
      <c r="D8" s="9">
        <v>210.32</v>
      </c>
      <c r="E8" s="9">
        <v>341.44</v>
      </c>
      <c r="F8" s="9">
        <v>862.3</v>
      </c>
      <c r="G8" s="9">
        <v>731.88</v>
      </c>
      <c r="H8" s="27">
        <v>267.54000000000002</v>
      </c>
      <c r="I8" s="43">
        <f t="shared" si="2"/>
        <v>1293.4499999999998</v>
      </c>
      <c r="J8" s="32" t="s">
        <v>22</v>
      </c>
      <c r="N8" s="15">
        <v>240</v>
      </c>
      <c r="O8" s="13">
        <f t="shared" si="3"/>
        <v>3600</v>
      </c>
      <c r="P8" s="13">
        <f t="shared" si="1"/>
        <v>4320</v>
      </c>
      <c r="Q8" s="17">
        <f t="shared" si="1"/>
        <v>5040</v>
      </c>
      <c r="R8" s="13">
        <f t="shared" si="1"/>
        <v>5760</v>
      </c>
      <c r="S8" s="36">
        <f t="shared" si="1"/>
        <v>6480</v>
      </c>
    </row>
    <row r="9" spans="2:19" x14ac:dyDescent="0.3">
      <c r="B9" s="1" t="s">
        <v>7</v>
      </c>
      <c r="C9" s="8">
        <v>36.43</v>
      </c>
      <c r="D9" s="8">
        <v>79.05</v>
      </c>
      <c r="E9" s="8">
        <v>136.44</v>
      </c>
      <c r="F9" s="8">
        <v>170.43</v>
      </c>
      <c r="G9" s="8">
        <v>94.12</v>
      </c>
      <c r="H9" s="26">
        <v>39.97</v>
      </c>
      <c r="I9" s="41">
        <f>F9*1.1</f>
        <v>187.47300000000001</v>
      </c>
      <c r="J9" s="32" t="s">
        <v>21</v>
      </c>
      <c r="N9" s="15">
        <v>270</v>
      </c>
      <c r="O9" s="13">
        <f t="shared" si="3"/>
        <v>4050</v>
      </c>
      <c r="P9" s="17">
        <f t="shared" si="1"/>
        <v>4860</v>
      </c>
      <c r="Q9" s="13">
        <f t="shared" si="1"/>
        <v>5670</v>
      </c>
      <c r="R9" s="36">
        <f t="shared" si="1"/>
        <v>6480</v>
      </c>
      <c r="S9" s="13">
        <f t="shared" si="1"/>
        <v>7290</v>
      </c>
    </row>
    <row r="10" spans="2:19" x14ac:dyDescent="0.3">
      <c r="B10" s="1" t="s">
        <v>8</v>
      </c>
      <c r="C10" s="8">
        <v>9.83</v>
      </c>
      <c r="D10" s="8">
        <v>50.71</v>
      </c>
      <c r="E10" s="8">
        <v>40.130000000000003</v>
      </c>
      <c r="F10" s="8">
        <v>145.43</v>
      </c>
      <c r="G10" s="8">
        <v>79.59</v>
      </c>
      <c r="H10" s="26">
        <v>3.7</v>
      </c>
      <c r="I10" s="34">
        <f t="shared" ref="I10:I11" si="4">F10*1.1</f>
        <v>159.97300000000001</v>
      </c>
      <c r="J10" s="32" t="s">
        <v>21</v>
      </c>
      <c r="N10" s="15">
        <v>300</v>
      </c>
      <c r="O10" s="13">
        <f t="shared" si="3"/>
        <v>4500</v>
      </c>
      <c r="P10" s="13">
        <f t="shared" si="1"/>
        <v>5400</v>
      </c>
      <c r="Q10" s="13">
        <f t="shared" si="1"/>
        <v>6300</v>
      </c>
      <c r="R10" s="13">
        <f t="shared" si="1"/>
        <v>7200</v>
      </c>
      <c r="S10" s="13">
        <f t="shared" si="1"/>
        <v>8100</v>
      </c>
    </row>
    <row r="11" spans="2:19" x14ac:dyDescent="0.3">
      <c r="B11" s="3" t="s">
        <v>9</v>
      </c>
      <c r="C11" s="9">
        <v>46.25</v>
      </c>
      <c r="D11" s="9">
        <v>129.76</v>
      </c>
      <c r="E11" s="9">
        <v>176.57</v>
      </c>
      <c r="F11" s="9">
        <v>315.86</v>
      </c>
      <c r="G11" s="9">
        <v>173.7</v>
      </c>
      <c r="H11" s="27">
        <v>43.67</v>
      </c>
      <c r="I11" s="34">
        <f t="shared" si="4"/>
        <v>347.44600000000003</v>
      </c>
      <c r="J11" s="32" t="s">
        <v>21</v>
      </c>
    </row>
    <row r="12" spans="2:19" x14ac:dyDescent="0.3">
      <c r="B12" s="1" t="s">
        <v>10</v>
      </c>
      <c r="C12" s="8">
        <v>143.79</v>
      </c>
      <c r="D12" s="8">
        <v>0.34</v>
      </c>
      <c r="E12" s="8">
        <v>0.99</v>
      </c>
      <c r="F12" s="8">
        <v>0.1</v>
      </c>
      <c r="G12" s="8">
        <v>0.08</v>
      </c>
      <c r="H12" s="26">
        <v>0</v>
      </c>
      <c r="I12" s="34">
        <f t="shared" ref="I12:I14" si="5">H12*4</f>
        <v>0</v>
      </c>
      <c r="J12" s="32"/>
    </row>
    <row r="13" spans="2:19" x14ac:dyDescent="0.3">
      <c r="B13" s="1" t="s">
        <v>11</v>
      </c>
      <c r="C13" s="8">
        <v>0</v>
      </c>
      <c r="D13" s="8">
        <v>0.02</v>
      </c>
      <c r="E13" s="8">
        <v>0</v>
      </c>
      <c r="F13" s="8">
        <v>0.1</v>
      </c>
      <c r="G13" s="8">
        <v>0.01</v>
      </c>
      <c r="H13" s="26">
        <v>0</v>
      </c>
      <c r="I13" s="34">
        <f t="shared" si="5"/>
        <v>0</v>
      </c>
      <c r="J13" s="32"/>
    </row>
    <row r="14" spans="2:19" x14ac:dyDescent="0.3">
      <c r="B14" s="3" t="s">
        <v>12</v>
      </c>
      <c r="C14" s="9">
        <v>143.84</v>
      </c>
      <c r="D14" s="9">
        <v>0.36</v>
      </c>
      <c r="E14" s="9">
        <v>1</v>
      </c>
      <c r="F14" s="9">
        <v>0.2</v>
      </c>
      <c r="G14" s="9">
        <v>0.09</v>
      </c>
      <c r="H14" s="27">
        <v>0</v>
      </c>
      <c r="I14" s="34">
        <f t="shared" si="5"/>
        <v>0</v>
      </c>
      <c r="J14" s="32"/>
    </row>
    <row r="15" spans="2:19" x14ac:dyDescent="0.3">
      <c r="B15" s="1" t="s">
        <v>13</v>
      </c>
      <c r="C15" s="8">
        <v>653.07000000000005</v>
      </c>
      <c r="D15" s="8">
        <v>1013.1</v>
      </c>
      <c r="E15" s="8">
        <v>1130.75</v>
      </c>
      <c r="F15" s="8">
        <v>1829.13</v>
      </c>
      <c r="G15" s="8">
        <v>1436.71</v>
      </c>
      <c r="H15" s="26">
        <v>471.15</v>
      </c>
      <c r="I15" s="34">
        <f>SUM(I3,I6,I9)</f>
        <v>2325.7249999999999</v>
      </c>
      <c r="J15" s="32"/>
    </row>
    <row r="16" spans="2:19" x14ac:dyDescent="0.3">
      <c r="B16" s="1" t="s">
        <v>14</v>
      </c>
      <c r="C16" s="8">
        <v>51.6</v>
      </c>
      <c r="D16" s="8">
        <v>189.98</v>
      </c>
      <c r="E16" s="8">
        <v>271.45999999999998</v>
      </c>
      <c r="F16" s="8">
        <v>407.24</v>
      </c>
      <c r="G16" s="8">
        <v>412.32</v>
      </c>
      <c r="H16" s="26">
        <v>118.95</v>
      </c>
      <c r="I16" s="34">
        <f>SUM(I4,I7,I10)</f>
        <v>478.97800000000001</v>
      </c>
      <c r="J16" s="32"/>
    </row>
    <row r="17" spans="2:18" x14ac:dyDescent="0.3">
      <c r="B17" s="3" t="s">
        <v>15</v>
      </c>
      <c r="C17" s="9">
        <v>704.68</v>
      </c>
      <c r="D17" s="9">
        <v>1203.08</v>
      </c>
      <c r="E17" s="9">
        <v>1402.21</v>
      </c>
      <c r="F17" s="9">
        <v>2236.37</v>
      </c>
      <c r="G17" s="9">
        <v>1849.03</v>
      </c>
      <c r="H17" s="27">
        <v>590.1</v>
      </c>
      <c r="I17" s="34">
        <f>SUM(I15:I16)</f>
        <v>2804.703</v>
      </c>
      <c r="J17" s="32"/>
      <c r="L17" s="11"/>
      <c r="O17">
        <v>63429410</v>
      </c>
      <c r="R17">
        <f>6342/140</f>
        <v>45.3</v>
      </c>
    </row>
    <row r="18" spans="2:18" x14ac:dyDescent="0.3">
      <c r="B18" s="1" t="s">
        <v>16</v>
      </c>
      <c r="C18" s="2">
        <v>14</v>
      </c>
      <c r="D18" s="2">
        <v>3</v>
      </c>
      <c r="E18" s="2">
        <v>64</v>
      </c>
      <c r="F18" s="2">
        <v>139</v>
      </c>
      <c r="G18" s="2">
        <v>13</v>
      </c>
      <c r="H18" s="28">
        <v>45</v>
      </c>
      <c r="I18" s="35">
        <v>300</v>
      </c>
      <c r="J18" s="32"/>
      <c r="O18">
        <f>O17*7990/100000000</f>
        <v>5068.0098589999998</v>
      </c>
    </row>
    <row r="19" spans="2:18" ht="17.25" thickBot="1" x14ac:dyDescent="0.35">
      <c r="B19" s="1" t="s">
        <v>17</v>
      </c>
      <c r="C19" s="2">
        <v>-75</v>
      </c>
      <c r="D19" s="2">
        <v>226</v>
      </c>
      <c r="E19" s="2">
        <v>167</v>
      </c>
      <c r="F19" s="2">
        <v>223</v>
      </c>
      <c r="G19" s="2">
        <v>20</v>
      </c>
      <c r="H19" s="28">
        <v>70</v>
      </c>
      <c r="I19" s="37"/>
      <c r="J19" s="32"/>
      <c r="O19">
        <f>O17*10000/100000000</f>
        <v>6342.9409999999998</v>
      </c>
    </row>
    <row r="20" spans="2:18" ht="17.25" thickBot="1" x14ac:dyDescent="0.35">
      <c r="B20" s="4" t="s">
        <v>18</v>
      </c>
      <c r="C20" s="5">
        <f>C18/C17</f>
        <v>1.9867173752625308E-2</v>
      </c>
      <c r="D20" s="5">
        <f t="shared" ref="D20:I20" si="6">D18/D17</f>
        <v>2.493599760614423E-3</v>
      </c>
      <c r="E20" s="5">
        <f t="shared" si="6"/>
        <v>4.5642236184309057E-2</v>
      </c>
      <c r="F20" s="5">
        <f t="shared" si="6"/>
        <v>6.2154294682901311E-2</v>
      </c>
      <c r="G20" s="5">
        <f t="shared" si="6"/>
        <v>7.0307134010805664E-3</v>
      </c>
      <c r="H20" s="29">
        <f t="shared" si="6"/>
        <v>7.6258261311642095E-2</v>
      </c>
      <c r="I20" s="39">
        <f t="shared" si="6"/>
        <v>0.10696319717274877</v>
      </c>
      <c r="J20" s="32"/>
    </row>
    <row r="21" spans="2:18" ht="17.25" thickBot="1" x14ac:dyDescent="0.35">
      <c r="B21" s="6" t="s">
        <v>19</v>
      </c>
      <c r="C21" s="7">
        <v>-75</v>
      </c>
      <c r="D21" s="7">
        <v>78</v>
      </c>
      <c r="E21" s="7">
        <v>152</v>
      </c>
      <c r="F21" s="7">
        <v>188</v>
      </c>
      <c r="G21" s="7">
        <v>98</v>
      </c>
      <c r="H21" s="30">
        <v>33</v>
      </c>
      <c r="I21" s="38"/>
      <c r="J21" s="32"/>
      <c r="Q21">
        <f>1838</f>
        <v>1838</v>
      </c>
    </row>
    <row r="22" spans="2:18" x14ac:dyDescent="0.3">
      <c r="Q22">
        <f>139/1838</f>
        <v>7.5625680087051145E-2</v>
      </c>
    </row>
    <row r="25" spans="2:18" ht="33" x14ac:dyDescent="0.3">
      <c r="B25" s="10" t="s">
        <v>0</v>
      </c>
      <c r="C25" s="10">
        <v>2020</v>
      </c>
      <c r="D25" s="10">
        <v>2021</v>
      </c>
      <c r="E25" s="10">
        <v>2022</v>
      </c>
      <c r="F25" s="10">
        <v>2023</v>
      </c>
      <c r="G25" s="10">
        <v>2024</v>
      </c>
      <c r="H25" s="10" t="s">
        <v>20</v>
      </c>
      <c r="I25" s="12" t="s">
        <v>29</v>
      </c>
      <c r="J25" s="12">
        <v>2026</v>
      </c>
      <c r="K25" s="19">
        <v>2027</v>
      </c>
    </row>
    <row r="26" spans="2:18" x14ac:dyDescent="0.3">
      <c r="B26" s="20" t="s">
        <v>24</v>
      </c>
      <c r="C26" s="21">
        <v>2553</v>
      </c>
      <c r="D26" s="21">
        <v>3216</v>
      </c>
      <c r="E26" s="21">
        <v>3912</v>
      </c>
      <c r="F26" s="21">
        <v>5692</v>
      </c>
      <c r="G26" s="21">
        <v>3649</v>
      </c>
      <c r="H26" s="21">
        <v>1002</v>
      </c>
      <c r="I26" s="22">
        <v>5874</v>
      </c>
      <c r="J26" s="22">
        <v>6512</v>
      </c>
      <c r="K26" s="22">
        <v>6314</v>
      </c>
    </row>
    <row r="27" spans="2:18" x14ac:dyDescent="0.3">
      <c r="B27" s="23" t="s">
        <v>25</v>
      </c>
      <c r="C27" s="24">
        <v>704.68</v>
      </c>
      <c r="D27" s="24">
        <v>1203.08</v>
      </c>
      <c r="E27" s="24">
        <v>1402.21</v>
      </c>
      <c r="F27" s="24">
        <v>2236.37</v>
      </c>
      <c r="G27" s="24">
        <v>1849.03</v>
      </c>
      <c r="H27" s="24">
        <v>590</v>
      </c>
      <c r="I27" s="23">
        <f>I26*0.5</f>
        <v>2937</v>
      </c>
      <c r="J27" s="23">
        <f t="shared" ref="J27:K27" si="7">J26*0.5</f>
        <v>3256</v>
      </c>
      <c r="K27" s="23">
        <f t="shared" si="7"/>
        <v>3157</v>
      </c>
    </row>
    <row r="28" spans="2:18" x14ac:dyDescent="0.3">
      <c r="B28" s="13" t="s">
        <v>26</v>
      </c>
      <c r="C28" s="18">
        <f>C27/C26</f>
        <v>0.27602036819428122</v>
      </c>
      <c r="D28" s="18">
        <f t="shared" ref="D28:I28" si="8">D27/D26</f>
        <v>0.37409203980099498</v>
      </c>
      <c r="E28" s="18">
        <f t="shared" si="8"/>
        <v>0.35843813905930472</v>
      </c>
      <c r="F28" s="18">
        <f t="shared" si="8"/>
        <v>0.3928970484891075</v>
      </c>
      <c r="G28" s="18">
        <f t="shared" si="8"/>
        <v>0.50672238969580707</v>
      </c>
      <c r="H28" s="18">
        <f t="shared" si="8"/>
        <v>0.58882235528942117</v>
      </c>
      <c r="I28" s="18">
        <f t="shared" si="8"/>
        <v>0.5</v>
      </c>
      <c r="J28" s="13"/>
      <c r="K28" s="13"/>
    </row>
    <row r="35" spans="12:15" x14ac:dyDescent="0.3">
      <c r="L35" t="s">
        <v>94</v>
      </c>
      <c r="M35">
        <v>45000</v>
      </c>
    </row>
    <row r="36" spans="12:15" x14ac:dyDescent="0.3">
      <c r="L36" t="s">
        <v>95</v>
      </c>
      <c r="M36">
        <v>70000</v>
      </c>
      <c r="O36">
        <v>460</v>
      </c>
    </row>
    <row r="37" spans="12:15" x14ac:dyDescent="0.3">
      <c r="L37" t="s">
        <v>96</v>
      </c>
      <c r="M37">
        <v>31</v>
      </c>
      <c r="O37">
        <v>560</v>
      </c>
    </row>
    <row r="38" spans="12:15" x14ac:dyDescent="0.3">
      <c r="L38" t="s">
        <v>97</v>
      </c>
      <c r="M38" s="80">
        <f>M35*M36*M37</f>
        <v>97650000000</v>
      </c>
      <c r="O38">
        <f>SUM(O36:O37)</f>
        <v>1020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2C0-F429-456E-856D-6BB789525472}">
  <dimension ref="B3:T24"/>
  <sheetViews>
    <sheetView workbookViewId="0">
      <selection activeCell="T10" sqref="T10"/>
    </sheetView>
  </sheetViews>
  <sheetFormatPr defaultRowHeight="16.5" x14ac:dyDescent="0.3"/>
  <sheetData>
    <row r="3" spans="2:20" x14ac:dyDescent="0.3">
      <c r="B3" s="60" t="s">
        <v>30</v>
      </c>
      <c r="C3" s="51" t="s">
        <v>31</v>
      </c>
      <c r="D3" s="63" t="s">
        <v>33</v>
      </c>
      <c r="E3" s="51" t="s">
        <v>34</v>
      </c>
      <c r="F3" s="63" t="s">
        <v>36</v>
      </c>
      <c r="G3" s="66" t="s">
        <v>37</v>
      </c>
      <c r="H3" s="67"/>
      <c r="I3" s="68"/>
      <c r="J3" s="66" t="s">
        <v>38</v>
      </c>
      <c r="K3" s="67"/>
      <c r="L3" s="68"/>
      <c r="M3" s="66" t="s">
        <v>39</v>
      </c>
      <c r="N3" s="67"/>
      <c r="O3" s="68"/>
      <c r="P3" s="66" t="s">
        <v>40</v>
      </c>
      <c r="Q3" s="72"/>
    </row>
    <row r="4" spans="2:20" x14ac:dyDescent="0.3">
      <c r="B4" s="61"/>
      <c r="C4" s="45" t="s">
        <v>32</v>
      </c>
      <c r="D4" s="64"/>
      <c r="E4" s="45" t="s">
        <v>35</v>
      </c>
      <c r="F4" s="64"/>
      <c r="G4" s="69"/>
      <c r="H4" s="70"/>
      <c r="I4" s="71"/>
      <c r="J4" s="69"/>
      <c r="K4" s="70"/>
      <c r="L4" s="71"/>
      <c r="M4" s="69"/>
      <c r="N4" s="70"/>
      <c r="O4" s="71"/>
      <c r="P4" s="69" t="s">
        <v>41</v>
      </c>
      <c r="Q4" s="73"/>
    </row>
    <row r="5" spans="2:20" x14ac:dyDescent="0.3">
      <c r="B5" s="61"/>
      <c r="C5" s="45"/>
      <c r="D5" s="64"/>
      <c r="E5" s="45"/>
      <c r="F5" s="64"/>
      <c r="G5" s="74" t="s">
        <v>42</v>
      </c>
      <c r="H5" s="74" t="s">
        <v>43</v>
      </c>
      <c r="I5" s="44" t="s">
        <v>44</v>
      </c>
      <c r="J5" s="75" t="s">
        <v>46</v>
      </c>
      <c r="K5" s="76"/>
      <c r="L5" s="44" t="s">
        <v>47</v>
      </c>
      <c r="M5" s="74" t="s">
        <v>42</v>
      </c>
      <c r="N5" s="74" t="s">
        <v>43</v>
      </c>
      <c r="O5" s="44" t="s">
        <v>44</v>
      </c>
      <c r="P5" s="74" t="s">
        <v>49</v>
      </c>
      <c r="Q5" s="52" t="s">
        <v>50</v>
      </c>
    </row>
    <row r="6" spans="2:20" x14ac:dyDescent="0.3">
      <c r="B6" s="62"/>
      <c r="C6" s="46"/>
      <c r="D6" s="65"/>
      <c r="E6" s="46"/>
      <c r="F6" s="65"/>
      <c r="G6" s="65"/>
      <c r="H6" s="65"/>
      <c r="I6" s="46" t="s">
        <v>45</v>
      </c>
      <c r="J6" s="47" t="s">
        <v>42</v>
      </c>
      <c r="K6" s="47" t="s">
        <v>52</v>
      </c>
      <c r="L6" s="46" t="s">
        <v>48</v>
      </c>
      <c r="M6" s="65"/>
      <c r="N6" s="65"/>
      <c r="O6" s="46" t="s">
        <v>45</v>
      </c>
      <c r="P6" s="65"/>
      <c r="Q6" s="53" t="s">
        <v>51</v>
      </c>
    </row>
    <row r="7" spans="2:20" ht="27" x14ac:dyDescent="0.3">
      <c r="B7" s="54" t="s">
        <v>53</v>
      </c>
      <c r="C7" s="48" t="s">
        <v>54</v>
      </c>
      <c r="D7" s="48" t="s">
        <v>55</v>
      </c>
      <c r="E7" s="48" t="s">
        <v>56</v>
      </c>
      <c r="F7" s="49">
        <v>300</v>
      </c>
      <c r="G7" s="50">
        <v>3060000</v>
      </c>
      <c r="H7" s="49">
        <v>100</v>
      </c>
      <c r="I7" s="50">
        <v>15300</v>
      </c>
      <c r="J7" s="49" t="s">
        <v>57</v>
      </c>
      <c r="K7" s="49" t="s">
        <v>57</v>
      </c>
      <c r="L7" s="49" t="s">
        <v>57</v>
      </c>
      <c r="M7" s="50">
        <v>3060000</v>
      </c>
      <c r="N7" s="49">
        <v>100</v>
      </c>
      <c r="O7" s="50">
        <v>15300</v>
      </c>
      <c r="P7" s="50">
        <v>40817</v>
      </c>
      <c r="Q7" s="55">
        <v>-2730</v>
      </c>
    </row>
    <row r="8" spans="2:20" ht="27" x14ac:dyDescent="0.3">
      <c r="B8" s="54" t="s">
        <v>58</v>
      </c>
      <c r="C8" s="48" t="s">
        <v>54</v>
      </c>
      <c r="D8" s="48" t="s">
        <v>59</v>
      </c>
      <c r="E8" s="48" t="s">
        <v>56</v>
      </c>
      <c r="F8" s="50">
        <v>1020</v>
      </c>
      <c r="G8" s="50">
        <v>204000</v>
      </c>
      <c r="H8" s="49">
        <v>30.33</v>
      </c>
      <c r="I8" s="50">
        <v>1020</v>
      </c>
      <c r="J8" s="49" t="s">
        <v>57</v>
      </c>
      <c r="K8" s="49" t="s">
        <v>57</v>
      </c>
      <c r="L8" s="49" t="s">
        <v>57</v>
      </c>
      <c r="M8" s="50">
        <v>204000</v>
      </c>
      <c r="N8" s="49">
        <v>30.33</v>
      </c>
      <c r="O8" s="50">
        <v>1020</v>
      </c>
      <c r="P8" s="50">
        <v>10769</v>
      </c>
      <c r="Q8" s="55">
        <v>1160</v>
      </c>
    </row>
    <row r="9" spans="2:20" ht="40.5" x14ac:dyDescent="0.3">
      <c r="B9" s="54" t="s">
        <v>60</v>
      </c>
      <c r="C9" s="48" t="s">
        <v>54</v>
      </c>
      <c r="D9" s="48" t="s">
        <v>61</v>
      </c>
      <c r="E9" s="48" t="s">
        <v>62</v>
      </c>
      <c r="F9" s="50">
        <v>4000</v>
      </c>
      <c r="G9" s="50">
        <v>14103</v>
      </c>
      <c r="H9" s="49">
        <v>38.119999999999997</v>
      </c>
      <c r="I9" s="50">
        <v>3681</v>
      </c>
      <c r="J9" s="49" t="s">
        <v>57</v>
      </c>
      <c r="K9" s="49" t="s">
        <v>57</v>
      </c>
      <c r="L9" s="49" t="s">
        <v>57</v>
      </c>
      <c r="M9" s="50">
        <v>14103</v>
      </c>
      <c r="N9" s="49">
        <v>38.119999999999997</v>
      </c>
      <c r="O9" s="50">
        <v>3681</v>
      </c>
      <c r="P9" s="50">
        <v>13890</v>
      </c>
      <c r="Q9" s="56">
        <v>-51</v>
      </c>
      <c r="T9">
        <f>250*25</f>
        <v>6250</v>
      </c>
    </row>
    <row r="10" spans="2:20" ht="27" x14ac:dyDescent="0.3">
      <c r="B10" s="54" t="s">
        <v>63</v>
      </c>
      <c r="C10" s="48" t="s">
        <v>54</v>
      </c>
      <c r="D10" s="48" t="s">
        <v>64</v>
      </c>
      <c r="E10" s="48" t="s">
        <v>62</v>
      </c>
      <c r="F10" s="49">
        <v>500</v>
      </c>
      <c r="G10" s="50">
        <v>24069</v>
      </c>
      <c r="H10" s="49">
        <v>1.37</v>
      </c>
      <c r="I10" s="49">
        <v>500</v>
      </c>
      <c r="J10" s="49" t="s">
        <v>57</v>
      </c>
      <c r="K10" s="49" t="s">
        <v>57</v>
      </c>
      <c r="L10" s="49" t="s">
        <v>57</v>
      </c>
      <c r="M10" s="50">
        <v>24069</v>
      </c>
      <c r="N10" s="49" t="s">
        <v>65</v>
      </c>
      <c r="O10" s="49">
        <v>500</v>
      </c>
      <c r="P10" s="50">
        <v>31203</v>
      </c>
      <c r="Q10" s="56">
        <v>147</v>
      </c>
    </row>
    <row r="11" spans="2:20" ht="27" x14ac:dyDescent="0.3">
      <c r="B11" s="54" t="s">
        <v>66</v>
      </c>
      <c r="C11" s="48" t="s">
        <v>54</v>
      </c>
      <c r="D11" s="48" t="s">
        <v>67</v>
      </c>
      <c r="E11" s="48" t="s">
        <v>62</v>
      </c>
      <c r="F11" s="49">
        <v>700</v>
      </c>
      <c r="G11" s="50">
        <v>143296</v>
      </c>
      <c r="H11" s="49">
        <v>2.78</v>
      </c>
      <c r="I11" s="49">
        <v>700</v>
      </c>
      <c r="J11" s="49" t="s">
        <v>57</v>
      </c>
      <c r="K11" s="49" t="s">
        <v>57</v>
      </c>
      <c r="L11" s="49" t="s">
        <v>57</v>
      </c>
      <c r="M11" s="50">
        <v>143296</v>
      </c>
      <c r="N11" s="49">
        <v>2.6</v>
      </c>
      <c r="O11" s="49">
        <v>700</v>
      </c>
      <c r="P11" s="50">
        <v>9412</v>
      </c>
      <c r="Q11" s="56">
        <v>369</v>
      </c>
    </row>
    <row r="12" spans="2:20" ht="54" x14ac:dyDescent="0.3">
      <c r="B12" s="54" t="s">
        <v>68</v>
      </c>
      <c r="C12" s="48" t="s">
        <v>54</v>
      </c>
      <c r="D12" s="48" t="s">
        <v>69</v>
      </c>
      <c r="E12" s="48" t="s">
        <v>62</v>
      </c>
      <c r="F12" s="49">
        <v>399</v>
      </c>
      <c r="G12" s="49" t="s">
        <v>57</v>
      </c>
      <c r="H12" s="49" t="s">
        <v>57</v>
      </c>
      <c r="I12" s="49">
        <v>441</v>
      </c>
      <c r="J12" s="49" t="s">
        <v>57</v>
      </c>
      <c r="K12" s="49" t="s">
        <v>57</v>
      </c>
      <c r="L12" s="49" t="s">
        <v>57</v>
      </c>
      <c r="M12" s="49" t="s">
        <v>57</v>
      </c>
      <c r="N12" s="49" t="s">
        <v>57</v>
      </c>
      <c r="O12" s="49">
        <v>441</v>
      </c>
      <c r="P12" s="50">
        <v>2903</v>
      </c>
      <c r="Q12" s="55">
        <v>-2616</v>
      </c>
    </row>
    <row r="13" spans="2:20" ht="40.5" x14ac:dyDescent="0.3">
      <c r="B13" s="54" t="s">
        <v>70</v>
      </c>
      <c r="C13" s="48" t="s">
        <v>54</v>
      </c>
      <c r="D13" s="48" t="s">
        <v>71</v>
      </c>
      <c r="E13" s="48" t="s">
        <v>62</v>
      </c>
      <c r="F13" s="50">
        <v>1428</v>
      </c>
      <c r="G13" s="49" t="s">
        <v>57</v>
      </c>
      <c r="H13" s="49">
        <v>33.33</v>
      </c>
      <c r="I13" s="50">
        <v>1428</v>
      </c>
      <c r="J13" s="49" t="s">
        <v>57</v>
      </c>
      <c r="K13" s="49" t="s">
        <v>57</v>
      </c>
      <c r="L13" s="49" t="s">
        <v>57</v>
      </c>
      <c r="M13" s="49" t="s">
        <v>57</v>
      </c>
      <c r="N13" s="49">
        <v>33.33</v>
      </c>
      <c r="O13" s="50">
        <v>1428</v>
      </c>
      <c r="P13" s="50">
        <v>4997</v>
      </c>
      <c r="Q13" s="56">
        <v>-156</v>
      </c>
    </row>
    <row r="14" spans="2:20" ht="54" x14ac:dyDescent="0.3">
      <c r="B14" s="54" t="s">
        <v>72</v>
      </c>
      <c r="C14" s="48" t="s">
        <v>54</v>
      </c>
      <c r="D14" s="48" t="s">
        <v>73</v>
      </c>
      <c r="E14" s="48" t="s">
        <v>62</v>
      </c>
      <c r="F14" s="49">
        <v>1</v>
      </c>
      <c r="G14" s="49">
        <v>200</v>
      </c>
      <c r="H14" s="49">
        <v>100</v>
      </c>
      <c r="I14" s="49">
        <v>1</v>
      </c>
      <c r="J14" s="49" t="s">
        <v>57</v>
      </c>
      <c r="K14" s="49" t="s">
        <v>57</v>
      </c>
      <c r="L14" s="49" t="s">
        <v>57</v>
      </c>
      <c r="M14" s="49">
        <v>200</v>
      </c>
      <c r="N14" s="49">
        <v>100</v>
      </c>
      <c r="O14" s="49">
        <v>1</v>
      </c>
      <c r="P14" s="49">
        <v>497</v>
      </c>
      <c r="Q14" s="56">
        <v>-2</v>
      </c>
    </row>
    <row r="15" spans="2:20" ht="27" x14ac:dyDescent="0.3">
      <c r="B15" s="54" t="s">
        <v>74</v>
      </c>
      <c r="C15" s="48" t="s">
        <v>31</v>
      </c>
      <c r="D15" s="48" t="s">
        <v>75</v>
      </c>
      <c r="E15" s="48" t="s">
        <v>62</v>
      </c>
      <c r="F15" s="50">
        <v>5000</v>
      </c>
      <c r="G15" s="50">
        <v>178316</v>
      </c>
      <c r="H15" s="49">
        <v>0.8</v>
      </c>
      <c r="I15" s="49">
        <v>963</v>
      </c>
      <c r="J15" s="49" t="s">
        <v>57</v>
      </c>
      <c r="K15" s="49" t="s">
        <v>57</v>
      </c>
      <c r="L15" s="49" t="s">
        <v>57</v>
      </c>
      <c r="M15" s="50">
        <v>178316</v>
      </c>
      <c r="N15" s="49">
        <v>0.73</v>
      </c>
      <c r="O15" s="49">
        <v>963</v>
      </c>
      <c r="P15" s="50">
        <v>359910</v>
      </c>
      <c r="Q15" s="55">
        <v>45765</v>
      </c>
    </row>
    <row r="16" spans="2:20" ht="27" x14ac:dyDescent="0.3">
      <c r="B16" s="54" t="s">
        <v>76</v>
      </c>
      <c r="C16" s="48" t="s">
        <v>54</v>
      </c>
      <c r="D16" s="48" t="s">
        <v>77</v>
      </c>
      <c r="E16" s="48" t="s">
        <v>62</v>
      </c>
      <c r="F16" s="50">
        <v>1000</v>
      </c>
      <c r="G16" s="50">
        <v>1330</v>
      </c>
      <c r="H16" s="49">
        <v>1.24</v>
      </c>
      <c r="I16" s="50">
        <v>1000</v>
      </c>
      <c r="J16" s="49" t="s">
        <v>57</v>
      </c>
      <c r="K16" s="49" t="s">
        <v>57</v>
      </c>
      <c r="L16" s="49" t="s">
        <v>57</v>
      </c>
      <c r="M16" s="50">
        <v>1330</v>
      </c>
      <c r="N16" s="49">
        <v>1.24</v>
      </c>
      <c r="O16" s="50">
        <v>1000</v>
      </c>
      <c r="P16" s="50">
        <v>25756</v>
      </c>
      <c r="Q16" s="55">
        <v>8716</v>
      </c>
    </row>
    <row r="17" spans="2:17" ht="27" x14ac:dyDescent="0.3">
      <c r="B17" s="54" t="s">
        <v>78</v>
      </c>
      <c r="C17" s="48" t="s">
        <v>54</v>
      </c>
      <c r="D17" s="48" t="s">
        <v>79</v>
      </c>
      <c r="E17" s="48" t="s">
        <v>62</v>
      </c>
      <c r="F17" s="50">
        <v>1281</v>
      </c>
      <c r="G17" s="49">
        <v>441</v>
      </c>
      <c r="H17" s="49">
        <v>2.97</v>
      </c>
      <c r="I17" s="50">
        <v>1426</v>
      </c>
      <c r="J17" s="49" t="s">
        <v>57</v>
      </c>
      <c r="K17" s="49" t="s">
        <v>57</v>
      </c>
      <c r="L17" s="49" t="s">
        <v>57</v>
      </c>
      <c r="M17" s="49">
        <v>441</v>
      </c>
      <c r="N17" s="49">
        <v>1.76</v>
      </c>
      <c r="O17" s="50">
        <v>1426</v>
      </c>
      <c r="P17" s="50">
        <v>68794</v>
      </c>
      <c r="Q17" s="55">
        <v>7219</v>
      </c>
    </row>
    <row r="18" spans="2:17" ht="54" x14ac:dyDescent="0.3">
      <c r="B18" s="54" t="s">
        <v>80</v>
      </c>
      <c r="C18" s="48" t="s">
        <v>54</v>
      </c>
      <c r="D18" s="48" t="s">
        <v>81</v>
      </c>
      <c r="E18" s="48" t="s">
        <v>82</v>
      </c>
      <c r="F18" s="49">
        <v>800</v>
      </c>
      <c r="G18" s="49">
        <v>3</v>
      </c>
      <c r="H18" s="49">
        <v>20</v>
      </c>
      <c r="I18" s="49">
        <v>276</v>
      </c>
      <c r="J18" s="49" t="s">
        <v>57</v>
      </c>
      <c r="K18" s="49" t="s">
        <v>57</v>
      </c>
      <c r="L18" s="49" t="s">
        <v>57</v>
      </c>
      <c r="M18" s="49">
        <v>3</v>
      </c>
      <c r="N18" s="49">
        <v>20</v>
      </c>
      <c r="O18" s="49">
        <v>276</v>
      </c>
      <c r="P18" s="50">
        <v>6714</v>
      </c>
      <c r="Q18" s="55">
        <v>3690</v>
      </c>
    </row>
    <row r="19" spans="2:17" ht="40.5" x14ac:dyDescent="0.3">
      <c r="B19" s="54" t="s">
        <v>83</v>
      </c>
      <c r="C19" s="48" t="s">
        <v>54</v>
      </c>
      <c r="D19" s="48" t="s">
        <v>84</v>
      </c>
      <c r="E19" s="48" t="s">
        <v>82</v>
      </c>
      <c r="F19" s="50">
        <v>3092</v>
      </c>
      <c r="G19" s="50">
        <v>11841775</v>
      </c>
      <c r="H19" s="49">
        <v>0.36</v>
      </c>
      <c r="I19" s="49" t="s">
        <v>57</v>
      </c>
      <c r="J19" s="49" t="s">
        <v>57</v>
      </c>
      <c r="K19" s="49" t="s">
        <v>57</v>
      </c>
      <c r="L19" s="49" t="s">
        <v>57</v>
      </c>
      <c r="M19" s="50">
        <v>11841775</v>
      </c>
      <c r="N19" s="49">
        <v>0.36</v>
      </c>
      <c r="O19" s="49" t="s">
        <v>57</v>
      </c>
      <c r="P19" s="49" t="s">
        <v>57</v>
      </c>
      <c r="Q19" s="56" t="s">
        <v>57</v>
      </c>
    </row>
    <row r="20" spans="2:17" ht="40.5" x14ac:dyDescent="0.3">
      <c r="B20" s="54" t="s">
        <v>85</v>
      </c>
      <c r="C20" s="48" t="s">
        <v>54</v>
      </c>
      <c r="D20" s="48" t="s">
        <v>86</v>
      </c>
      <c r="E20" s="48" t="s">
        <v>82</v>
      </c>
      <c r="F20" s="49">
        <v>700</v>
      </c>
      <c r="G20" s="49">
        <v>460</v>
      </c>
      <c r="H20" s="49">
        <v>9.3000000000000007</v>
      </c>
      <c r="I20" s="49">
        <v>360</v>
      </c>
      <c r="J20" s="49" t="s">
        <v>57</v>
      </c>
      <c r="K20" s="49" t="s">
        <v>57</v>
      </c>
      <c r="L20" s="49" t="s">
        <v>57</v>
      </c>
      <c r="M20" s="49">
        <v>460</v>
      </c>
      <c r="N20" s="49">
        <v>9.3000000000000007</v>
      </c>
      <c r="O20" s="49">
        <v>360</v>
      </c>
      <c r="P20" s="50">
        <v>6329</v>
      </c>
      <c r="Q20" s="56">
        <v>635</v>
      </c>
    </row>
    <row r="21" spans="2:17" ht="27" x14ac:dyDescent="0.3">
      <c r="B21" s="54" t="s">
        <v>87</v>
      </c>
      <c r="C21" s="48" t="s">
        <v>54</v>
      </c>
      <c r="D21" s="48" t="s">
        <v>88</v>
      </c>
      <c r="E21" s="48" t="s">
        <v>82</v>
      </c>
      <c r="F21" s="50">
        <v>2000</v>
      </c>
      <c r="G21" s="50">
        <v>1092</v>
      </c>
      <c r="H21" s="49">
        <v>0.74</v>
      </c>
      <c r="I21" s="50">
        <v>3898</v>
      </c>
      <c r="J21" s="49" t="s">
        <v>57</v>
      </c>
      <c r="K21" s="49" t="s">
        <v>57</v>
      </c>
      <c r="L21" s="49" t="s">
        <v>57</v>
      </c>
      <c r="M21" s="50">
        <v>1092</v>
      </c>
      <c r="N21" s="49">
        <v>0.74</v>
      </c>
      <c r="O21" s="50">
        <v>3898</v>
      </c>
      <c r="P21" s="50">
        <v>102061</v>
      </c>
      <c r="Q21" s="55">
        <v>-37982</v>
      </c>
    </row>
    <row r="22" spans="2:17" ht="67.5" x14ac:dyDescent="0.3">
      <c r="B22" s="54" t="s">
        <v>89</v>
      </c>
      <c r="C22" s="48" t="s">
        <v>54</v>
      </c>
      <c r="D22" s="48" t="s">
        <v>90</v>
      </c>
      <c r="E22" s="48" t="s">
        <v>82</v>
      </c>
      <c r="F22" s="50">
        <v>2500</v>
      </c>
      <c r="G22" s="49" t="s">
        <v>57</v>
      </c>
      <c r="H22" s="49">
        <v>11.9</v>
      </c>
      <c r="I22" s="50">
        <v>5000</v>
      </c>
      <c r="J22" s="49" t="s">
        <v>57</v>
      </c>
      <c r="K22" s="49" t="s">
        <v>57</v>
      </c>
      <c r="L22" s="49" t="s">
        <v>57</v>
      </c>
      <c r="M22" s="49" t="s">
        <v>57</v>
      </c>
      <c r="N22" s="49">
        <v>11.36</v>
      </c>
      <c r="O22" s="50">
        <v>5000</v>
      </c>
      <c r="P22" s="50">
        <v>43394</v>
      </c>
      <c r="Q22" s="56">
        <v>771</v>
      </c>
    </row>
    <row r="23" spans="2:17" ht="67.5" x14ac:dyDescent="0.3">
      <c r="B23" s="54" t="s">
        <v>91</v>
      </c>
      <c r="C23" s="48" t="s">
        <v>54</v>
      </c>
      <c r="D23" s="48" t="s">
        <v>92</v>
      </c>
      <c r="E23" s="48" t="s">
        <v>82</v>
      </c>
      <c r="F23" s="49">
        <v>300</v>
      </c>
      <c r="G23" s="49">
        <v>300</v>
      </c>
      <c r="H23" s="49">
        <v>5</v>
      </c>
      <c r="I23" s="49">
        <v>300</v>
      </c>
      <c r="J23" s="49">
        <v>200</v>
      </c>
      <c r="K23" s="49">
        <v>200</v>
      </c>
      <c r="L23" s="49" t="s">
        <v>57</v>
      </c>
      <c r="M23" s="49">
        <v>500</v>
      </c>
      <c r="N23" s="49">
        <v>5</v>
      </c>
      <c r="O23" s="49">
        <v>500</v>
      </c>
      <c r="P23" s="50">
        <v>5944</v>
      </c>
      <c r="Q23" s="56">
        <v>-56</v>
      </c>
    </row>
    <row r="24" spans="2:17" x14ac:dyDescent="0.3">
      <c r="B24" s="77" t="s">
        <v>93</v>
      </c>
      <c r="C24" s="78"/>
      <c r="D24" s="78"/>
      <c r="E24" s="78"/>
      <c r="F24" s="79"/>
      <c r="G24" s="57" t="s">
        <v>57</v>
      </c>
      <c r="H24" s="57" t="s">
        <v>57</v>
      </c>
      <c r="I24" s="58">
        <v>36294</v>
      </c>
      <c r="J24" s="57">
        <v>200</v>
      </c>
      <c r="K24" s="57">
        <v>200</v>
      </c>
      <c r="L24" s="57" t="s">
        <v>57</v>
      </c>
      <c r="M24" s="57" t="s">
        <v>57</v>
      </c>
      <c r="N24" s="57" t="s">
        <v>57</v>
      </c>
      <c r="O24" s="58">
        <v>36494</v>
      </c>
      <c r="P24" s="57" t="s">
        <v>57</v>
      </c>
      <c r="Q24" s="59" t="s">
        <v>57</v>
      </c>
    </row>
  </sheetData>
  <mergeCells count="15">
    <mergeCell ref="B24:F24"/>
    <mergeCell ref="P3:Q3"/>
    <mergeCell ref="P4:Q4"/>
    <mergeCell ref="G5:G6"/>
    <mergeCell ref="H5:H6"/>
    <mergeCell ref="J5:K5"/>
    <mergeCell ref="M5:M6"/>
    <mergeCell ref="N5:N6"/>
    <mergeCell ref="P5:P6"/>
    <mergeCell ref="B3:B6"/>
    <mergeCell ref="D3:D6"/>
    <mergeCell ref="F3:F6"/>
    <mergeCell ref="G3:I4"/>
    <mergeCell ref="J3:L4"/>
    <mergeCell ref="M3:O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 Woo Kim</dc:creator>
  <cp:lastModifiedBy>Hyoung Woo Kim</cp:lastModifiedBy>
  <dcterms:created xsi:type="dcterms:W3CDTF">2025-07-19T14:30:04Z</dcterms:created>
  <dcterms:modified xsi:type="dcterms:W3CDTF">2025-07-19T16:21:46Z</dcterms:modified>
</cp:coreProperties>
</file>