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odels\My Models\"/>
    </mc:Choice>
  </mc:AlternateContent>
  <xr:revisionPtr revIDLastSave="0" documentId="13_ncr:1_{ACCBB4A8-554A-4D50-B17D-B62B6976CB8E}" xr6:coauthVersionLast="47" xr6:coauthVersionMax="47" xr10:uidLastSave="{00000000-0000-0000-0000-000000000000}"/>
  <bookViews>
    <workbookView xWindow="-120" yWindow="-120" windowWidth="29040" windowHeight="15840" activeTab="1" xr2:uid="{B8663242-CA81-4660-AA18-4DB1AF35A221}"/>
  </bookViews>
  <sheets>
    <sheet name="Main" sheetId="1" r:id="rId1"/>
    <sheet name="Unit Economics of Each 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4" i="2"/>
  <c r="I28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J35" i="1"/>
  <c r="J32" i="1"/>
  <c r="G5" i="1"/>
  <c r="C4" i="1"/>
  <c r="F4" i="1"/>
  <c r="F5" i="1"/>
  <c r="H5" i="1"/>
  <c r="E5" i="1"/>
  <c r="D5" i="1"/>
  <c r="H4" i="1"/>
  <c r="E4" i="1"/>
  <c r="C13" i="1"/>
  <c r="D13" i="1"/>
  <c r="C27" i="1"/>
  <c r="C10" i="1"/>
  <c r="D27" i="1"/>
  <c r="D10" i="1"/>
  <c r="E13" i="1"/>
  <c r="E27" i="1"/>
  <c r="E10" i="1"/>
  <c r="F27" i="1"/>
  <c r="F10" i="1"/>
  <c r="F14" i="1" s="1"/>
  <c r="G27" i="1"/>
  <c r="H27" i="1"/>
  <c r="G10" i="1"/>
  <c r="G14" i="1" s="1"/>
  <c r="G18" i="1" s="1"/>
  <c r="G20" i="1" s="1"/>
  <c r="G22" i="1" s="1"/>
  <c r="G26" i="1" s="1"/>
  <c r="H10" i="1"/>
  <c r="H14" i="1" s="1"/>
  <c r="H24" i="1" s="1"/>
  <c r="D14" i="1" l="1"/>
  <c r="D18" i="1" s="1"/>
  <c r="D20" i="1" s="1"/>
  <c r="D22" i="1" s="1"/>
  <c r="E14" i="1"/>
  <c r="E24" i="1" s="1"/>
  <c r="G25" i="1"/>
  <c r="H18" i="1"/>
  <c r="H20" i="1" s="1"/>
  <c r="H22" i="1" s="1"/>
  <c r="G24" i="1"/>
  <c r="C14" i="1"/>
  <c r="C18" i="1" s="1"/>
  <c r="C20" i="1" s="1"/>
  <c r="C22" i="1" s="1"/>
  <c r="F18" i="1"/>
  <c r="F20" i="1" s="1"/>
  <c r="F22" i="1" s="1"/>
  <c r="F26" i="1" s="1"/>
  <c r="F24" i="1"/>
  <c r="E18" i="1" l="1"/>
  <c r="E20" i="1" s="1"/>
  <c r="E22" i="1" s="1"/>
  <c r="E26" i="1" s="1"/>
  <c r="H28" i="1"/>
  <c r="H26" i="1"/>
  <c r="H25" i="1"/>
  <c r="C24" i="1"/>
  <c r="D24" i="1"/>
  <c r="C28" i="1"/>
  <c r="C26" i="1"/>
  <c r="C25" i="1"/>
  <c r="D28" i="1"/>
  <c r="D26" i="1"/>
  <c r="D25" i="1"/>
  <c r="E28" i="1"/>
  <c r="G28" i="1"/>
  <c r="F25" i="1"/>
  <c r="F28" i="1" l="1"/>
  <c r="E25" i="1"/>
  <c r="D4" i="1"/>
</calcChain>
</file>

<file path=xl/sharedStrings.xml><?xml version="1.0" encoding="utf-8"?>
<sst xmlns="http://schemas.openxmlformats.org/spreadsheetml/2006/main" count="36" uniqueCount="36">
  <si>
    <t>Revenue</t>
  </si>
  <si>
    <t>Net Sales</t>
  </si>
  <si>
    <t>Membership Fees</t>
  </si>
  <si>
    <t>Total Revenue</t>
  </si>
  <si>
    <t>Operating Expenses</t>
  </si>
  <si>
    <t>Merchandise costs</t>
  </si>
  <si>
    <t>SG &amp; A</t>
  </si>
  <si>
    <t>Operating Income</t>
  </si>
  <si>
    <t>Other Income (Expense)</t>
  </si>
  <si>
    <t>Interest Expense</t>
  </si>
  <si>
    <t>Interest income and other</t>
  </si>
  <si>
    <t>Income before taxes</t>
  </si>
  <si>
    <t>Provision for taxes</t>
  </si>
  <si>
    <t>Net income including NCI</t>
  </si>
  <si>
    <t>Net Income NCI</t>
  </si>
  <si>
    <t>NI</t>
  </si>
  <si>
    <t>Gross Margin</t>
  </si>
  <si>
    <t>Net Margin</t>
  </si>
  <si>
    <t>Revenue y/y</t>
  </si>
  <si>
    <t>NI y/y</t>
  </si>
  <si>
    <t>Membership as a % of NI</t>
  </si>
  <si>
    <t>No. Stores</t>
  </si>
  <si>
    <t>Total Memberships</t>
  </si>
  <si>
    <t>International Stores</t>
  </si>
  <si>
    <t>US Stores</t>
  </si>
  <si>
    <t>Share Price</t>
  </si>
  <si>
    <t>OS</t>
  </si>
  <si>
    <t>MC</t>
  </si>
  <si>
    <t>Cash</t>
  </si>
  <si>
    <t>Debt</t>
  </si>
  <si>
    <t>EV</t>
  </si>
  <si>
    <t>Rates</t>
  </si>
  <si>
    <t>Average Revenue per Store (m)</t>
  </si>
  <si>
    <t>Average NI per Store</t>
  </si>
  <si>
    <t>Average</t>
  </si>
  <si>
    <t>What does a single store unit economics look like?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</si>
</sst>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2" fontId="0" fillId="0" borderId="0" xfId="0" applyNumberFormat="1"/>
    <xf numFmtId="42" fontId="3" fillId="0" borderId="0" xfId="0" applyNumberFormat="1" applyFont="1"/>
    <xf numFmtId="9" fontId="0" fillId="0" borderId="0" xfId="0" applyNumberFormat="1"/>
    <xf numFmtId="10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42" fontId="0" fillId="0" borderId="1" xfId="0" applyNumberFormat="1" applyBorder="1"/>
    <xf numFmtId="42" fontId="3" fillId="0" borderId="1" xfId="0" applyNumberFormat="1" applyFont="1" applyBorder="1"/>
    <xf numFmtId="10" fontId="0" fillId="0" borderId="1" xfId="0" applyNumberFormat="1" applyBorder="1"/>
    <xf numFmtId="164" fontId="0" fillId="0" borderId="0" xfId="1" applyNumberFormat="1" applyFont="1"/>
    <xf numFmtId="164" fontId="3" fillId="0" borderId="0" xfId="1" applyNumberFormat="1" applyFont="1"/>
    <xf numFmtId="44" fontId="0" fillId="0" borderId="0" xfId="0" applyNumberFormat="1"/>
    <xf numFmtId="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1C0F-6A24-4222-9D32-BA71AF6BE63A}">
  <dimension ref="B1:AC35"/>
  <sheetViews>
    <sheetView zoomScale="85" zoomScaleNormal="85" workbookViewId="0">
      <selection activeCell="I8" sqref="I8"/>
    </sheetView>
  </sheetViews>
  <sheetFormatPr defaultRowHeight="14.25" x14ac:dyDescent="0.2"/>
  <cols>
    <col min="2" max="2" width="22.75" bestFit="1" customWidth="1"/>
    <col min="3" max="7" width="9.625" bestFit="1" customWidth="1"/>
    <col min="8" max="8" width="9.625" style="8" bestFit="1" customWidth="1"/>
    <col min="9" max="9" width="11.75" bestFit="1" customWidth="1"/>
    <col min="10" max="10" width="12.125" bestFit="1" customWidth="1"/>
    <col min="11" max="11" width="10.125" bestFit="1" customWidth="1"/>
    <col min="12" max="27" width="11.125" bestFit="1" customWidth="1"/>
    <col min="28" max="29" width="12.125" bestFit="1" customWidth="1"/>
  </cols>
  <sheetData>
    <row r="1" spans="2:29" ht="15" x14ac:dyDescent="0.25">
      <c r="C1" s="6">
        <v>2018</v>
      </c>
      <c r="D1" s="6">
        <v>2019</v>
      </c>
      <c r="E1" s="6">
        <v>2020</v>
      </c>
      <c r="F1" s="6">
        <v>2021</v>
      </c>
      <c r="G1" s="6">
        <v>2022</v>
      </c>
      <c r="H1" s="7">
        <v>2023</v>
      </c>
      <c r="I1" s="7">
        <v>2024</v>
      </c>
      <c r="J1" s="6">
        <v>2025</v>
      </c>
      <c r="K1" s="6">
        <v>2026</v>
      </c>
      <c r="L1" s="7">
        <v>2027</v>
      </c>
      <c r="M1" s="7">
        <v>2028</v>
      </c>
      <c r="N1" s="6">
        <v>2029</v>
      </c>
      <c r="O1" s="6">
        <v>2030</v>
      </c>
      <c r="P1" s="7">
        <v>2031</v>
      </c>
      <c r="Q1" s="6">
        <v>2032</v>
      </c>
      <c r="R1" s="6">
        <v>2033</v>
      </c>
      <c r="S1" s="7">
        <v>2034</v>
      </c>
      <c r="T1" s="6">
        <v>2035</v>
      </c>
      <c r="U1" s="6">
        <v>2036</v>
      </c>
      <c r="V1" s="7">
        <v>2037</v>
      </c>
      <c r="W1" s="6">
        <v>2038</v>
      </c>
      <c r="X1" s="6">
        <v>2039</v>
      </c>
      <c r="Y1" s="7">
        <v>2040</v>
      </c>
      <c r="Z1" s="6">
        <v>2041</v>
      </c>
      <c r="AA1" s="6">
        <v>2042</v>
      </c>
      <c r="AB1" s="7">
        <v>2043</v>
      </c>
      <c r="AC1" s="6">
        <v>2044</v>
      </c>
    </row>
    <row r="2" spans="2:29" x14ac:dyDescent="0.2">
      <c r="B2" t="s">
        <v>21</v>
      </c>
      <c r="C2">
        <v>768</v>
      </c>
      <c r="D2">
        <v>785</v>
      </c>
      <c r="E2">
        <v>803</v>
      </c>
      <c r="F2">
        <v>828</v>
      </c>
      <c r="G2">
        <v>847</v>
      </c>
      <c r="H2" s="8">
        <v>871</v>
      </c>
    </row>
    <row r="3" spans="2:29" x14ac:dyDescent="0.2">
      <c r="B3" t="s">
        <v>22</v>
      </c>
    </row>
    <row r="4" spans="2:29" x14ac:dyDescent="0.2">
      <c r="B4" t="s">
        <v>23</v>
      </c>
      <c r="C4">
        <f>C2-C5</f>
        <v>235</v>
      </c>
      <c r="D4">
        <f>D2-546</f>
        <v>239</v>
      </c>
      <c r="E4">
        <f>E2 - 558</f>
        <v>245</v>
      </c>
      <c r="F4">
        <f>F2-572</f>
        <v>256</v>
      </c>
      <c r="G4">
        <v>264</v>
      </c>
      <c r="H4" s="8">
        <f>H2-600</f>
        <v>271</v>
      </c>
    </row>
    <row r="5" spans="2:29" x14ac:dyDescent="0.2">
      <c r="B5" t="s">
        <v>24</v>
      </c>
      <c r="C5">
        <v>533</v>
      </c>
      <c r="D5">
        <f>D2-D4</f>
        <v>546</v>
      </c>
      <c r="E5">
        <f>E2-E4</f>
        <v>558</v>
      </c>
      <c r="F5">
        <f>F2-F4</f>
        <v>572</v>
      </c>
      <c r="G5">
        <f>G2-G4</f>
        <v>583</v>
      </c>
      <c r="H5" s="8">
        <f>H2-H4</f>
        <v>600</v>
      </c>
    </row>
    <row r="7" spans="2:29" ht="15" x14ac:dyDescent="0.25">
      <c r="B7" s="1" t="s">
        <v>0</v>
      </c>
    </row>
    <row r="8" spans="2:29" x14ac:dyDescent="0.2">
      <c r="B8" t="s">
        <v>1</v>
      </c>
      <c r="C8" s="2">
        <v>138434</v>
      </c>
      <c r="D8" s="2">
        <v>149351</v>
      </c>
      <c r="E8" s="2">
        <v>163220</v>
      </c>
      <c r="F8" s="2">
        <v>192052</v>
      </c>
      <c r="G8" s="2">
        <v>222730</v>
      </c>
      <c r="H8" s="9">
        <v>237710</v>
      </c>
    </row>
    <row r="9" spans="2:29" x14ac:dyDescent="0.2">
      <c r="B9" t="s">
        <v>2</v>
      </c>
      <c r="C9" s="2">
        <v>3142</v>
      </c>
      <c r="D9" s="2">
        <v>3352</v>
      </c>
      <c r="E9" s="2">
        <v>3541</v>
      </c>
      <c r="F9" s="2">
        <v>3877</v>
      </c>
      <c r="G9" s="2">
        <v>4224</v>
      </c>
      <c r="H9" s="9">
        <v>4580</v>
      </c>
    </row>
    <row r="10" spans="2:29" x14ac:dyDescent="0.2">
      <c r="B10" t="s">
        <v>3</v>
      </c>
      <c r="C10" s="2">
        <f t="shared" ref="C10:H10" si="0">SUM(C8:C9)</f>
        <v>141576</v>
      </c>
      <c r="D10" s="2">
        <f t="shared" si="0"/>
        <v>152703</v>
      </c>
      <c r="E10" s="2">
        <f t="shared" si="0"/>
        <v>166761</v>
      </c>
      <c r="F10" s="2">
        <f t="shared" si="0"/>
        <v>195929</v>
      </c>
      <c r="G10" s="2">
        <f t="shared" si="0"/>
        <v>226954</v>
      </c>
      <c r="H10" s="9">
        <f t="shared" si="0"/>
        <v>242290</v>
      </c>
    </row>
    <row r="11" spans="2:29" ht="15" x14ac:dyDescent="0.25">
      <c r="B11" s="1" t="s">
        <v>4</v>
      </c>
      <c r="C11" s="2"/>
      <c r="D11" s="2"/>
      <c r="E11" s="2"/>
      <c r="F11" s="2"/>
      <c r="G11" s="2"/>
      <c r="H11" s="9"/>
    </row>
    <row r="12" spans="2:29" x14ac:dyDescent="0.2">
      <c r="B12" t="s">
        <v>5</v>
      </c>
      <c r="C12" s="2">
        <v>123152</v>
      </c>
      <c r="D12" s="2">
        <v>132886</v>
      </c>
      <c r="E12" s="2">
        <v>144939</v>
      </c>
      <c r="F12" s="2">
        <v>170684</v>
      </c>
      <c r="G12" s="2">
        <v>199382</v>
      </c>
      <c r="H12" s="9">
        <v>212586</v>
      </c>
    </row>
    <row r="13" spans="2:29" x14ac:dyDescent="0.2">
      <c r="B13" t="s">
        <v>6</v>
      </c>
      <c r="C13" s="2">
        <f>13876+68</f>
        <v>13944</v>
      </c>
      <c r="D13" s="2">
        <f>14994+86</f>
        <v>15080</v>
      </c>
      <c r="E13" s="2">
        <f>16332+55</f>
        <v>16387</v>
      </c>
      <c r="F13" s="2">
        <v>18537</v>
      </c>
      <c r="G13" s="2">
        <v>19779</v>
      </c>
      <c r="H13" s="9">
        <v>21590</v>
      </c>
    </row>
    <row r="14" spans="2:29" x14ac:dyDescent="0.2">
      <c r="B14" t="s">
        <v>7</v>
      </c>
      <c r="C14" s="2">
        <f t="shared" ref="C14:H14" si="1">C10-C12-C13</f>
        <v>4480</v>
      </c>
      <c r="D14" s="2">
        <f t="shared" si="1"/>
        <v>4737</v>
      </c>
      <c r="E14" s="2">
        <f t="shared" si="1"/>
        <v>5435</v>
      </c>
      <c r="F14" s="2">
        <f t="shared" si="1"/>
        <v>6708</v>
      </c>
      <c r="G14" s="2">
        <f t="shared" si="1"/>
        <v>7793</v>
      </c>
      <c r="H14" s="9">
        <f t="shared" si="1"/>
        <v>8114</v>
      </c>
    </row>
    <row r="15" spans="2:29" ht="15" x14ac:dyDescent="0.25">
      <c r="B15" s="1" t="s">
        <v>8</v>
      </c>
      <c r="C15" s="2"/>
      <c r="D15" s="2"/>
      <c r="E15" s="2"/>
      <c r="F15" s="2"/>
      <c r="G15" s="2"/>
      <c r="H15" s="9"/>
    </row>
    <row r="16" spans="2:29" x14ac:dyDescent="0.2">
      <c r="B16" t="s">
        <v>9</v>
      </c>
      <c r="C16" s="2">
        <v>-159</v>
      </c>
      <c r="D16" s="2">
        <v>-150</v>
      </c>
      <c r="E16" s="2">
        <v>-160</v>
      </c>
      <c r="F16" s="2">
        <v>-171</v>
      </c>
      <c r="G16" s="2">
        <v>-158</v>
      </c>
      <c r="H16" s="9">
        <v>-160</v>
      </c>
    </row>
    <row r="17" spans="2:29" x14ac:dyDescent="0.2">
      <c r="B17" t="s">
        <v>10</v>
      </c>
      <c r="C17" s="2">
        <v>121</v>
      </c>
      <c r="D17" s="2">
        <v>178</v>
      </c>
      <c r="E17" s="2">
        <v>92</v>
      </c>
      <c r="F17" s="2">
        <v>143</v>
      </c>
      <c r="G17" s="2">
        <v>205</v>
      </c>
      <c r="H17" s="9">
        <v>533</v>
      </c>
    </row>
    <row r="18" spans="2:29" x14ac:dyDescent="0.2">
      <c r="B18" t="s">
        <v>11</v>
      </c>
      <c r="C18" s="2">
        <f t="shared" ref="C18:H18" si="2">C14+C16+C17</f>
        <v>4442</v>
      </c>
      <c r="D18" s="2">
        <f t="shared" si="2"/>
        <v>4765</v>
      </c>
      <c r="E18" s="2">
        <f t="shared" si="2"/>
        <v>5367</v>
      </c>
      <c r="F18" s="2">
        <f t="shared" si="2"/>
        <v>6680</v>
      </c>
      <c r="G18" s="2">
        <f t="shared" si="2"/>
        <v>7840</v>
      </c>
      <c r="H18" s="9">
        <f t="shared" si="2"/>
        <v>8487</v>
      </c>
    </row>
    <row r="19" spans="2:29" x14ac:dyDescent="0.2">
      <c r="B19" t="s">
        <v>12</v>
      </c>
      <c r="C19" s="2">
        <v>1263</v>
      </c>
      <c r="D19" s="2">
        <v>1061</v>
      </c>
      <c r="E19" s="2">
        <v>1308</v>
      </c>
      <c r="F19" s="2">
        <v>1601</v>
      </c>
      <c r="G19" s="2">
        <v>1925</v>
      </c>
      <c r="H19" s="9">
        <v>2195</v>
      </c>
    </row>
    <row r="20" spans="2:29" x14ac:dyDescent="0.2">
      <c r="B20" t="s">
        <v>13</v>
      </c>
      <c r="C20" s="2">
        <f t="shared" ref="C20:H20" si="3">C18-C19</f>
        <v>3179</v>
      </c>
      <c r="D20" s="2">
        <f t="shared" si="3"/>
        <v>3704</v>
      </c>
      <c r="E20" s="2">
        <f t="shared" si="3"/>
        <v>4059</v>
      </c>
      <c r="F20" s="2">
        <f t="shared" si="3"/>
        <v>5079</v>
      </c>
      <c r="G20" s="2">
        <f t="shared" si="3"/>
        <v>5915</v>
      </c>
      <c r="H20" s="9">
        <f t="shared" si="3"/>
        <v>6292</v>
      </c>
    </row>
    <row r="21" spans="2:29" x14ac:dyDescent="0.2">
      <c r="B21" t="s">
        <v>14</v>
      </c>
      <c r="C21" s="2">
        <v>-45</v>
      </c>
      <c r="D21" s="2">
        <v>-45</v>
      </c>
      <c r="E21" s="2">
        <v>-57</v>
      </c>
      <c r="F21" s="2">
        <v>-72</v>
      </c>
      <c r="G21" s="2">
        <v>-71</v>
      </c>
      <c r="H21" s="9">
        <v>0</v>
      </c>
    </row>
    <row r="22" spans="2:29" ht="15" x14ac:dyDescent="0.25">
      <c r="B22" t="s">
        <v>15</v>
      </c>
      <c r="C22" s="3">
        <f t="shared" ref="C22:H22" si="4">C20+C21</f>
        <v>3134</v>
      </c>
      <c r="D22" s="3">
        <f t="shared" si="4"/>
        <v>3659</v>
      </c>
      <c r="E22" s="3">
        <f t="shared" si="4"/>
        <v>4002</v>
      </c>
      <c r="F22" s="3">
        <f t="shared" si="4"/>
        <v>5007</v>
      </c>
      <c r="G22" s="3">
        <f t="shared" si="4"/>
        <v>5844</v>
      </c>
      <c r="H22" s="10">
        <f t="shared" si="4"/>
        <v>6292</v>
      </c>
      <c r="I22" s="14">
        <f t="shared" ref="I22:AC22" si="5">H22*1.15</f>
        <v>7235.7999999999993</v>
      </c>
      <c r="J22" s="14">
        <f t="shared" si="5"/>
        <v>8321.1699999999983</v>
      </c>
      <c r="K22" s="14">
        <f t="shared" si="5"/>
        <v>9569.3454999999976</v>
      </c>
      <c r="L22" s="14">
        <f t="shared" si="5"/>
        <v>11004.747324999997</v>
      </c>
      <c r="M22" s="14">
        <f t="shared" si="5"/>
        <v>12655.459423749995</v>
      </c>
      <c r="N22" s="14">
        <f t="shared" si="5"/>
        <v>14553.778337312493</v>
      </c>
      <c r="O22" s="14">
        <f t="shared" si="5"/>
        <v>16736.845087909365</v>
      </c>
      <c r="P22" s="14">
        <f t="shared" si="5"/>
        <v>19247.37185109577</v>
      </c>
      <c r="Q22" s="14">
        <f t="shared" si="5"/>
        <v>22134.477628760134</v>
      </c>
      <c r="R22" s="14">
        <f t="shared" si="5"/>
        <v>25454.649273074152</v>
      </c>
      <c r="S22" s="14">
        <f t="shared" si="5"/>
        <v>29272.846664035271</v>
      </c>
      <c r="T22" s="14">
        <f t="shared" si="5"/>
        <v>33663.773663640561</v>
      </c>
      <c r="U22" s="14">
        <f t="shared" si="5"/>
        <v>38713.339713186644</v>
      </c>
      <c r="V22" s="14">
        <f t="shared" si="5"/>
        <v>44520.340670164638</v>
      </c>
      <c r="W22" s="14">
        <f t="shared" si="5"/>
        <v>51198.391770689333</v>
      </c>
      <c r="X22" s="14">
        <f t="shared" si="5"/>
        <v>58878.150536292727</v>
      </c>
      <c r="Y22" s="14">
        <f t="shared" si="5"/>
        <v>67709.873116736635</v>
      </c>
      <c r="Z22" s="14">
        <f t="shared" si="5"/>
        <v>77866.354084247127</v>
      </c>
      <c r="AA22" s="14">
        <f t="shared" si="5"/>
        <v>89546.307196884183</v>
      </c>
      <c r="AB22" s="14">
        <f t="shared" si="5"/>
        <v>102978.2532764168</v>
      </c>
      <c r="AC22" s="14">
        <f t="shared" si="5"/>
        <v>118424.9912678793</v>
      </c>
    </row>
    <row r="24" spans="2:29" x14ac:dyDescent="0.2">
      <c r="B24" t="s">
        <v>16</v>
      </c>
      <c r="C24" s="5">
        <f t="shared" ref="C24:H24" si="6">C14/C8</f>
        <v>3.2361991996185911E-2</v>
      </c>
      <c r="D24" s="5">
        <f t="shared" si="6"/>
        <v>3.1717229881286363E-2</v>
      </c>
      <c r="E24" s="5">
        <f t="shared" si="6"/>
        <v>3.3298615365763999E-2</v>
      </c>
      <c r="F24" s="5">
        <f t="shared" si="6"/>
        <v>3.492804032241268E-2</v>
      </c>
      <c r="G24" s="5">
        <f t="shared" si="6"/>
        <v>3.4988551160598035E-2</v>
      </c>
      <c r="H24" s="11">
        <f t="shared" si="6"/>
        <v>3.4134028858693363E-2</v>
      </c>
    </row>
    <row r="25" spans="2:29" x14ac:dyDescent="0.2">
      <c r="B25" t="s">
        <v>17</v>
      </c>
      <c r="C25" s="5">
        <f t="shared" ref="C25:H25" si="7">C22/C8</f>
        <v>2.2638947079474697E-2</v>
      </c>
      <c r="D25" s="5">
        <f t="shared" si="7"/>
        <v>2.4499333784172853E-2</v>
      </c>
      <c r="E25" s="5">
        <f t="shared" si="7"/>
        <v>2.4519054037495405E-2</v>
      </c>
      <c r="F25" s="5">
        <f t="shared" si="7"/>
        <v>2.6071064086809821E-2</v>
      </c>
      <c r="G25" s="5">
        <f t="shared" si="7"/>
        <v>2.6238046064742063E-2</v>
      </c>
      <c r="H25" s="11">
        <f t="shared" si="7"/>
        <v>2.6469227209625173E-2</v>
      </c>
      <c r="I25" t="s">
        <v>31</v>
      </c>
    </row>
    <row r="26" spans="2:29" x14ac:dyDescent="0.2">
      <c r="B26" t="s">
        <v>20</v>
      </c>
      <c r="C26" s="5">
        <f t="shared" ref="C26:H26" si="8">C9/C22</f>
        <v>1.0025526483726868</v>
      </c>
      <c r="D26" s="5">
        <f t="shared" si="8"/>
        <v>0.91609729434271658</v>
      </c>
      <c r="E26" s="5">
        <f t="shared" si="8"/>
        <v>0.88480759620189908</v>
      </c>
      <c r="F26" s="5">
        <f t="shared" si="8"/>
        <v>0.77431595765927697</v>
      </c>
      <c r="G26" s="5">
        <f t="shared" si="8"/>
        <v>0.7227926078028748</v>
      </c>
      <c r="H26" s="11">
        <f t="shared" si="8"/>
        <v>0.72790845518118241</v>
      </c>
      <c r="I26" s="4">
        <v>0.04</v>
      </c>
      <c r="J26" s="4">
        <v>0.06</v>
      </c>
      <c r="K26" s="4">
        <v>7.0000000000000007E-2</v>
      </c>
    </row>
    <row r="27" spans="2:29" x14ac:dyDescent="0.2">
      <c r="B27" t="s">
        <v>18</v>
      </c>
      <c r="C27" s="5" t="e">
        <f t="shared" ref="C27:H27" si="9">(C8-B8)/B8</f>
        <v>#VALUE!</v>
      </c>
      <c r="D27" s="5">
        <f t="shared" si="9"/>
        <v>7.886068451391999E-2</v>
      </c>
      <c r="E27" s="5">
        <f t="shared" si="9"/>
        <v>9.2861781976685792E-2</v>
      </c>
      <c r="F27" s="5">
        <f t="shared" si="9"/>
        <v>0.17664501899277049</v>
      </c>
      <c r="G27" s="5">
        <f t="shared" si="9"/>
        <v>0.15973798762835065</v>
      </c>
      <c r="H27" s="11">
        <f t="shared" si="9"/>
        <v>6.7256319310375789E-2</v>
      </c>
    </row>
    <row r="28" spans="2:29" x14ac:dyDescent="0.2">
      <c r="B28" t="s">
        <v>19</v>
      </c>
      <c r="C28" s="5" t="e">
        <f t="shared" ref="C28:H28" si="10">(C22-B22)/B22</f>
        <v>#VALUE!</v>
      </c>
      <c r="D28" s="5">
        <f t="shared" si="10"/>
        <v>0.16751754945756223</v>
      </c>
      <c r="E28" s="5">
        <f t="shared" si="10"/>
        <v>9.3741459415140754E-2</v>
      </c>
      <c r="F28" s="5">
        <f t="shared" si="10"/>
        <v>0.25112443778110943</v>
      </c>
      <c r="G28" s="5">
        <f t="shared" si="10"/>
        <v>0.16716596764529659</v>
      </c>
      <c r="H28" s="11">
        <f t="shared" si="10"/>
        <v>7.665982203969883E-2</v>
      </c>
      <c r="I28" s="15">
        <f>NPV(I26,I22:AC22)</f>
        <v>477530.86657746061</v>
      </c>
    </row>
    <row r="30" spans="2:29" x14ac:dyDescent="0.2">
      <c r="I30" t="s">
        <v>25</v>
      </c>
      <c r="J30">
        <v>923.89</v>
      </c>
    </row>
    <row r="31" spans="2:29" x14ac:dyDescent="0.2">
      <c r="I31" t="s">
        <v>26</v>
      </c>
      <c r="J31" s="12">
        <v>442740.57199999999</v>
      </c>
    </row>
    <row r="32" spans="2:29" x14ac:dyDescent="0.2">
      <c r="I32" t="s">
        <v>27</v>
      </c>
      <c r="J32" s="12">
        <f>J30*J31</f>
        <v>409043587.06507999</v>
      </c>
    </row>
    <row r="33" spans="9:10" x14ac:dyDescent="0.2">
      <c r="I33" t="s">
        <v>28</v>
      </c>
      <c r="J33" s="12">
        <v>15234000</v>
      </c>
    </row>
    <row r="34" spans="9:10" x14ac:dyDescent="0.2">
      <c r="I34" t="s">
        <v>29</v>
      </c>
      <c r="J34" s="12">
        <v>6458000</v>
      </c>
    </row>
    <row r="35" spans="9:10" ht="15" x14ac:dyDescent="0.25">
      <c r="I35" t="s">
        <v>30</v>
      </c>
      <c r="J35" s="13">
        <f>J32-J33+J34</f>
        <v>400267587.06507999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BD7F-083A-468A-BF1A-3B0081F99387}">
  <dimension ref="B2:C8"/>
  <sheetViews>
    <sheetView tabSelected="1" workbookViewId="0">
      <selection activeCell="B2" sqref="B2"/>
    </sheetView>
  </sheetViews>
  <sheetFormatPr defaultRowHeight="14.25" x14ac:dyDescent="0.2"/>
  <cols>
    <col min="2" max="2" width="27.125" bestFit="1" customWidth="1"/>
    <col min="3" max="3" width="10.375" customWidth="1"/>
  </cols>
  <sheetData>
    <row r="2" spans="2:3" x14ac:dyDescent="0.2">
      <c r="B2" t="s">
        <v>35</v>
      </c>
    </row>
    <row r="4" spans="2:3" x14ac:dyDescent="0.2">
      <c r="B4" t="s">
        <v>32</v>
      </c>
      <c r="C4" s="14">
        <f>Main!H10/Main!H2</f>
        <v>278.17451205510906</v>
      </c>
    </row>
    <row r="6" spans="2:3" x14ac:dyDescent="0.2">
      <c r="B6" t="s">
        <v>33</v>
      </c>
      <c r="C6" s="14">
        <f>Main!H22/Main!H2</f>
        <v>7.2238805970149258</v>
      </c>
    </row>
    <row r="8" spans="2:3" x14ac:dyDescent="0.2"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Unit Economics of Each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2024-11-15T11:55:22Z</dcterms:created>
  <dcterms:modified xsi:type="dcterms:W3CDTF">2024-11-15T13:26:48Z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2024-11-15T13:25:15Z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25f9ee56-f8d1-49f6-ab73-fca38f269617</vt:lpwstr>
  </property>
  <property fmtid="{D5CDD505-2E9C-101B-9397-08002B2CF9AE}" pid="8" name="MSIP_Label_defa4170-0d19-0005-0004-bc88714345d2_ContentBits">
    <vt:lpwstr>0</vt:lpwstr>
  </property>
</Properties>
</file>